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izhu\Documents\GitHub\my_file\C2B\2015 S1\"/>
    </mc:Choice>
  </mc:AlternateContent>
  <bookViews>
    <workbookView xWindow="0" yWindow="45" windowWidth="20610" windowHeight="11640" activeTab="1"/>
  </bookViews>
  <sheets>
    <sheet name="Assumptions" sheetId="2" r:id="rId1"/>
    <sheet name="Model" sheetId="3" r:id="rId2"/>
    <sheet name="Lapse Stress" sheetId="4" r:id="rId3"/>
  </sheets>
  <definedNames>
    <definedName name="claim_exp_pc">Assumptions!$B$16</definedName>
    <definedName name="clm_exp_margin">Assumptions!$B$73</definedName>
    <definedName name="clm_margin">Assumptions!$B$71</definedName>
    <definedName name="clm_rate_inc">Assumptions!$B$30</definedName>
    <definedName name="exp_index">Assumptions!$B$25</definedName>
    <definedName name="exp_rate">Assumptions!$A$33:$C$67</definedName>
    <definedName name="inv_income_pa">Assumptions!$B$22</definedName>
    <definedName name="lapse_rate">Assumptions!$A$33:$B$67</definedName>
    <definedName name="num_pol_if">Assumptions!$B$6</definedName>
    <definedName name="pp_exp_margin">Assumptions!$B$72</definedName>
    <definedName name="pp_expense">Assumptions!$B$17</definedName>
    <definedName name="prem_exp">Assumptions!$B$15</definedName>
    <definedName name="prem_if">Assumptions!$B$7</definedName>
    <definedName name="qx">Assumptions!$B$29</definedName>
    <definedName name="ren_comm">Assumptions!$B$14</definedName>
    <definedName name="risk_disc_rate">Assumptions!$B$24</definedName>
    <definedName name="risk_free_rate">Assumptions!$B$23</definedName>
    <definedName name="si_if">Assumptions!$B$8</definedName>
    <definedName name="si_index">Assumptions!$B$21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1" i="3" l="1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20" i="3"/>
  <c r="AA21" i="4" l="1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20" i="4"/>
  <c r="K6" i="4"/>
  <c r="L6" i="4"/>
  <c r="M6" i="4"/>
  <c r="N6" i="4"/>
  <c r="O6" i="4"/>
  <c r="P6" i="4"/>
  <c r="J6" i="4"/>
  <c r="AF54" i="4"/>
  <c r="AC54" i="4"/>
  <c r="AB54" i="4"/>
  <c r="A21" i="4"/>
  <c r="D21" i="4" s="1"/>
  <c r="E20" i="4"/>
  <c r="D20" i="4"/>
  <c r="C20" i="4"/>
  <c r="F20" i="4" s="1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J19" i="4"/>
  <c r="I19" i="4"/>
  <c r="H19" i="4"/>
  <c r="C11" i="4"/>
  <c r="C10" i="4"/>
  <c r="F21" i="4" l="1"/>
  <c r="J21" i="4"/>
  <c r="I20" i="4"/>
  <c r="N20" i="4" s="1"/>
  <c r="A22" i="4"/>
  <c r="J22" i="4"/>
  <c r="H20" i="4"/>
  <c r="M20" i="4" s="1"/>
  <c r="E21" i="4"/>
  <c r="J20" i="4"/>
  <c r="C21" i="4"/>
  <c r="H21" i="4"/>
  <c r="M21" i="4" s="1"/>
  <c r="AG54" i="4"/>
  <c r="I21" i="4"/>
  <c r="N21" i="4" s="1"/>
  <c r="H22" i="4"/>
  <c r="M22" i="4" s="1"/>
  <c r="K20" i="4" l="1"/>
  <c r="L20" i="4"/>
  <c r="L21" i="4"/>
  <c r="K21" i="4"/>
  <c r="O21" i="4"/>
  <c r="C22" i="4"/>
  <c r="A23" i="4"/>
  <c r="E22" i="4"/>
  <c r="F22" i="4"/>
  <c r="L22" i="4"/>
  <c r="K22" i="4"/>
  <c r="I22" i="4"/>
  <c r="N22" i="4" s="1"/>
  <c r="O20" i="4"/>
  <c r="I23" i="4" l="1"/>
  <c r="H23" i="4"/>
  <c r="M23" i="4" s="1"/>
  <c r="J23" i="4"/>
  <c r="O22" i="4"/>
  <c r="A24" i="4"/>
  <c r="C23" i="4"/>
  <c r="F23" i="4" s="1"/>
  <c r="E23" i="4"/>
  <c r="D23" i="4"/>
  <c r="J24" i="4" l="1"/>
  <c r="H24" i="4"/>
  <c r="M24" i="4" s="1"/>
  <c r="I24" i="4"/>
  <c r="N23" i="4"/>
  <c r="K23" i="4"/>
  <c r="L23" i="4"/>
  <c r="E24" i="4"/>
  <c r="A25" i="4"/>
  <c r="D24" i="4"/>
  <c r="C24" i="4"/>
  <c r="F24" i="4" s="1"/>
  <c r="J25" i="4" l="1"/>
  <c r="H25" i="4"/>
  <c r="M25" i="4" s="1"/>
  <c r="I25" i="4"/>
  <c r="N24" i="4"/>
  <c r="D25" i="4"/>
  <c r="C25" i="4"/>
  <c r="F25" i="4" s="1"/>
  <c r="A26" i="4"/>
  <c r="E25" i="4"/>
  <c r="O23" i="4"/>
  <c r="K24" i="4"/>
  <c r="L24" i="4"/>
  <c r="I26" i="4" l="1"/>
  <c r="J26" i="4"/>
  <c r="H26" i="4"/>
  <c r="M26" i="4" s="1"/>
  <c r="N25" i="4"/>
  <c r="O24" i="4"/>
  <c r="C26" i="4"/>
  <c r="F26" i="4" s="1"/>
  <c r="D26" i="4"/>
  <c r="A27" i="4"/>
  <c r="E26" i="4"/>
  <c r="L25" i="4"/>
  <c r="K25" i="4"/>
  <c r="I27" i="4" l="1"/>
  <c r="N27" i="4" s="1"/>
  <c r="H27" i="4"/>
  <c r="M27" i="4" s="1"/>
  <c r="J27" i="4"/>
  <c r="L26" i="4"/>
  <c r="K26" i="4"/>
  <c r="A28" i="4"/>
  <c r="E27" i="4"/>
  <c r="D27" i="4"/>
  <c r="F27" i="4" s="1"/>
  <c r="C27" i="4"/>
  <c r="N26" i="4"/>
  <c r="O25" i="4"/>
  <c r="I28" i="4" l="1"/>
  <c r="J28" i="4"/>
  <c r="H28" i="4"/>
  <c r="M28" i="4" s="1"/>
  <c r="O26" i="4"/>
  <c r="E28" i="4"/>
  <c r="D28" i="4"/>
  <c r="C28" i="4"/>
  <c r="F28" i="4" s="1"/>
  <c r="A29" i="4"/>
  <c r="O27" i="4"/>
  <c r="K27" i="4"/>
  <c r="L27" i="4"/>
  <c r="J29" i="4" l="1"/>
  <c r="I29" i="4"/>
  <c r="N29" i="4" s="1"/>
  <c r="H29" i="4"/>
  <c r="M29" i="4" s="1"/>
  <c r="D29" i="4"/>
  <c r="E29" i="4"/>
  <c r="C29" i="4"/>
  <c r="F29" i="4" s="1"/>
  <c r="A30" i="4"/>
  <c r="K28" i="4"/>
  <c r="L28" i="4"/>
  <c r="N28" i="4"/>
  <c r="I30" i="4" l="1"/>
  <c r="J30" i="4"/>
  <c r="H30" i="4"/>
  <c r="M30" i="4" s="1"/>
  <c r="O28" i="4"/>
  <c r="C30" i="4"/>
  <c r="F30" i="4" s="1"/>
  <c r="D30" i="4"/>
  <c r="A31" i="4"/>
  <c r="E30" i="4"/>
  <c r="O29" i="4"/>
  <c r="L29" i="4"/>
  <c r="K29" i="4"/>
  <c r="H31" i="4" l="1"/>
  <c r="M31" i="4" s="1"/>
  <c r="I31" i="4"/>
  <c r="J31" i="4"/>
  <c r="L30" i="4"/>
  <c r="K30" i="4"/>
  <c r="N30" i="4"/>
  <c r="A32" i="4"/>
  <c r="C31" i="4"/>
  <c r="F31" i="4" s="1"/>
  <c r="E31" i="4"/>
  <c r="D31" i="4"/>
  <c r="I32" i="4" l="1"/>
  <c r="J32" i="4"/>
  <c r="H32" i="4"/>
  <c r="M32" i="4" s="1"/>
  <c r="N31" i="4"/>
  <c r="O30" i="4"/>
  <c r="E32" i="4"/>
  <c r="A33" i="4"/>
  <c r="C32" i="4"/>
  <c r="F32" i="4" s="1"/>
  <c r="D32" i="4"/>
  <c r="K31" i="4"/>
  <c r="L31" i="4"/>
  <c r="H33" i="4" l="1"/>
  <c r="M33" i="4" s="1"/>
  <c r="J33" i="4"/>
  <c r="I33" i="4"/>
  <c r="N33" i="4" s="1"/>
  <c r="L32" i="4"/>
  <c r="K32" i="4"/>
  <c r="O31" i="4"/>
  <c r="D33" i="4"/>
  <c r="C33" i="4"/>
  <c r="F33" i="4" s="1"/>
  <c r="A34" i="4"/>
  <c r="E33" i="4"/>
  <c r="N32" i="4"/>
  <c r="H34" i="4" l="1"/>
  <c r="M34" i="4" s="1"/>
  <c r="I34" i="4"/>
  <c r="J34" i="4"/>
  <c r="O32" i="4"/>
  <c r="C34" i="4"/>
  <c r="F34" i="4" s="1"/>
  <c r="A35" i="4"/>
  <c r="E34" i="4"/>
  <c r="D34" i="4"/>
  <c r="O33" i="4"/>
  <c r="L33" i="4"/>
  <c r="K33" i="4"/>
  <c r="I35" i="4" l="1"/>
  <c r="H35" i="4"/>
  <c r="M35" i="4" s="1"/>
  <c r="J35" i="4"/>
  <c r="L34" i="4"/>
  <c r="K34" i="4"/>
  <c r="N34" i="4"/>
  <c r="A36" i="4"/>
  <c r="E35" i="4"/>
  <c r="D35" i="4"/>
  <c r="C35" i="4"/>
  <c r="F35" i="4" s="1"/>
  <c r="I36" i="4" l="1"/>
  <c r="H36" i="4"/>
  <c r="M36" i="4" s="1"/>
  <c r="J36" i="4"/>
  <c r="O34" i="4"/>
  <c r="K35" i="4"/>
  <c r="L35" i="4"/>
  <c r="N35" i="4"/>
  <c r="E36" i="4"/>
  <c r="D36" i="4"/>
  <c r="C36" i="4"/>
  <c r="F36" i="4" s="1"/>
  <c r="A37" i="4"/>
  <c r="H37" i="4" l="1"/>
  <c r="M37" i="4" s="1"/>
  <c r="J37" i="4"/>
  <c r="I37" i="4"/>
  <c r="N36" i="4"/>
  <c r="D37" i="4"/>
  <c r="C37" i="4"/>
  <c r="F37" i="4" s="1"/>
  <c r="A38" i="4"/>
  <c r="E37" i="4"/>
  <c r="L36" i="4"/>
  <c r="K36" i="4"/>
  <c r="O35" i="4"/>
  <c r="J38" i="4" l="1"/>
  <c r="I38" i="4"/>
  <c r="H38" i="4"/>
  <c r="M38" i="4" s="1"/>
  <c r="O36" i="4"/>
  <c r="N37" i="4"/>
  <c r="C38" i="4"/>
  <c r="F38" i="4" s="1"/>
  <c r="A39" i="4"/>
  <c r="E38" i="4"/>
  <c r="D38" i="4"/>
  <c r="L37" i="4"/>
  <c r="K37" i="4"/>
  <c r="I39" i="4" l="1"/>
  <c r="N39" i="4" s="1"/>
  <c r="J39" i="4"/>
  <c r="H39" i="4"/>
  <c r="M39" i="4" s="1"/>
  <c r="L38" i="4"/>
  <c r="K38" i="4"/>
  <c r="A40" i="4"/>
  <c r="E39" i="4"/>
  <c r="D39" i="4"/>
  <c r="C39" i="4"/>
  <c r="F39" i="4" s="1"/>
  <c r="N38" i="4"/>
  <c r="O37" i="4"/>
  <c r="I40" i="4" l="1"/>
  <c r="N40" i="4" s="1"/>
  <c r="H40" i="4"/>
  <c r="M40" i="4" s="1"/>
  <c r="J40" i="4"/>
  <c r="A41" i="4"/>
  <c r="E40" i="4"/>
  <c r="D40" i="4"/>
  <c r="C40" i="4"/>
  <c r="F40" i="4" s="1"/>
  <c r="K39" i="4"/>
  <c r="L39" i="4"/>
  <c r="O39" i="4"/>
  <c r="O38" i="4"/>
  <c r="H41" i="4" l="1"/>
  <c r="M41" i="4" s="1"/>
  <c r="I41" i="4"/>
  <c r="N41" i="4" s="1"/>
  <c r="J41" i="4"/>
  <c r="E41" i="4"/>
  <c r="D41" i="4"/>
  <c r="C41" i="4"/>
  <c r="F41" i="4" s="1"/>
  <c r="A42" i="4"/>
  <c r="O40" i="4"/>
  <c r="L40" i="4"/>
  <c r="K40" i="4"/>
  <c r="I42" i="4" l="1"/>
  <c r="H42" i="4"/>
  <c r="M42" i="4" s="1"/>
  <c r="J42" i="4"/>
  <c r="L41" i="4"/>
  <c r="K41" i="4"/>
  <c r="O41" i="4"/>
  <c r="D42" i="4"/>
  <c r="C42" i="4"/>
  <c r="F42" i="4" s="1"/>
  <c r="A43" i="4"/>
  <c r="E42" i="4"/>
  <c r="H43" i="4" l="1"/>
  <c r="M43" i="4" s="1"/>
  <c r="I43" i="4"/>
  <c r="N43" i="4" s="1"/>
  <c r="J43" i="4"/>
  <c r="L42" i="4"/>
  <c r="K42" i="4"/>
  <c r="N42" i="4"/>
  <c r="A44" i="4"/>
  <c r="C43" i="4"/>
  <c r="F43" i="4" s="1"/>
  <c r="E43" i="4"/>
  <c r="D43" i="4"/>
  <c r="I44" i="4" l="1"/>
  <c r="J44" i="4"/>
  <c r="H44" i="4"/>
  <c r="M44" i="4" s="1"/>
  <c r="O43" i="4"/>
  <c r="K43" i="4"/>
  <c r="L43" i="4"/>
  <c r="O42" i="4"/>
  <c r="E44" i="4"/>
  <c r="D44" i="4"/>
  <c r="A45" i="4"/>
  <c r="C44" i="4"/>
  <c r="F44" i="4" s="1"/>
  <c r="I45" i="4" l="1"/>
  <c r="H45" i="4"/>
  <c r="M45" i="4" s="1"/>
  <c r="J45" i="4"/>
  <c r="N44" i="4"/>
  <c r="D45" i="4"/>
  <c r="E45" i="4"/>
  <c r="C45" i="4"/>
  <c r="F45" i="4" s="1"/>
  <c r="A46" i="4"/>
  <c r="K44" i="4"/>
  <c r="L44" i="4"/>
  <c r="I46" i="4" l="1"/>
  <c r="H46" i="4"/>
  <c r="M46" i="4" s="1"/>
  <c r="J46" i="4"/>
  <c r="N45" i="4"/>
  <c r="L45" i="4"/>
  <c r="K45" i="4"/>
  <c r="O44" i="4"/>
  <c r="C46" i="4"/>
  <c r="F46" i="4" s="1"/>
  <c r="E46" i="4"/>
  <c r="A47" i="4"/>
  <c r="D46" i="4"/>
  <c r="H47" i="4" l="1"/>
  <c r="M47" i="4" s="1"/>
  <c r="I47" i="4"/>
  <c r="J47" i="4"/>
  <c r="O45" i="4"/>
  <c r="L46" i="4"/>
  <c r="K46" i="4"/>
  <c r="N46" i="4"/>
  <c r="A48" i="4"/>
  <c r="C47" i="4"/>
  <c r="F47" i="4" s="1"/>
  <c r="E47" i="4"/>
  <c r="D47" i="4"/>
  <c r="H48" i="4" l="1"/>
  <c r="M48" i="4" s="1"/>
  <c r="J48" i="4"/>
  <c r="I48" i="4"/>
  <c r="E48" i="4"/>
  <c r="D48" i="4"/>
  <c r="A49" i="4"/>
  <c r="C48" i="4"/>
  <c r="F48" i="4" s="1"/>
  <c r="K47" i="4"/>
  <c r="L47" i="4"/>
  <c r="N47" i="4"/>
  <c r="O46" i="4"/>
  <c r="J49" i="4" l="1"/>
  <c r="H49" i="4"/>
  <c r="M49" i="4" s="1"/>
  <c r="I49" i="4"/>
  <c r="O47" i="4"/>
  <c r="L48" i="4"/>
  <c r="K48" i="4"/>
  <c r="D49" i="4"/>
  <c r="A50" i="4"/>
  <c r="C49" i="4"/>
  <c r="F49" i="4" s="1"/>
  <c r="E49" i="4"/>
  <c r="N48" i="4"/>
  <c r="H50" i="4" l="1"/>
  <c r="M50" i="4" s="1"/>
  <c r="J50" i="4"/>
  <c r="I50" i="4"/>
  <c r="C50" i="4"/>
  <c r="F50" i="4" s="1"/>
  <c r="E50" i="4"/>
  <c r="A51" i="4"/>
  <c r="D50" i="4"/>
  <c r="L49" i="4"/>
  <c r="K49" i="4"/>
  <c r="N49" i="4"/>
  <c r="O48" i="4"/>
  <c r="I51" i="4" l="1"/>
  <c r="H51" i="4"/>
  <c r="M51" i="4" s="1"/>
  <c r="J51" i="4"/>
  <c r="A52" i="4"/>
  <c r="D51" i="4"/>
  <c r="C51" i="4"/>
  <c r="F51" i="4" s="1"/>
  <c r="E51" i="4"/>
  <c r="N50" i="4"/>
  <c r="O49" i="4"/>
  <c r="L50" i="4"/>
  <c r="K50" i="4"/>
  <c r="I52" i="4" l="1"/>
  <c r="J52" i="4"/>
  <c r="H52" i="4"/>
  <c r="M52" i="4" s="1"/>
  <c r="K51" i="4"/>
  <c r="L51" i="4"/>
  <c r="N51" i="4"/>
  <c r="O50" i="4"/>
  <c r="E52" i="4"/>
  <c r="D52" i="4"/>
  <c r="A53" i="4"/>
  <c r="C52" i="4"/>
  <c r="F52" i="4" s="1"/>
  <c r="H53" i="4" l="1"/>
  <c r="M53" i="4" s="1"/>
  <c r="J53" i="4"/>
  <c r="I53" i="4"/>
  <c r="N53" i="4" s="1"/>
  <c r="D53" i="4"/>
  <c r="E53" i="4"/>
  <c r="A54" i="4"/>
  <c r="C53" i="4"/>
  <c r="F53" i="4" s="1"/>
  <c r="L52" i="4"/>
  <c r="K52" i="4"/>
  <c r="N52" i="4"/>
  <c r="O51" i="4"/>
  <c r="I54" i="4" l="1"/>
  <c r="N54" i="4" s="1"/>
  <c r="H54" i="4"/>
  <c r="M54" i="4" s="1"/>
  <c r="J54" i="4"/>
  <c r="U51" i="4" s="1"/>
  <c r="K53" i="4"/>
  <c r="L53" i="4"/>
  <c r="U48" i="4"/>
  <c r="U49" i="4"/>
  <c r="X53" i="4"/>
  <c r="O52" i="4"/>
  <c r="Y50" i="4"/>
  <c r="Y48" i="4"/>
  <c r="C54" i="4"/>
  <c r="F54" i="4" s="1"/>
  <c r="E54" i="4"/>
  <c r="D54" i="4"/>
  <c r="O53" i="4"/>
  <c r="U52" i="4" l="1"/>
  <c r="U53" i="4"/>
  <c r="X54" i="4"/>
  <c r="X21" i="4"/>
  <c r="X22" i="4"/>
  <c r="M14" i="4"/>
  <c r="X23" i="4"/>
  <c r="X24" i="4"/>
  <c r="X20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7" i="4"/>
  <c r="X39" i="4"/>
  <c r="X41" i="4"/>
  <c r="X40" i="4"/>
  <c r="X43" i="4"/>
  <c r="X44" i="4"/>
  <c r="X42" i="4"/>
  <c r="X45" i="4"/>
  <c r="X46" i="4"/>
  <c r="X47" i="4"/>
  <c r="X48" i="4"/>
  <c r="X49" i="4"/>
  <c r="X52" i="4"/>
  <c r="X51" i="4"/>
  <c r="O54" i="4"/>
  <c r="Z51" i="4" s="1"/>
  <c r="Y54" i="4"/>
  <c r="Y21" i="4"/>
  <c r="Y20" i="4"/>
  <c r="N14" i="4"/>
  <c r="Y22" i="4"/>
  <c r="Y23" i="4"/>
  <c r="Y25" i="4"/>
  <c r="Y24" i="4"/>
  <c r="Y26" i="4"/>
  <c r="Y27" i="4"/>
  <c r="Y29" i="4"/>
  <c r="Y32" i="4"/>
  <c r="Y30" i="4"/>
  <c r="Y31" i="4"/>
  <c r="Y28" i="4"/>
  <c r="Y33" i="4"/>
  <c r="Y36" i="4"/>
  <c r="Y37" i="4"/>
  <c r="Y35" i="4"/>
  <c r="Y34" i="4"/>
  <c r="Y39" i="4"/>
  <c r="Y40" i="4"/>
  <c r="Y38" i="4"/>
  <c r="Y41" i="4"/>
  <c r="Y42" i="4"/>
  <c r="Y43" i="4"/>
  <c r="Y45" i="4"/>
  <c r="Y44" i="4"/>
  <c r="Y46" i="4"/>
  <c r="Y47" i="4"/>
  <c r="Y53" i="4"/>
  <c r="Y52" i="4"/>
  <c r="Y51" i="4"/>
  <c r="Z53" i="4"/>
  <c r="Z47" i="4"/>
  <c r="Z48" i="4"/>
  <c r="Y49" i="4"/>
  <c r="Z52" i="4"/>
  <c r="Z50" i="4"/>
  <c r="X50" i="4"/>
  <c r="L54" i="4"/>
  <c r="W53" i="4" s="1"/>
  <c r="K54" i="4"/>
  <c r="U54" i="4"/>
  <c r="U22" i="4"/>
  <c r="U21" i="4"/>
  <c r="J14" i="4"/>
  <c r="U20" i="4"/>
  <c r="U23" i="4"/>
  <c r="U25" i="4"/>
  <c r="U24" i="4"/>
  <c r="U27" i="4"/>
  <c r="U26" i="4"/>
  <c r="U29" i="4"/>
  <c r="U30" i="4"/>
  <c r="U31" i="4"/>
  <c r="U28" i="4"/>
  <c r="U32" i="4"/>
  <c r="U33" i="4"/>
  <c r="U35" i="4"/>
  <c r="U34" i="4"/>
  <c r="U38" i="4"/>
  <c r="U36" i="4"/>
  <c r="U37" i="4"/>
  <c r="U39" i="4"/>
  <c r="U40" i="4"/>
  <c r="U41" i="4"/>
  <c r="U43" i="4"/>
  <c r="U42" i="4"/>
  <c r="U44" i="4"/>
  <c r="U45" i="4"/>
  <c r="U46" i="4"/>
  <c r="U47" i="4"/>
  <c r="U50" i="4"/>
  <c r="V54" i="4" l="1"/>
  <c r="V22" i="4"/>
  <c r="V21" i="4"/>
  <c r="V20" i="4"/>
  <c r="AB19" i="4" s="1"/>
  <c r="V24" i="4"/>
  <c r="V25" i="4"/>
  <c r="K14" i="4"/>
  <c r="V23" i="4"/>
  <c r="V26" i="4"/>
  <c r="V27" i="4"/>
  <c r="V28" i="4"/>
  <c r="AB27" i="4" s="1"/>
  <c r="V30" i="4"/>
  <c r="AB29" i="4" s="1"/>
  <c r="V29" i="4"/>
  <c r="V31" i="4"/>
  <c r="V36" i="4"/>
  <c r="AC35" i="4" s="1"/>
  <c r="V34" i="4"/>
  <c r="V32" i="4"/>
  <c r="V33" i="4"/>
  <c r="V35" i="4"/>
  <c r="V38" i="4"/>
  <c r="V37" i="4"/>
  <c r="V39" i="4"/>
  <c r="V40" i="4"/>
  <c r="V42" i="4"/>
  <c r="AB41" i="4" s="1"/>
  <c r="V41" i="4"/>
  <c r="V44" i="4"/>
  <c r="V43" i="4"/>
  <c r="V45" i="4"/>
  <c r="V46" i="4"/>
  <c r="V48" i="4"/>
  <c r="AC24" i="4"/>
  <c r="V49" i="4"/>
  <c r="W54" i="4"/>
  <c r="W21" i="4"/>
  <c r="AC20" i="4" s="1"/>
  <c r="L14" i="4"/>
  <c r="W20" i="4"/>
  <c r="W22" i="4"/>
  <c r="W24" i="4"/>
  <c r="AC23" i="4" s="1"/>
  <c r="W23" i="4"/>
  <c r="AC22" i="4" s="1"/>
  <c r="W25" i="4"/>
  <c r="W26" i="4"/>
  <c r="W29" i="4"/>
  <c r="W27" i="4"/>
  <c r="AC26" i="4" s="1"/>
  <c r="W28" i="4"/>
  <c r="W30" i="4"/>
  <c r="W31" i="4"/>
  <c r="AC30" i="4" s="1"/>
  <c r="W32" i="4"/>
  <c r="AB31" i="4" s="1"/>
  <c r="W33" i="4"/>
  <c r="W36" i="4"/>
  <c r="W34" i="4"/>
  <c r="W35" i="4"/>
  <c r="AC34" i="4" s="1"/>
  <c r="W37" i="4"/>
  <c r="AC36" i="4" s="1"/>
  <c r="W38" i="4"/>
  <c r="W39" i="4"/>
  <c r="AC38" i="4" s="1"/>
  <c r="W43" i="4"/>
  <c r="AC42" i="4" s="1"/>
  <c r="W42" i="4"/>
  <c r="W40" i="4"/>
  <c r="W41" i="4"/>
  <c r="AC40" i="4" s="1"/>
  <c r="W45" i="4"/>
  <c r="AC44" i="4" s="1"/>
  <c r="W44" i="4"/>
  <c r="W47" i="4"/>
  <c r="W46" i="4"/>
  <c r="AC45" i="4" s="1"/>
  <c r="W52" i="4"/>
  <c r="W50" i="4"/>
  <c r="W48" i="4"/>
  <c r="AC47" i="4" s="1"/>
  <c r="V50" i="4"/>
  <c r="AB49" i="4" s="1"/>
  <c r="W49" i="4"/>
  <c r="AC48" i="4" s="1"/>
  <c r="AC25" i="4"/>
  <c r="AC21" i="4"/>
  <c r="AC53" i="4"/>
  <c r="V51" i="4"/>
  <c r="AC37" i="4"/>
  <c r="V53" i="4"/>
  <c r="AB52" i="4" s="1"/>
  <c r="AC39" i="4"/>
  <c r="AB45" i="4"/>
  <c r="V47" i="4"/>
  <c r="AC46" i="4" s="1"/>
  <c r="W51" i="4"/>
  <c r="AC50" i="4" s="1"/>
  <c r="AC43" i="4"/>
  <c r="AC32" i="4"/>
  <c r="Z54" i="4"/>
  <c r="AB53" i="4" s="1"/>
  <c r="Z22" i="4"/>
  <c r="Z21" i="4"/>
  <c r="Z20" i="4"/>
  <c r="O14" i="4"/>
  <c r="Z24" i="4"/>
  <c r="Z26" i="4"/>
  <c r="Z23" i="4"/>
  <c r="Z25" i="4"/>
  <c r="AB24" i="4" s="1"/>
  <c r="Z27" i="4"/>
  <c r="Z29" i="4"/>
  <c r="Z28" i="4"/>
  <c r="Z33" i="4"/>
  <c r="Z30" i="4"/>
  <c r="Z31" i="4"/>
  <c r="Z32" i="4"/>
  <c r="Z39" i="4"/>
  <c r="Z35" i="4"/>
  <c r="Z34" i="4"/>
  <c r="Z36" i="4"/>
  <c r="Z37" i="4"/>
  <c r="AB36" i="4" s="1"/>
  <c r="Z38" i="4"/>
  <c r="Z40" i="4"/>
  <c r="AB39" i="4" s="1"/>
  <c r="Z41" i="4"/>
  <c r="Z43" i="4"/>
  <c r="Z42" i="4"/>
  <c r="Z45" i="4"/>
  <c r="Z44" i="4"/>
  <c r="AB43" i="4" s="1"/>
  <c r="Z46" i="4"/>
  <c r="Z49" i="4"/>
  <c r="V52" i="4"/>
  <c r="AB28" i="4" l="1"/>
  <c r="AB42" i="4"/>
  <c r="AB34" i="4"/>
  <c r="AB35" i="4"/>
  <c r="AC29" i="4"/>
  <c r="AB25" i="4"/>
  <c r="AB21" i="4"/>
  <c r="AB32" i="4"/>
  <c r="AC51" i="4"/>
  <c r="P52" i="4" s="1"/>
  <c r="AB44" i="4"/>
  <c r="AB33" i="4"/>
  <c r="AB22" i="4"/>
  <c r="AB37" i="4"/>
  <c r="AB30" i="4"/>
  <c r="AC19" i="4"/>
  <c r="Q20" i="4" s="1"/>
  <c r="S20" i="4" s="1"/>
  <c r="AC41" i="4"/>
  <c r="P42" i="4" s="1"/>
  <c r="AC49" i="4"/>
  <c r="Q49" i="4" s="1"/>
  <c r="Q43" i="4"/>
  <c r="P43" i="4"/>
  <c r="R43" i="4" s="1"/>
  <c r="P27" i="4"/>
  <c r="P51" i="4"/>
  <c r="Q51" i="4"/>
  <c r="P46" i="4"/>
  <c r="Q46" i="4"/>
  <c r="Q39" i="4"/>
  <c r="P39" i="4"/>
  <c r="R39" i="4" s="1"/>
  <c r="Q24" i="4"/>
  <c r="P24" i="4"/>
  <c r="Q48" i="4"/>
  <c r="P48" i="4"/>
  <c r="R48" i="4" s="1"/>
  <c r="P30" i="4"/>
  <c r="Q30" i="4"/>
  <c r="P49" i="4"/>
  <c r="Q45" i="4"/>
  <c r="P45" i="4"/>
  <c r="Q35" i="4"/>
  <c r="P35" i="4"/>
  <c r="P23" i="4"/>
  <c r="Q23" i="4"/>
  <c r="AF19" i="4"/>
  <c r="P41" i="4"/>
  <c r="P31" i="4"/>
  <c r="Q21" i="4"/>
  <c r="P21" i="4"/>
  <c r="Q47" i="4"/>
  <c r="P47" i="4"/>
  <c r="R47" i="4" s="1"/>
  <c r="P50" i="4"/>
  <c r="Q50" i="4"/>
  <c r="Q37" i="4"/>
  <c r="P37" i="4"/>
  <c r="R37" i="4" s="1"/>
  <c r="P54" i="4"/>
  <c r="Q54" i="4"/>
  <c r="Q42" i="4"/>
  <c r="AC52" i="4"/>
  <c r="P44" i="4"/>
  <c r="Q44" i="4"/>
  <c r="AB46" i="4"/>
  <c r="Q36" i="4"/>
  <c r="P36" i="4"/>
  <c r="R36" i="4" s="1"/>
  <c r="AB20" i="4"/>
  <c r="AB40" i="4"/>
  <c r="P33" i="4"/>
  <c r="AB26" i="4"/>
  <c r="AC27" i="4"/>
  <c r="Q27" i="4" s="1"/>
  <c r="AC28" i="4"/>
  <c r="AB47" i="4"/>
  <c r="Q40" i="4"/>
  <c r="P40" i="4"/>
  <c r="P38" i="4"/>
  <c r="Q38" i="4"/>
  <c r="P26" i="4"/>
  <c r="Q26" i="4"/>
  <c r="Q25" i="4"/>
  <c r="P25" i="4"/>
  <c r="AC31" i="4"/>
  <c r="Q31" i="4" s="1"/>
  <c r="AC33" i="4"/>
  <c r="Q33" i="4" s="1"/>
  <c r="AB50" i="4"/>
  <c r="AB23" i="4"/>
  <c r="AB51" i="4"/>
  <c r="AB38" i="4"/>
  <c r="P22" i="4"/>
  <c r="Q22" i="4"/>
  <c r="AB48" i="4"/>
  <c r="R42" i="4" l="1"/>
  <c r="Q41" i="4"/>
  <c r="R25" i="4"/>
  <c r="P20" i="4"/>
  <c r="R20" i="4" s="1"/>
  <c r="R35" i="4"/>
  <c r="R33" i="4"/>
  <c r="R44" i="4"/>
  <c r="R31" i="4"/>
  <c r="R49" i="4"/>
  <c r="R40" i="4"/>
  <c r="R21" i="4"/>
  <c r="R41" i="4"/>
  <c r="R45" i="4"/>
  <c r="R24" i="4"/>
  <c r="Q29" i="4"/>
  <c r="P29" i="4"/>
  <c r="R54" i="4"/>
  <c r="AG53" i="4" s="1"/>
  <c r="P34" i="4"/>
  <c r="Q34" i="4"/>
  <c r="R22" i="4"/>
  <c r="R38" i="4"/>
  <c r="Q53" i="4"/>
  <c r="P53" i="4"/>
  <c r="R53" i="4" s="1"/>
  <c r="AG52" i="4" s="1"/>
  <c r="AF47" i="4"/>
  <c r="AF49" i="4"/>
  <c r="AF44" i="4"/>
  <c r="AF28" i="4"/>
  <c r="AF50" i="4"/>
  <c r="AF36" i="4"/>
  <c r="AF45" i="4"/>
  <c r="AF37" i="4"/>
  <c r="AF46" i="4"/>
  <c r="AH47" i="4" s="1"/>
  <c r="AF20" i="4"/>
  <c r="AF32" i="4"/>
  <c r="AF24" i="4"/>
  <c r="AF25" i="4"/>
  <c r="AF53" i="4"/>
  <c r="AH54" i="4" s="1"/>
  <c r="AF27" i="4"/>
  <c r="AF34" i="4"/>
  <c r="AF35" i="4"/>
  <c r="AF43" i="4"/>
  <c r="AH44" i="4" s="1"/>
  <c r="AF33" i="4"/>
  <c r="AF31" i="4"/>
  <c r="AH32" i="4" s="1"/>
  <c r="AF38" i="4"/>
  <c r="AH39" i="4" s="1"/>
  <c r="AF29" i="4"/>
  <c r="AF21" i="4"/>
  <c r="AF48" i="4"/>
  <c r="AF30" i="4"/>
  <c r="AF51" i="4"/>
  <c r="AF40" i="4"/>
  <c r="AF23" i="4"/>
  <c r="AH24" i="4" s="1"/>
  <c r="AF52" i="4"/>
  <c r="AF41" i="4"/>
  <c r="AF39" i="4"/>
  <c r="AH40" i="4" s="1"/>
  <c r="AF42" i="4"/>
  <c r="AF22" i="4"/>
  <c r="AF26" i="4"/>
  <c r="AH27" i="4" s="1"/>
  <c r="R51" i="4"/>
  <c r="Q28" i="4"/>
  <c r="P28" i="4"/>
  <c r="R28" i="4" s="1"/>
  <c r="Q32" i="4"/>
  <c r="P32" i="4"/>
  <c r="R26" i="4"/>
  <c r="R50" i="4"/>
  <c r="R23" i="4"/>
  <c r="R30" i="4"/>
  <c r="R46" i="4"/>
  <c r="R27" i="4"/>
  <c r="Q52" i="4"/>
  <c r="R52" i="4" s="1"/>
  <c r="AH23" i="4" l="1"/>
  <c r="AH31" i="4"/>
  <c r="AH26" i="4"/>
  <c r="AH43" i="4"/>
  <c r="AH49" i="4"/>
  <c r="AH53" i="4"/>
  <c r="AH36" i="4"/>
  <c r="AH51" i="4"/>
  <c r="AH41" i="4"/>
  <c r="AH34" i="4"/>
  <c r="AH28" i="4"/>
  <c r="AH35" i="4"/>
  <c r="AH25" i="4"/>
  <c r="AH38" i="4"/>
  <c r="AH29" i="4"/>
  <c r="AH48" i="4"/>
  <c r="AH22" i="4"/>
  <c r="AH33" i="4"/>
  <c r="AH46" i="4"/>
  <c r="AH45" i="4"/>
  <c r="AH42" i="4"/>
  <c r="AH52" i="4"/>
  <c r="AH30" i="4"/>
  <c r="AH21" i="4"/>
  <c r="AH37" i="4"/>
  <c r="AH50" i="4"/>
  <c r="AH20" i="4"/>
  <c r="R32" i="4"/>
  <c r="AG51" i="4"/>
  <c r="AG36" i="4"/>
  <c r="AG48" i="4"/>
  <c r="AG40" i="4"/>
  <c r="AG42" i="4"/>
  <c r="AG38" i="4"/>
  <c r="AG41" i="4"/>
  <c r="R34" i="4"/>
  <c r="AG49" i="4"/>
  <c r="AG50" i="4"/>
  <c r="AG37" i="4"/>
  <c r="AG46" i="4"/>
  <c r="AG47" i="4"/>
  <c r="AG35" i="4"/>
  <c r="AG29" i="4"/>
  <c r="P14" i="4"/>
  <c r="AG31" i="4"/>
  <c r="AG45" i="4"/>
  <c r="AG43" i="4"/>
  <c r="AG44" i="4"/>
  <c r="AG39" i="4"/>
  <c r="R29" i="4"/>
  <c r="AG28" i="4" s="1"/>
  <c r="AG34" i="4"/>
  <c r="AG26" i="4" l="1"/>
  <c r="AG21" i="4"/>
  <c r="AG33" i="4"/>
  <c r="AG30" i="4"/>
  <c r="AG32" i="4"/>
  <c r="AG19" i="4"/>
  <c r="AG20" i="4"/>
  <c r="AG22" i="4"/>
  <c r="AG24" i="4"/>
  <c r="R14" i="4"/>
  <c r="AG25" i="4"/>
  <c r="AG27" i="4"/>
  <c r="AG23" i="4"/>
  <c r="AB54" i="3" l="1"/>
  <c r="AC54" i="3" l="1"/>
  <c r="C20" i="3"/>
  <c r="C11" i="3"/>
  <c r="AG54" i="3" s="1"/>
  <c r="C10" i="3"/>
  <c r="J19" i="3"/>
  <c r="I19" i="3"/>
  <c r="I20" i="3" s="1"/>
  <c r="N20" i="3" s="1"/>
  <c r="H19" i="3"/>
  <c r="A21" i="3"/>
  <c r="B34" i="2"/>
  <c r="B35" i="2" s="1"/>
  <c r="B36" i="2"/>
  <c r="B37" i="2" s="1"/>
  <c r="B38" i="2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H20" i="3"/>
  <c r="M20" i="3" s="1"/>
  <c r="J20" i="3"/>
  <c r="AF54" i="3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A34" i="2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B10" i="2"/>
  <c r="O20" i="3" l="1"/>
  <c r="D20" i="3"/>
  <c r="E20" i="3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K20" i="3"/>
  <c r="L20" i="3"/>
  <c r="E21" i="3"/>
  <c r="D21" i="3"/>
  <c r="A22" i="3"/>
  <c r="C21" i="3"/>
  <c r="F20" i="3" l="1"/>
  <c r="F21" i="3"/>
  <c r="J21" i="3"/>
  <c r="H21" i="3"/>
  <c r="M21" i="3" s="1"/>
  <c r="I21" i="3"/>
  <c r="N21" i="3" s="1"/>
  <c r="D22" i="3"/>
  <c r="E22" i="3"/>
  <c r="A23" i="3"/>
  <c r="C22" i="3"/>
  <c r="E23" i="3" l="1"/>
  <c r="D23" i="3"/>
  <c r="A24" i="3"/>
  <c r="C23" i="3"/>
  <c r="K21" i="3"/>
  <c r="L21" i="3"/>
  <c r="O21" i="3"/>
  <c r="F22" i="3"/>
  <c r="I22" i="3"/>
  <c r="N22" i="3" s="1"/>
  <c r="H22" i="3"/>
  <c r="M22" i="3" s="1"/>
  <c r="J22" i="3"/>
  <c r="O22" i="3" l="1"/>
  <c r="D24" i="3"/>
  <c r="C24" i="3"/>
  <c r="A25" i="3"/>
  <c r="E24" i="3"/>
  <c r="F23" i="3"/>
  <c r="H23" i="3"/>
  <c r="M23" i="3" s="1"/>
  <c r="I23" i="3"/>
  <c r="N23" i="3" s="1"/>
  <c r="J23" i="3"/>
  <c r="K22" i="3"/>
  <c r="L22" i="3"/>
  <c r="O23" i="3" l="1"/>
  <c r="F24" i="3"/>
  <c r="I24" i="3"/>
  <c r="N24" i="3" s="1"/>
  <c r="J24" i="3"/>
  <c r="H24" i="3"/>
  <c r="M24" i="3" s="1"/>
  <c r="L23" i="3"/>
  <c r="K23" i="3"/>
  <c r="E25" i="3"/>
  <c r="D25" i="3"/>
  <c r="A26" i="3"/>
  <c r="C25" i="3"/>
  <c r="D26" i="3" l="1"/>
  <c r="E26" i="3"/>
  <c r="C26" i="3"/>
  <c r="A27" i="3"/>
  <c r="O24" i="3"/>
  <c r="K24" i="3"/>
  <c r="L24" i="3"/>
  <c r="F25" i="3"/>
  <c r="J25" i="3"/>
  <c r="I25" i="3"/>
  <c r="N25" i="3" s="1"/>
  <c r="H25" i="3"/>
  <c r="M25" i="3" s="1"/>
  <c r="K25" i="3" l="1"/>
  <c r="L25" i="3"/>
  <c r="F26" i="3"/>
  <c r="J26" i="3"/>
  <c r="H26" i="3"/>
  <c r="M26" i="3" s="1"/>
  <c r="I26" i="3"/>
  <c r="N26" i="3" s="1"/>
  <c r="O25" i="3"/>
  <c r="E27" i="3"/>
  <c r="D27" i="3"/>
  <c r="A28" i="3"/>
  <c r="C27" i="3"/>
  <c r="K26" i="3" l="1"/>
  <c r="L26" i="3"/>
  <c r="H27" i="3"/>
  <c r="M27" i="3" s="1"/>
  <c r="F27" i="3"/>
  <c r="J27" i="3"/>
  <c r="I27" i="3"/>
  <c r="N27" i="3" s="1"/>
  <c r="D28" i="3"/>
  <c r="E28" i="3"/>
  <c r="C28" i="3"/>
  <c r="A29" i="3"/>
  <c r="O26" i="3"/>
  <c r="E29" i="3" l="1"/>
  <c r="D29" i="3"/>
  <c r="A30" i="3"/>
  <c r="C29" i="3"/>
  <c r="F28" i="3"/>
  <c r="I28" i="3"/>
  <c r="N28" i="3" s="1"/>
  <c r="J28" i="3"/>
  <c r="H28" i="3"/>
  <c r="M28" i="3" s="1"/>
  <c r="K27" i="3"/>
  <c r="L27" i="3"/>
  <c r="O27" i="3"/>
  <c r="K28" i="3" l="1"/>
  <c r="L28" i="3"/>
  <c r="O28" i="3"/>
  <c r="F29" i="3"/>
  <c r="I29" i="3"/>
  <c r="N29" i="3" s="1"/>
  <c r="H29" i="3"/>
  <c r="M29" i="3" s="1"/>
  <c r="J29" i="3"/>
  <c r="D30" i="3"/>
  <c r="E30" i="3"/>
  <c r="C30" i="3"/>
  <c r="A31" i="3"/>
  <c r="K29" i="3" l="1"/>
  <c r="L29" i="3"/>
  <c r="E31" i="3"/>
  <c r="D31" i="3"/>
  <c r="C31" i="3"/>
  <c r="A32" i="3"/>
  <c r="O29" i="3"/>
  <c r="F30" i="3"/>
  <c r="J30" i="3"/>
  <c r="H30" i="3"/>
  <c r="M30" i="3" s="1"/>
  <c r="I30" i="3"/>
  <c r="N30" i="3" s="1"/>
  <c r="K30" i="3" l="1"/>
  <c r="L30" i="3"/>
  <c r="F31" i="3"/>
  <c r="J31" i="3"/>
  <c r="I31" i="3"/>
  <c r="N31" i="3" s="1"/>
  <c r="H31" i="3"/>
  <c r="M31" i="3" s="1"/>
  <c r="O30" i="3"/>
  <c r="D32" i="3"/>
  <c r="C32" i="3"/>
  <c r="E32" i="3"/>
  <c r="A33" i="3"/>
  <c r="F32" i="3" l="1"/>
  <c r="H32" i="3"/>
  <c r="M32" i="3" s="1"/>
  <c r="I32" i="3"/>
  <c r="N32" i="3" s="1"/>
  <c r="J32" i="3"/>
  <c r="E33" i="3"/>
  <c r="D33" i="3"/>
  <c r="A34" i="3"/>
  <c r="C33" i="3"/>
  <c r="O31" i="3"/>
  <c r="K31" i="3"/>
  <c r="L31" i="3"/>
  <c r="O32" i="3" l="1"/>
  <c r="F33" i="3"/>
  <c r="H33" i="3"/>
  <c r="M33" i="3" s="1"/>
  <c r="I33" i="3"/>
  <c r="N33" i="3" s="1"/>
  <c r="J33" i="3"/>
  <c r="D34" i="3"/>
  <c r="E34" i="3"/>
  <c r="C34" i="3"/>
  <c r="A35" i="3"/>
  <c r="K32" i="3"/>
  <c r="L32" i="3"/>
  <c r="E35" i="3" l="1"/>
  <c r="D35" i="3"/>
  <c r="A36" i="3"/>
  <c r="C35" i="3"/>
  <c r="F34" i="3"/>
  <c r="J34" i="3"/>
  <c r="H34" i="3"/>
  <c r="M34" i="3" s="1"/>
  <c r="I34" i="3"/>
  <c r="N34" i="3" s="1"/>
  <c r="O33" i="3"/>
  <c r="K33" i="3"/>
  <c r="L33" i="3"/>
  <c r="O34" i="3" l="1"/>
  <c r="D36" i="3"/>
  <c r="E36" i="3"/>
  <c r="C36" i="3"/>
  <c r="A37" i="3"/>
  <c r="F35" i="3"/>
  <c r="J35" i="3"/>
  <c r="I35" i="3"/>
  <c r="N35" i="3" s="1"/>
  <c r="H35" i="3"/>
  <c r="M35" i="3" s="1"/>
  <c r="K34" i="3"/>
  <c r="L34" i="3"/>
  <c r="K35" i="3" l="1"/>
  <c r="L35" i="3"/>
  <c r="F36" i="3"/>
  <c r="J36" i="3"/>
  <c r="I36" i="3"/>
  <c r="N36" i="3" s="1"/>
  <c r="H36" i="3"/>
  <c r="M36" i="3" s="1"/>
  <c r="E37" i="3"/>
  <c r="D37" i="3"/>
  <c r="C37" i="3"/>
  <c r="A38" i="3"/>
  <c r="O35" i="3"/>
  <c r="D38" i="3" l="1"/>
  <c r="E38" i="3"/>
  <c r="A39" i="3"/>
  <c r="C38" i="3"/>
  <c r="K36" i="3"/>
  <c r="L36" i="3"/>
  <c r="O36" i="3"/>
  <c r="F37" i="3"/>
  <c r="J37" i="3"/>
  <c r="I37" i="3"/>
  <c r="N37" i="3" s="1"/>
  <c r="H37" i="3"/>
  <c r="M37" i="3" s="1"/>
  <c r="O37" i="3" l="1"/>
  <c r="K37" i="3"/>
  <c r="L37" i="3"/>
  <c r="E39" i="3"/>
  <c r="D39" i="3"/>
  <c r="A40" i="3"/>
  <c r="C39" i="3"/>
  <c r="F38" i="3"/>
  <c r="J38" i="3"/>
  <c r="H38" i="3"/>
  <c r="M38" i="3" s="1"/>
  <c r="I38" i="3"/>
  <c r="N38" i="3" s="1"/>
  <c r="D40" i="3" l="1"/>
  <c r="C40" i="3"/>
  <c r="A41" i="3"/>
  <c r="E40" i="3"/>
  <c r="F39" i="3"/>
  <c r="I39" i="3"/>
  <c r="N39" i="3" s="1"/>
  <c r="H39" i="3"/>
  <c r="M39" i="3" s="1"/>
  <c r="J39" i="3"/>
  <c r="O38" i="3"/>
  <c r="K38" i="3"/>
  <c r="L38" i="3"/>
  <c r="F40" i="3" l="1"/>
  <c r="H40" i="3"/>
  <c r="M40" i="3" s="1"/>
  <c r="J40" i="3"/>
  <c r="I40" i="3"/>
  <c r="N40" i="3" s="1"/>
  <c r="L39" i="3"/>
  <c r="K39" i="3"/>
  <c r="O39" i="3"/>
  <c r="E41" i="3"/>
  <c r="D41" i="3"/>
  <c r="A42" i="3"/>
  <c r="C41" i="3"/>
  <c r="F41" i="3" l="1"/>
  <c r="I41" i="3"/>
  <c r="N41" i="3" s="1"/>
  <c r="J41" i="3"/>
  <c r="H41" i="3"/>
  <c r="M41" i="3" s="1"/>
  <c r="K40" i="3"/>
  <c r="L40" i="3"/>
  <c r="D42" i="3"/>
  <c r="C42" i="3"/>
  <c r="E42" i="3"/>
  <c r="A43" i="3"/>
  <c r="O40" i="3"/>
  <c r="F42" i="3" l="1"/>
  <c r="J42" i="3"/>
  <c r="H42" i="3"/>
  <c r="M42" i="3" s="1"/>
  <c r="I42" i="3"/>
  <c r="N42" i="3" s="1"/>
  <c r="O41" i="3"/>
  <c r="E43" i="3"/>
  <c r="D43" i="3"/>
  <c r="A44" i="3"/>
  <c r="C43" i="3"/>
  <c r="K41" i="3"/>
  <c r="L41" i="3"/>
  <c r="D44" i="3" l="1"/>
  <c r="E44" i="3"/>
  <c r="C44" i="3"/>
  <c r="A45" i="3"/>
  <c r="O42" i="3"/>
  <c r="K42" i="3"/>
  <c r="L42" i="3"/>
  <c r="F43" i="3"/>
  <c r="H43" i="3"/>
  <c r="M43" i="3" s="1"/>
  <c r="J43" i="3"/>
  <c r="I43" i="3"/>
  <c r="N43" i="3" s="1"/>
  <c r="F44" i="3" l="1"/>
  <c r="J44" i="3"/>
  <c r="I44" i="3"/>
  <c r="N44" i="3" s="1"/>
  <c r="H44" i="3"/>
  <c r="M44" i="3" s="1"/>
  <c r="E45" i="3"/>
  <c r="D45" i="3"/>
  <c r="A46" i="3"/>
  <c r="C45" i="3"/>
  <c r="O43" i="3"/>
  <c r="K43" i="3"/>
  <c r="L43" i="3"/>
  <c r="D46" i="3" l="1"/>
  <c r="E46" i="3"/>
  <c r="C46" i="3"/>
  <c r="A47" i="3"/>
  <c r="K44" i="3"/>
  <c r="L44" i="3"/>
  <c r="O44" i="3"/>
  <c r="F45" i="3"/>
  <c r="I45" i="3"/>
  <c r="N45" i="3" s="1"/>
  <c r="H45" i="3"/>
  <c r="M45" i="3" s="1"/>
  <c r="J45" i="3"/>
  <c r="K45" i="3" l="1"/>
  <c r="L45" i="3"/>
  <c r="F46" i="3"/>
  <c r="I46" i="3"/>
  <c r="N46" i="3" s="1"/>
  <c r="J46" i="3"/>
  <c r="H46" i="3"/>
  <c r="M46" i="3" s="1"/>
  <c r="O45" i="3"/>
  <c r="E47" i="3"/>
  <c r="D47" i="3"/>
  <c r="C47" i="3"/>
  <c r="A48" i="3"/>
  <c r="K46" i="3" l="1"/>
  <c r="L46" i="3"/>
  <c r="O46" i="3"/>
  <c r="D48" i="3"/>
  <c r="C48" i="3"/>
  <c r="E48" i="3"/>
  <c r="A49" i="3"/>
  <c r="F47" i="3"/>
  <c r="H47" i="3"/>
  <c r="M47" i="3" s="1"/>
  <c r="I47" i="3"/>
  <c r="N47" i="3" s="1"/>
  <c r="J47" i="3"/>
  <c r="K47" i="3" l="1"/>
  <c r="L47" i="3"/>
  <c r="O47" i="3"/>
  <c r="F48" i="3"/>
  <c r="H48" i="3"/>
  <c r="M48" i="3" s="1"/>
  <c r="I48" i="3"/>
  <c r="N48" i="3" s="1"/>
  <c r="J48" i="3"/>
  <c r="E49" i="3"/>
  <c r="D49" i="3"/>
  <c r="C49" i="3"/>
  <c r="A50" i="3"/>
  <c r="K48" i="3" l="1"/>
  <c r="L48" i="3"/>
  <c r="O48" i="3"/>
  <c r="D50" i="3"/>
  <c r="E50" i="3"/>
  <c r="A51" i="3"/>
  <c r="C50" i="3"/>
  <c r="F49" i="3"/>
  <c r="J49" i="3"/>
  <c r="H49" i="3"/>
  <c r="M49" i="3" s="1"/>
  <c r="I49" i="3"/>
  <c r="N49" i="3" s="1"/>
  <c r="F50" i="3" l="1"/>
  <c r="J50" i="3"/>
  <c r="I50" i="3"/>
  <c r="N50" i="3" s="1"/>
  <c r="H50" i="3"/>
  <c r="M50" i="3" s="1"/>
  <c r="O49" i="3"/>
  <c r="E51" i="3"/>
  <c r="D51" i="3"/>
  <c r="C51" i="3"/>
  <c r="A52" i="3"/>
  <c r="K49" i="3"/>
  <c r="L49" i="3"/>
  <c r="D52" i="3" l="1"/>
  <c r="E52" i="3"/>
  <c r="C52" i="3"/>
  <c r="A53" i="3"/>
  <c r="K50" i="3"/>
  <c r="L50" i="3"/>
  <c r="F51" i="3"/>
  <c r="H51" i="3"/>
  <c r="M51" i="3" s="1"/>
  <c r="I51" i="3"/>
  <c r="N51" i="3" s="1"/>
  <c r="J51" i="3"/>
  <c r="O50" i="3"/>
  <c r="E53" i="3" l="1"/>
  <c r="D53" i="3"/>
  <c r="A54" i="3"/>
  <c r="C53" i="3"/>
  <c r="K51" i="3"/>
  <c r="L51" i="3"/>
  <c r="O51" i="3"/>
  <c r="F52" i="3"/>
  <c r="I52" i="3"/>
  <c r="N52" i="3" s="1"/>
  <c r="J52" i="3"/>
  <c r="H52" i="3"/>
  <c r="M52" i="3" s="1"/>
  <c r="O52" i="3" l="1"/>
  <c r="D54" i="3"/>
  <c r="E54" i="3"/>
  <c r="C54" i="3"/>
  <c r="F53" i="3"/>
  <c r="J53" i="3"/>
  <c r="H53" i="3"/>
  <c r="M53" i="3" s="1"/>
  <c r="I53" i="3"/>
  <c r="N53" i="3" s="1"/>
  <c r="K52" i="3"/>
  <c r="L52" i="3"/>
  <c r="K53" i="3" l="1"/>
  <c r="L53" i="3"/>
  <c r="U53" i="3"/>
  <c r="F54" i="3"/>
  <c r="J54" i="3"/>
  <c r="U51" i="3" s="1"/>
  <c r="H54" i="3"/>
  <c r="M54" i="3" s="1"/>
  <c r="I54" i="3"/>
  <c r="N54" i="3" s="1"/>
  <c r="O53" i="3"/>
  <c r="U52" i="3" l="1"/>
  <c r="Y51" i="3"/>
  <c r="X54" i="3"/>
  <c r="X22" i="3"/>
  <c r="X21" i="3"/>
  <c r="X20" i="3"/>
  <c r="X23" i="3"/>
  <c r="M14" i="3"/>
  <c r="X25" i="3"/>
  <c r="X24" i="3"/>
  <c r="X26" i="3"/>
  <c r="X27" i="3"/>
  <c r="X28" i="3"/>
  <c r="X29" i="3"/>
  <c r="X30" i="3"/>
  <c r="X31" i="3"/>
  <c r="X32" i="3"/>
  <c r="X34" i="3"/>
  <c r="X35" i="3"/>
  <c r="X36" i="3"/>
  <c r="X33" i="3"/>
  <c r="X37" i="3"/>
  <c r="X38" i="3"/>
  <c r="X39" i="3"/>
  <c r="X40" i="3"/>
  <c r="X41" i="3"/>
  <c r="X43" i="3"/>
  <c r="X42" i="3"/>
  <c r="X44" i="3"/>
  <c r="X45" i="3"/>
  <c r="X47" i="3"/>
  <c r="X49" i="3"/>
  <c r="X46" i="3"/>
  <c r="X48" i="3"/>
  <c r="X51" i="3"/>
  <c r="Y50" i="3"/>
  <c r="X52" i="3"/>
  <c r="K54" i="3"/>
  <c r="V53" i="3" s="1"/>
  <c r="L54" i="3"/>
  <c r="U54" i="3"/>
  <c r="U21" i="3"/>
  <c r="U20" i="3"/>
  <c r="U24" i="3"/>
  <c r="U23" i="3"/>
  <c r="J14" i="3"/>
  <c r="U22" i="3"/>
  <c r="U25" i="3"/>
  <c r="U27" i="3"/>
  <c r="U26" i="3"/>
  <c r="U28" i="3"/>
  <c r="U29" i="3"/>
  <c r="U30" i="3"/>
  <c r="U31" i="3"/>
  <c r="U32" i="3"/>
  <c r="U33" i="3"/>
  <c r="U34" i="3"/>
  <c r="U35" i="3"/>
  <c r="U36" i="3"/>
  <c r="U37" i="3"/>
  <c r="U39" i="3"/>
  <c r="U41" i="3"/>
  <c r="U38" i="3"/>
  <c r="U40" i="3"/>
  <c r="U42" i="3"/>
  <c r="U44" i="3"/>
  <c r="U43" i="3"/>
  <c r="U45" i="3"/>
  <c r="U46" i="3"/>
  <c r="U47" i="3"/>
  <c r="U49" i="3"/>
  <c r="U50" i="3"/>
  <c r="U48" i="3"/>
  <c r="X53" i="3"/>
  <c r="O54" i="3"/>
  <c r="Z51" i="3" s="1"/>
  <c r="Y54" i="3"/>
  <c r="Y21" i="3"/>
  <c r="N14" i="3"/>
  <c r="Y22" i="3"/>
  <c r="Y20" i="3"/>
  <c r="Y23" i="3"/>
  <c r="Y24" i="3"/>
  <c r="Y26" i="3"/>
  <c r="Y25" i="3"/>
  <c r="Y27" i="3"/>
  <c r="Y30" i="3"/>
  <c r="Y28" i="3"/>
  <c r="Y29" i="3"/>
  <c r="Y32" i="3"/>
  <c r="Y34" i="3"/>
  <c r="Y33" i="3"/>
  <c r="Y31" i="3"/>
  <c r="Y35" i="3"/>
  <c r="Y38" i="3"/>
  <c r="Y36" i="3"/>
  <c r="Y37" i="3"/>
  <c r="Y40" i="3"/>
  <c r="Y39" i="3"/>
  <c r="Y41" i="3"/>
  <c r="Y42" i="3"/>
  <c r="Y45" i="3"/>
  <c r="Y44" i="3"/>
  <c r="Y43" i="3"/>
  <c r="Y48" i="3"/>
  <c r="Y46" i="3"/>
  <c r="Y47" i="3"/>
  <c r="Y52" i="3"/>
  <c r="Y53" i="3"/>
  <c r="X50" i="3"/>
  <c r="W53" i="3"/>
  <c r="Y49" i="3"/>
  <c r="V49" i="3" l="1"/>
  <c r="V52" i="3"/>
  <c r="V51" i="3"/>
  <c r="Z50" i="3"/>
  <c r="V54" i="3"/>
  <c r="V20" i="3"/>
  <c r="K14" i="3"/>
  <c r="V22" i="3"/>
  <c r="V21" i="3"/>
  <c r="V24" i="3"/>
  <c r="V23" i="3"/>
  <c r="V25" i="3"/>
  <c r="V26" i="3"/>
  <c r="V27" i="3"/>
  <c r="V31" i="3"/>
  <c r="V29" i="3"/>
  <c r="V30" i="3"/>
  <c r="V28" i="3"/>
  <c r="V32" i="3"/>
  <c r="V34" i="3"/>
  <c r="V33" i="3"/>
  <c r="V35" i="3"/>
  <c r="V36" i="3"/>
  <c r="V37" i="3"/>
  <c r="V40" i="3"/>
  <c r="V39" i="3"/>
  <c r="V38" i="3"/>
  <c r="V41" i="3"/>
  <c r="V42" i="3"/>
  <c r="V43" i="3"/>
  <c r="V44" i="3"/>
  <c r="V46" i="3"/>
  <c r="V47" i="3"/>
  <c r="V45" i="3"/>
  <c r="V48" i="3"/>
  <c r="V50" i="3"/>
  <c r="Z54" i="3"/>
  <c r="Z20" i="3"/>
  <c r="Z21" i="3"/>
  <c r="Z22" i="3"/>
  <c r="O14" i="3"/>
  <c r="Z23" i="3"/>
  <c r="Z24" i="3"/>
  <c r="Z26" i="3"/>
  <c r="Z25" i="3"/>
  <c r="Z28" i="3"/>
  <c r="Z27" i="3"/>
  <c r="Z31" i="3"/>
  <c r="Z30" i="3"/>
  <c r="Z29" i="3"/>
  <c r="Z32" i="3"/>
  <c r="Z36" i="3"/>
  <c r="Z33" i="3"/>
  <c r="Z34" i="3"/>
  <c r="Z35" i="3"/>
  <c r="Z37" i="3"/>
  <c r="Z39" i="3"/>
  <c r="Z43" i="3"/>
  <c r="Z40" i="3"/>
  <c r="Z41" i="3"/>
  <c r="Z42" i="3"/>
  <c r="Z38" i="3"/>
  <c r="Z44" i="3"/>
  <c r="Z47" i="3"/>
  <c r="Z46" i="3"/>
  <c r="Z48" i="3"/>
  <c r="Z45" i="3"/>
  <c r="Z52" i="3"/>
  <c r="Z49" i="3"/>
  <c r="AC52" i="3"/>
  <c r="W54" i="3"/>
  <c r="AC53" i="3" s="1"/>
  <c r="L14" i="3"/>
  <c r="W21" i="3"/>
  <c r="AC20" i="3" s="1"/>
  <c r="W20" i="3"/>
  <c r="AC19" i="3" s="1"/>
  <c r="W22" i="3"/>
  <c r="W24" i="3"/>
  <c r="W23" i="3"/>
  <c r="W25" i="3"/>
  <c r="W26" i="3"/>
  <c r="AC25" i="3" s="1"/>
  <c r="W29" i="3"/>
  <c r="AC28" i="3" s="1"/>
  <c r="W28" i="3"/>
  <c r="W27" i="3"/>
  <c r="AC26" i="3" s="1"/>
  <c r="W31" i="3"/>
  <c r="AC30" i="3" s="1"/>
  <c r="W30" i="3"/>
  <c r="AC29" i="3" s="1"/>
  <c r="W32" i="3"/>
  <c r="W33" i="3"/>
  <c r="AC32" i="3" s="1"/>
  <c r="W35" i="3"/>
  <c r="AC34" i="3" s="1"/>
  <c r="W34" i="3"/>
  <c r="AC33" i="3" s="1"/>
  <c r="W37" i="3"/>
  <c r="W38" i="3"/>
  <c r="W39" i="3"/>
  <c r="AC38" i="3" s="1"/>
  <c r="W40" i="3"/>
  <c r="AC39" i="3" s="1"/>
  <c r="W36" i="3"/>
  <c r="W41" i="3"/>
  <c r="W42" i="3"/>
  <c r="W43" i="3"/>
  <c r="AC42" i="3" s="1"/>
  <c r="W46" i="3"/>
  <c r="W44" i="3"/>
  <c r="W47" i="3"/>
  <c r="AC46" i="3" s="1"/>
  <c r="W45" i="3"/>
  <c r="AC44" i="3" s="1"/>
  <c r="W48" i="3"/>
  <c r="W52" i="3"/>
  <c r="W50" i="3"/>
  <c r="W49" i="3"/>
  <c r="AC48" i="3" s="1"/>
  <c r="Z53" i="3"/>
  <c r="W51" i="3"/>
  <c r="AC21" i="3" l="1"/>
  <c r="AC50" i="3"/>
  <c r="P51" i="3" s="1"/>
  <c r="AC43" i="3"/>
  <c r="Q44" i="3" s="1"/>
  <c r="AC37" i="3"/>
  <c r="Q38" i="3" s="1"/>
  <c r="AC47" i="3"/>
  <c r="AC45" i="3"/>
  <c r="Q46" i="3" s="1"/>
  <c r="AC36" i="3"/>
  <c r="P37" i="3" s="1"/>
  <c r="AC27" i="3"/>
  <c r="Q28" i="3" s="1"/>
  <c r="AC22" i="3"/>
  <c r="AB49" i="3"/>
  <c r="AB45" i="3"/>
  <c r="AB40" i="3"/>
  <c r="AB36" i="3"/>
  <c r="AB33" i="3"/>
  <c r="AB28" i="3"/>
  <c r="AB24" i="3"/>
  <c r="AB21" i="3"/>
  <c r="AB48" i="3"/>
  <c r="AB51" i="3"/>
  <c r="AC49" i="3"/>
  <c r="Q50" i="3" s="1"/>
  <c r="AB47" i="3"/>
  <c r="AB43" i="3"/>
  <c r="AB37" i="3"/>
  <c r="AB35" i="3"/>
  <c r="AB31" i="3"/>
  <c r="AB30" i="3"/>
  <c r="AB22" i="3"/>
  <c r="AB50" i="3"/>
  <c r="AC23" i="3"/>
  <c r="Q23" i="3" s="1"/>
  <c r="AB44" i="3"/>
  <c r="AB42" i="3"/>
  <c r="AB38" i="3"/>
  <c r="AB34" i="3"/>
  <c r="AB27" i="3"/>
  <c r="AB26" i="3"/>
  <c r="AB23" i="3"/>
  <c r="AB19" i="3"/>
  <c r="AA20" i="3" s="1"/>
  <c r="AB46" i="3"/>
  <c r="AB41" i="3"/>
  <c r="AB39" i="3"/>
  <c r="AB32" i="3"/>
  <c r="AB29" i="3"/>
  <c r="AB25" i="3"/>
  <c r="AB20" i="3"/>
  <c r="AB53" i="3"/>
  <c r="AB52" i="3"/>
  <c r="P39" i="3"/>
  <c r="Q39" i="3"/>
  <c r="P26" i="3"/>
  <c r="Q26" i="3"/>
  <c r="P38" i="3"/>
  <c r="Q20" i="3"/>
  <c r="S20" i="3" s="1"/>
  <c r="P20" i="3"/>
  <c r="R20" i="3" s="1"/>
  <c r="P47" i="3"/>
  <c r="Q47" i="3"/>
  <c r="P35" i="3"/>
  <c r="P54" i="3"/>
  <c r="Q54" i="3"/>
  <c r="P48" i="3"/>
  <c r="Q48" i="3"/>
  <c r="P46" i="3"/>
  <c r="P28" i="3"/>
  <c r="P23" i="3"/>
  <c r="P21" i="3"/>
  <c r="Q21" i="3"/>
  <c r="P31" i="3"/>
  <c r="P22" i="3"/>
  <c r="Q22" i="3"/>
  <c r="P49" i="3"/>
  <c r="Q49" i="3"/>
  <c r="P45" i="3"/>
  <c r="Q45" i="3"/>
  <c r="P43" i="3"/>
  <c r="Q43" i="3"/>
  <c r="P40" i="3"/>
  <c r="P34" i="3"/>
  <c r="Q34" i="3"/>
  <c r="P29" i="3"/>
  <c r="Q29" i="3"/>
  <c r="P30" i="3"/>
  <c r="Q30" i="3"/>
  <c r="P50" i="3"/>
  <c r="P33" i="3"/>
  <c r="Q33" i="3"/>
  <c r="AC41" i="3"/>
  <c r="AC35" i="3"/>
  <c r="AC31" i="3"/>
  <c r="Q31" i="3" s="1"/>
  <c r="P27" i="3"/>
  <c r="AC51" i="3"/>
  <c r="AC24" i="3"/>
  <c r="P53" i="3"/>
  <c r="Q53" i="3"/>
  <c r="AC40" i="3"/>
  <c r="Q40" i="3" s="1"/>
  <c r="AF19" i="3"/>
  <c r="Q27" i="3" l="1"/>
  <c r="P44" i="3"/>
  <c r="Q37" i="3"/>
  <c r="R37" i="3" s="1"/>
  <c r="R44" i="3"/>
  <c r="R43" i="3"/>
  <c r="R33" i="3"/>
  <c r="R30" i="3"/>
  <c r="R34" i="3"/>
  <c r="R27" i="3"/>
  <c r="R49" i="3"/>
  <c r="P24" i="3"/>
  <c r="R23" i="3"/>
  <c r="R48" i="3"/>
  <c r="R28" i="3"/>
  <c r="AA14" i="3"/>
  <c r="P25" i="3"/>
  <c r="Q25" i="3"/>
  <c r="Q52" i="3"/>
  <c r="P52" i="3"/>
  <c r="R50" i="3"/>
  <c r="R45" i="3"/>
  <c r="R21" i="3"/>
  <c r="R54" i="3"/>
  <c r="AG53" i="3" s="1"/>
  <c r="R47" i="3"/>
  <c r="R38" i="3"/>
  <c r="R26" i="3"/>
  <c r="P42" i="3"/>
  <c r="Q42" i="3"/>
  <c r="Q24" i="3"/>
  <c r="Q36" i="3"/>
  <c r="P36" i="3"/>
  <c r="R29" i="3"/>
  <c r="R40" i="3"/>
  <c r="R22" i="3"/>
  <c r="R46" i="3"/>
  <c r="R53" i="3"/>
  <c r="Q35" i="3"/>
  <c r="R35" i="3" s="1"/>
  <c r="Q51" i="3"/>
  <c r="R51" i="3" s="1"/>
  <c r="P32" i="3"/>
  <c r="Q32" i="3"/>
  <c r="P41" i="3"/>
  <c r="Q41" i="3"/>
  <c r="R31" i="3"/>
  <c r="R39" i="3"/>
  <c r="AE20" i="3" l="1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R24" i="3"/>
  <c r="R25" i="3"/>
  <c r="R36" i="3"/>
  <c r="R52" i="3"/>
  <c r="AG51" i="3" s="1"/>
  <c r="R32" i="3"/>
  <c r="AA39" i="3"/>
  <c r="AF38" i="3" s="1"/>
  <c r="AA48" i="3"/>
  <c r="AF47" i="3" s="1"/>
  <c r="AA29" i="3"/>
  <c r="AF28" i="3" s="1"/>
  <c r="AA47" i="3"/>
  <c r="AF46" i="3" s="1"/>
  <c r="AA43" i="3"/>
  <c r="AF42" i="3" s="1"/>
  <c r="AA28" i="3"/>
  <c r="AF27" i="3" s="1"/>
  <c r="AA38" i="3"/>
  <c r="AF37" i="3" s="1"/>
  <c r="AA27" i="3"/>
  <c r="AF26" i="3" s="1"/>
  <c r="AA51" i="3"/>
  <c r="AF50" i="3" s="1"/>
  <c r="AA46" i="3"/>
  <c r="AF45" i="3" s="1"/>
  <c r="AA42" i="3"/>
  <c r="AF41" i="3" s="1"/>
  <c r="AA25" i="3"/>
  <c r="AF24" i="3" s="1"/>
  <c r="AA53" i="3"/>
  <c r="AF52" i="3" s="1"/>
  <c r="AA41" i="3"/>
  <c r="AF40" i="3" s="1"/>
  <c r="AA26" i="3"/>
  <c r="AF25" i="3" s="1"/>
  <c r="AA34" i="3"/>
  <c r="AF33" i="3" s="1"/>
  <c r="AA45" i="3"/>
  <c r="AF44" i="3" s="1"/>
  <c r="AA23" i="3"/>
  <c r="AF22" i="3" s="1"/>
  <c r="AA49" i="3"/>
  <c r="AF48" i="3" s="1"/>
  <c r="AA37" i="3"/>
  <c r="AF36" i="3" s="1"/>
  <c r="AA54" i="3"/>
  <c r="AF53" i="3" s="1"/>
  <c r="AA40" i="3"/>
  <c r="AF39" i="3" s="1"/>
  <c r="AA36" i="3"/>
  <c r="AF35" i="3" s="1"/>
  <c r="AA22" i="3"/>
  <c r="AF21" i="3" s="1"/>
  <c r="AA30" i="3"/>
  <c r="AF29" i="3" s="1"/>
  <c r="AA35" i="3"/>
  <c r="AF34" i="3" s="1"/>
  <c r="AA21" i="3"/>
  <c r="AA31" i="3"/>
  <c r="AF30" i="3" s="1"/>
  <c r="AA50" i="3"/>
  <c r="AF49" i="3" s="1"/>
  <c r="AA52" i="3"/>
  <c r="AF51" i="3" s="1"/>
  <c r="AA33" i="3"/>
  <c r="AF32" i="3" s="1"/>
  <c r="AA44" i="3"/>
  <c r="AF43" i="3" s="1"/>
  <c r="AA24" i="3"/>
  <c r="AF23" i="3" s="1"/>
  <c r="AA32" i="3"/>
  <c r="AF31" i="3" s="1"/>
  <c r="R42" i="3"/>
  <c r="AG41" i="3" s="1"/>
  <c r="P14" i="3"/>
  <c r="AG52" i="3"/>
  <c r="R41" i="3"/>
  <c r="AG47" i="3" l="1"/>
  <c r="AG49" i="3"/>
  <c r="AG44" i="3"/>
  <c r="AG43" i="3"/>
  <c r="AG46" i="3"/>
  <c r="AG45" i="3"/>
  <c r="AG42" i="3"/>
  <c r="AG48" i="3"/>
  <c r="AG50" i="3"/>
  <c r="AG36" i="3"/>
  <c r="R14" i="3"/>
  <c r="AG30" i="3"/>
  <c r="AG27" i="3"/>
  <c r="AG28" i="3"/>
  <c r="AG26" i="3"/>
  <c r="AG31" i="3"/>
  <c r="AG21" i="3"/>
  <c r="AG34" i="3"/>
  <c r="AG19" i="3"/>
  <c r="AG38" i="3"/>
  <c r="AG39" i="3"/>
  <c r="AF20" i="3"/>
  <c r="AG24" i="3"/>
  <c r="AG23" i="3"/>
  <c r="AG35" i="3"/>
  <c r="AG25" i="3"/>
  <c r="AG40" i="3"/>
  <c r="AG33" i="3"/>
  <c r="AG22" i="3"/>
  <c r="AG37" i="3"/>
  <c r="AG32" i="3"/>
  <c r="AG29" i="3"/>
  <c r="AG20" i="3"/>
</calcChain>
</file>

<file path=xl/sharedStrings.xml><?xml version="1.0" encoding="utf-8"?>
<sst xmlns="http://schemas.openxmlformats.org/spreadsheetml/2006/main" count="164" uniqueCount="79">
  <si>
    <t>Commission</t>
  </si>
  <si>
    <t>Claims</t>
  </si>
  <si>
    <t>Year</t>
  </si>
  <si>
    <t>Expense Indexation (pa)</t>
  </si>
  <si>
    <t>Investment Income (pa)</t>
  </si>
  <si>
    <t>Annual Claim Rate Increase</t>
  </si>
  <si>
    <t>Risk Discount Rate</t>
  </si>
  <si>
    <t>Working</t>
  </si>
  <si>
    <t>Surplus Arising</t>
  </si>
  <si>
    <t>Claim Rate</t>
  </si>
  <si>
    <t>Lapse Rate</t>
  </si>
  <si>
    <t>Survivorship</t>
  </si>
  <si>
    <t>BOY</t>
  </si>
  <si>
    <t>EOY</t>
  </si>
  <si>
    <t>Maturity/
Expiry
 Rate</t>
  </si>
  <si>
    <t>Calendar
year</t>
  </si>
  <si>
    <t>Projection
Year</t>
  </si>
  <si>
    <t>Renewal Commission</t>
  </si>
  <si>
    <t>Premium Expense</t>
  </si>
  <si>
    <t>Premium
Expense</t>
  </si>
  <si>
    <t>Per Policy Expense</t>
  </si>
  <si>
    <t>Inforce Premium</t>
  </si>
  <si>
    <t>Policy Liability</t>
  </si>
  <si>
    <t>Risk Free Discount Rate</t>
  </si>
  <si>
    <t>NPV
Premium</t>
  </si>
  <si>
    <t>Planned
Profit</t>
  </si>
  <si>
    <t>Interest</t>
  </si>
  <si>
    <t>Capital
Release</t>
  </si>
  <si>
    <t>Claim
Expense</t>
  </si>
  <si>
    <t>Number of
Policies</t>
  </si>
  <si>
    <t>Sum
Insured</t>
  </si>
  <si>
    <t>Premium</t>
  </si>
  <si>
    <t>Decrements - Working</t>
  </si>
  <si>
    <t>Policy
Expense</t>
  </si>
  <si>
    <t>NPV</t>
  </si>
  <si>
    <t>Maturity/
Expiry
Rate</t>
  </si>
  <si>
    <t>VIF</t>
  </si>
  <si>
    <t>Net Present Values</t>
  </si>
  <si>
    <t>NPV
Commission</t>
  </si>
  <si>
    <t>NPV
Premium
Expense</t>
  </si>
  <si>
    <t>NPV
Policy
Expense</t>
  </si>
  <si>
    <t>NPV
Claims</t>
  </si>
  <si>
    <t>NPV
Claim
Expense</t>
  </si>
  <si>
    <t>Policy
Liability</t>
  </si>
  <si>
    <t>Cashflows</t>
  </si>
  <si>
    <t>N/A</t>
  </si>
  <si>
    <t>Results</t>
  </si>
  <si>
    <t>Calculations &amp; Results</t>
  </si>
  <si>
    <t>Lapse
Rate</t>
  </si>
  <si>
    <t>Discontinuance Rates</t>
  </si>
  <si>
    <t>Economic Assumptions</t>
  </si>
  <si>
    <t>Capital Flag (Y/N)</t>
  </si>
  <si>
    <t>N</t>
  </si>
  <si>
    <t>2015 Claim Rate (qx)</t>
  </si>
  <si>
    <t>Expense Assumptions</t>
  </si>
  <si>
    <t>of premium</t>
  </si>
  <si>
    <t>of claims</t>
  </si>
  <si>
    <t>Policy Data @ 31/12/2014</t>
  </si>
  <si>
    <t>per policy</t>
  </si>
  <si>
    <t>Capital Margins</t>
  </si>
  <si>
    <t>Calculation Flags</t>
  </si>
  <si>
    <t>Claims Margin</t>
  </si>
  <si>
    <t>Per Policy Expense Margin</t>
  </si>
  <si>
    <t>Claim Expense Margins</t>
  </si>
  <si>
    <t>Assumptions &amp; Policy Data</t>
  </si>
  <si>
    <t>Discount Rates</t>
  </si>
  <si>
    <t>Capital
 Required</t>
  </si>
  <si>
    <t>Claim Expense</t>
  </si>
  <si>
    <t>Inforce Sum Insured</t>
  </si>
  <si>
    <t>Number of policies</t>
  </si>
  <si>
    <t>Guaranteed Sum Insured Indexation</t>
  </si>
  <si>
    <t>BEL
EOY</t>
  </si>
  <si>
    <t>Profit Margin</t>
  </si>
  <si>
    <t xml:space="preserve">NPV
Profit Margin
</t>
  </si>
  <si>
    <t>Use baseline Profit Margin!!!</t>
  </si>
  <si>
    <t>Diff</t>
  </si>
  <si>
    <t>Planned
Profit
Check</t>
  </si>
  <si>
    <t>Interest is on</t>
  </si>
  <si>
    <t>Investment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</si>
</sst>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;[Red]\-&quot;$&quot;#,##0.00"/>
    <numFmt numFmtId="165" formatCode="0.0%"/>
    <numFmt numFmtId="166" formatCode="0.00000000"/>
    <numFmt numFmtId="167" formatCode="#,##0;\(#,##0\)"/>
    <numFmt numFmtId="170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33CC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sz val="10"/>
      <color rgb="FF0099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C00000"/>
      <name val="Arial"/>
      <family val="2"/>
    </font>
    <font>
      <sz val="11"/>
      <color rgb="FFC00000"/>
      <name val="Calibri"/>
      <family val="2"/>
      <scheme val="minor"/>
    </font>
    <font>
      <b/>
      <i/>
      <sz val="10"/>
      <color rgb="FFC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4" fontId="3" fillId="0" borderId="0" xfId="0" applyNumberFormat="1" applyFont="1"/>
    <xf numFmtId="167" fontId="6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167" fontId="6" fillId="0" borderId="0" xfId="0" applyNumberFormat="1" applyFont="1" applyAlignment="1">
      <alignment horizontal="center"/>
    </xf>
    <xf numFmtId="0" fontId="3" fillId="0" borderId="0" xfId="0" applyFont="1" applyFill="1" applyBorder="1"/>
    <xf numFmtId="10" fontId="6" fillId="0" borderId="0" xfId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/>
    <xf numFmtId="0" fontId="3" fillId="0" borderId="0" xfId="0" applyFont="1" applyBorder="1"/>
    <xf numFmtId="0" fontId="3" fillId="0" borderId="0" xfId="0" applyFont="1" applyBorder="1" applyAlignment="1"/>
    <xf numFmtId="9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10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3" fillId="0" borderId="0" xfId="0" applyNumberFormat="1" applyFont="1"/>
    <xf numFmtId="0" fontId="7" fillId="0" borderId="0" xfId="0" applyFont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3" fontId="7" fillId="0" borderId="0" xfId="0" applyNumberFormat="1" applyFont="1"/>
    <xf numFmtId="9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70" fontId="3" fillId="2" borderId="0" xfId="20" applyNumberFormat="1" applyFont="1" applyFill="1" applyAlignment="1">
      <alignment horizontal="center"/>
    </xf>
    <xf numFmtId="167" fontId="0" fillId="2" borderId="0" xfId="0" applyNumberFormat="1" applyFill="1"/>
    <xf numFmtId="10" fontId="3" fillId="0" borderId="0" xfId="1" applyNumberFormat="1" applyFont="1"/>
    <xf numFmtId="0" fontId="3" fillId="2" borderId="0" xfId="0" applyFont="1" applyFill="1" applyAlignment="1">
      <alignment horizontal="center"/>
    </xf>
    <xf numFmtId="10" fontId="3" fillId="2" borderId="0" xfId="1" applyNumberFormat="1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167" fontId="3" fillId="2" borderId="0" xfId="0" applyNumberFormat="1" applyFont="1" applyFill="1" applyAlignment="1">
      <alignment horizontal="center"/>
    </xf>
    <xf numFmtId="43" fontId="3" fillId="0" borderId="0" xfId="20" applyFont="1"/>
    <xf numFmtId="170" fontId="3" fillId="0" borderId="0" xfId="20" applyNumberFormat="1" applyFont="1"/>
    <xf numFmtId="9" fontId="9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66" fontId="13" fillId="0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167" fontId="13" fillId="0" borderId="0" xfId="0" applyNumberFormat="1" applyFont="1" applyFill="1" applyAlignment="1">
      <alignment horizontal="center"/>
    </xf>
    <xf numFmtId="167" fontId="13" fillId="0" borderId="0" xfId="0" applyNumberFormat="1" applyFont="1"/>
    <xf numFmtId="167" fontId="13" fillId="0" borderId="0" xfId="0" applyNumberFormat="1" applyFont="1" applyAlignment="1">
      <alignment horizontal="center"/>
    </xf>
    <xf numFmtId="167" fontId="13" fillId="2" borderId="0" xfId="0" applyNumberFormat="1" applyFont="1" applyFill="1" applyAlignment="1">
      <alignment horizontal="center"/>
    </xf>
    <xf numFmtId="167" fontId="14" fillId="2" borderId="0" xfId="0" applyNumberFormat="1" applyFont="1" applyFill="1"/>
    <xf numFmtId="170" fontId="13" fillId="2" borderId="0" xfId="20" applyNumberFormat="1" applyFont="1" applyFill="1" applyAlignment="1">
      <alignment horizontal="center"/>
    </xf>
    <xf numFmtId="167" fontId="10" fillId="2" borderId="0" xfId="0" applyNumberFormat="1" applyFont="1" applyFill="1" applyAlignment="1">
      <alignment horizontal="center"/>
    </xf>
    <xf numFmtId="0" fontId="15" fillId="0" borderId="0" xfId="0" applyFont="1"/>
    <xf numFmtId="170" fontId="3" fillId="2" borderId="0" xfId="20" applyNumberFormat="1" applyFont="1" applyFill="1"/>
    <xf numFmtId="0" fontId="4" fillId="2" borderId="0" xfId="0" applyFont="1" applyFill="1"/>
    <xf numFmtId="0" fontId="16" fillId="3" borderId="0" xfId="0" applyFont="1" applyFill="1"/>
    <xf numFmtId="170" fontId="16" fillId="3" borderId="0" xfId="0" applyNumberFormat="1" applyFont="1" applyFill="1"/>
    <xf numFmtId="167" fontId="3" fillId="2" borderId="0" xfId="0" applyNumberFormat="1" applyFont="1" applyFill="1"/>
    <xf numFmtId="0" fontId="15" fillId="0" borderId="0" xfId="0" applyFont="1" applyBorder="1"/>
  </cellXfs>
  <cellStyles count="21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238125</xdr:colOff>
      <xdr:row>13</xdr:row>
      <xdr:rowOff>76200</xdr:rowOff>
    </xdr:from>
    <xdr:to>
      <xdr:col>33</xdr:col>
      <xdr:colOff>790575</xdr:colOff>
      <xdr:row>19</xdr:row>
      <xdr:rowOff>104775</xdr:rowOff>
    </xdr:to>
    <xdr:cxnSp macro="">
      <xdr:nvCxnSpPr>
        <xdr:cNvPr id="2" name="Straight Arrow Connector 1"/>
        <xdr:cNvCxnSpPr/>
      </xdr:nvCxnSpPr>
      <xdr:spPr>
        <a:xfrm>
          <a:off x="31556325" y="2247900"/>
          <a:ext cx="552450" cy="13525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847725</xdr:colOff>
      <xdr:row>12</xdr:row>
      <xdr:rowOff>57150</xdr:rowOff>
    </xdr:from>
    <xdr:to>
      <xdr:col>17</xdr:col>
      <xdr:colOff>390525</xdr:colOff>
      <xdr:row>19</xdr:row>
      <xdr:rowOff>76200</xdr:rowOff>
    </xdr:to>
    <xdr:cxnSp macro="">
      <xdr:nvCxnSpPr>
        <xdr:cNvPr id="5" name="Straight Arrow Connector 4"/>
        <xdr:cNvCxnSpPr/>
      </xdr:nvCxnSpPr>
      <xdr:spPr>
        <a:xfrm flipH="1">
          <a:off x="14544675" y="2066925"/>
          <a:ext cx="1485900" cy="15049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666750</xdr:colOff>
      <xdr:row>12</xdr:row>
      <xdr:rowOff>57150</xdr:rowOff>
    </xdr:from>
    <xdr:to>
      <xdr:col>27</xdr:col>
      <xdr:colOff>504825</xdr:colOff>
      <xdr:row>18</xdr:row>
      <xdr:rowOff>114300</xdr:rowOff>
    </xdr:to>
    <xdr:cxnSp macro="">
      <xdr:nvCxnSpPr>
        <xdr:cNvPr id="3" name="Straight Arrow Connector 2"/>
        <xdr:cNvCxnSpPr/>
      </xdr:nvCxnSpPr>
      <xdr:spPr>
        <a:xfrm flipH="1">
          <a:off x="25184100" y="2066925"/>
          <a:ext cx="809625" cy="13525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504825</xdr:colOff>
      <xdr:row>12</xdr:row>
      <xdr:rowOff>47625</xdr:rowOff>
    </xdr:from>
    <xdr:to>
      <xdr:col>30</xdr:col>
      <xdr:colOff>123825</xdr:colOff>
      <xdr:row>18</xdr:row>
      <xdr:rowOff>104775</xdr:rowOff>
    </xdr:to>
    <xdr:cxnSp macro="">
      <xdr:nvCxnSpPr>
        <xdr:cNvPr id="4" name="Straight Arrow Connector 3"/>
        <xdr:cNvCxnSpPr/>
      </xdr:nvCxnSpPr>
      <xdr:spPr>
        <a:xfrm>
          <a:off x="25993725" y="2057400"/>
          <a:ext cx="2533650" cy="13525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7"/>
  <sheetViews>
    <sheetView workbookViewId="0">
      <selection activeCell="B22" sqref="B22"/>
    </sheetView>
  </sheetViews>
  <sheetFormatPr defaultColWidth="8.85546875" defaultRowHeight="12.75" x14ac:dyDescent="0.2"/>
  <cols>
    <col min="1" max="1" width="37.85546875" style="2" bestFit="1" customWidth="1"/>
    <col min="2" max="3" width="14.5703125" style="2" customWidth="1"/>
    <col min="4" max="6" width="12.140625" style="2" customWidth="1"/>
    <col min="7" max="16384" width="8.85546875" style="2"/>
  </cols>
  <sheetData>
    <row r="2" spans="1:3" s="24" customFormat="1" ht="18" x14ac:dyDescent="0.25">
      <c r="A2" s="1" t="s">
        <v>64</v>
      </c>
    </row>
    <row r="4" spans="1:3" x14ac:dyDescent="0.2">
      <c r="A4" s="3" t="s">
        <v>57</v>
      </c>
      <c r="B4" s="4"/>
    </row>
    <row r="6" spans="1:3" x14ac:dyDescent="0.2">
      <c r="A6" s="2" t="s">
        <v>69</v>
      </c>
      <c r="B6" s="5">
        <v>100000</v>
      </c>
    </row>
    <row r="7" spans="1:3" x14ac:dyDescent="0.2">
      <c r="A7" s="2" t="s">
        <v>21</v>
      </c>
      <c r="B7" s="5">
        <v>222750000</v>
      </c>
    </row>
    <row r="8" spans="1:3" x14ac:dyDescent="0.2">
      <c r="A8" s="2" t="s">
        <v>68</v>
      </c>
      <c r="B8" s="5">
        <v>45000000000</v>
      </c>
    </row>
    <row r="9" spans="1:3" x14ac:dyDescent="0.2">
      <c r="B9" s="6"/>
    </row>
    <row r="10" spans="1:3" x14ac:dyDescent="0.2">
      <c r="A10" s="2" t="s">
        <v>22</v>
      </c>
      <c r="B10" s="7">
        <f>-185695000</f>
        <v>-185695000</v>
      </c>
    </row>
    <row r="12" spans="1:3" x14ac:dyDescent="0.2">
      <c r="A12" s="3" t="s">
        <v>54</v>
      </c>
    </row>
    <row r="14" spans="1:3" x14ac:dyDescent="0.2">
      <c r="A14" s="8" t="s">
        <v>17</v>
      </c>
      <c r="B14" s="9">
        <v>0.25</v>
      </c>
      <c r="C14" s="2" t="s">
        <v>55</v>
      </c>
    </row>
    <row r="15" spans="1:3" x14ac:dyDescent="0.2">
      <c r="A15" s="8" t="s">
        <v>18</v>
      </c>
      <c r="B15" s="9">
        <v>1.4999999999999999E-2</v>
      </c>
      <c r="C15" s="2" t="s">
        <v>55</v>
      </c>
    </row>
    <row r="16" spans="1:3" x14ac:dyDescent="0.2">
      <c r="A16" s="8" t="s">
        <v>67</v>
      </c>
      <c r="B16" s="9">
        <v>1.4999999999999999E-2</v>
      </c>
      <c r="C16" s="2" t="s">
        <v>56</v>
      </c>
    </row>
    <row r="17" spans="1:3" x14ac:dyDescent="0.2">
      <c r="A17" s="8" t="s">
        <v>20</v>
      </c>
      <c r="B17" s="10">
        <v>120</v>
      </c>
      <c r="C17" s="2" t="s">
        <v>58</v>
      </c>
    </row>
    <row r="19" spans="1:3" x14ac:dyDescent="0.2">
      <c r="A19" s="3" t="s">
        <v>50</v>
      </c>
    </row>
    <row r="20" spans="1:3" x14ac:dyDescent="0.2">
      <c r="B20" s="11"/>
    </row>
    <row r="21" spans="1:3" x14ac:dyDescent="0.2">
      <c r="A21" s="8" t="s">
        <v>70</v>
      </c>
      <c r="B21" s="9">
        <v>0.03</v>
      </c>
      <c r="C21" s="12"/>
    </row>
    <row r="22" spans="1:3" x14ac:dyDescent="0.2">
      <c r="A22" s="13" t="s">
        <v>4</v>
      </c>
      <c r="B22" s="9">
        <v>0.03</v>
      </c>
      <c r="C22" s="12"/>
    </row>
    <row r="23" spans="1:3" x14ac:dyDescent="0.2">
      <c r="A23" s="12" t="s">
        <v>23</v>
      </c>
      <c r="B23" s="9">
        <v>2.75E-2</v>
      </c>
      <c r="C23" s="12"/>
    </row>
    <row r="24" spans="1:3" x14ac:dyDescent="0.2">
      <c r="A24" s="8" t="s">
        <v>6</v>
      </c>
      <c r="B24" s="9">
        <v>0.125</v>
      </c>
      <c r="C24" s="14"/>
    </row>
    <row r="25" spans="1:3" x14ac:dyDescent="0.2">
      <c r="A25" s="15" t="s">
        <v>3</v>
      </c>
      <c r="B25" s="9">
        <v>2.5000000000000001E-2</v>
      </c>
      <c r="C25" s="12"/>
    </row>
    <row r="27" spans="1:3" x14ac:dyDescent="0.2">
      <c r="A27" s="3" t="s">
        <v>49</v>
      </c>
    </row>
    <row r="28" spans="1:3" x14ac:dyDescent="0.2">
      <c r="A28" s="3"/>
    </row>
    <row r="29" spans="1:3" x14ac:dyDescent="0.2">
      <c r="A29" s="12" t="s">
        <v>53</v>
      </c>
      <c r="B29" s="16">
        <v>1E-3</v>
      </c>
    </row>
    <row r="30" spans="1:3" x14ac:dyDescent="0.2">
      <c r="A30" s="8" t="s">
        <v>5</v>
      </c>
      <c r="B30" s="17">
        <v>7.4999999999999997E-2</v>
      </c>
    </row>
    <row r="32" spans="1:3" ht="38.25" x14ac:dyDescent="0.2">
      <c r="A32" s="18" t="s">
        <v>2</v>
      </c>
      <c r="B32" s="19" t="s">
        <v>48</v>
      </c>
      <c r="C32" s="20" t="s">
        <v>35</v>
      </c>
    </row>
    <row r="33" spans="1:3" x14ac:dyDescent="0.2">
      <c r="A33" s="21">
        <v>1</v>
      </c>
      <c r="B33" s="22">
        <v>0.05</v>
      </c>
      <c r="C33" s="22">
        <v>0</v>
      </c>
    </row>
    <row r="34" spans="1:3" x14ac:dyDescent="0.2">
      <c r="A34" s="21">
        <f>A33+1</f>
        <v>2</v>
      </c>
      <c r="B34" s="48">
        <f>+B33</f>
        <v>0.05</v>
      </c>
      <c r="C34" s="22">
        <v>0</v>
      </c>
    </row>
    <row r="35" spans="1:3" x14ac:dyDescent="0.2">
      <c r="A35" s="21">
        <f t="shared" ref="A35:A67" si="0">A34+1</f>
        <v>3</v>
      </c>
      <c r="B35" s="48">
        <f t="shared" ref="B35:B66" si="1">+B34</f>
        <v>0.05</v>
      </c>
      <c r="C35" s="22">
        <v>0</v>
      </c>
    </row>
    <row r="36" spans="1:3" x14ac:dyDescent="0.2">
      <c r="A36" s="21">
        <f t="shared" si="0"/>
        <v>4</v>
      </c>
      <c r="B36" s="48">
        <f t="shared" si="1"/>
        <v>0.05</v>
      </c>
      <c r="C36" s="22">
        <v>0</v>
      </c>
    </row>
    <row r="37" spans="1:3" x14ac:dyDescent="0.2">
      <c r="A37" s="21">
        <f t="shared" si="0"/>
        <v>5</v>
      </c>
      <c r="B37" s="48">
        <f t="shared" si="1"/>
        <v>0.05</v>
      </c>
      <c r="C37" s="22">
        <v>0</v>
      </c>
    </row>
    <row r="38" spans="1:3" x14ac:dyDescent="0.2">
      <c r="A38" s="21">
        <f t="shared" si="0"/>
        <v>6</v>
      </c>
      <c r="B38" s="48">
        <f t="shared" si="1"/>
        <v>0.05</v>
      </c>
      <c r="C38" s="22">
        <v>0</v>
      </c>
    </row>
    <row r="39" spans="1:3" x14ac:dyDescent="0.2">
      <c r="A39" s="21">
        <f t="shared" si="0"/>
        <v>7</v>
      </c>
      <c r="B39" s="48">
        <f t="shared" si="1"/>
        <v>0.05</v>
      </c>
      <c r="C39" s="22">
        <v>0</v>
      </c>
    </row>
    <row r="40" spans="1:3" x14ac:dyDescent="0.2">
      <c r="A40" s="21">
        <f t="shared" si="0"/>
        <v>8</v>
      </c>
      <c r="B40" s="48">
        <f t="shared" si="1"/>
        <v>0.05</v>
      </c>
      <c r="C40" s="22">
        <v>0</v>
      </c>
    </row>
    <row r="41" spans="1:3" x14ac:dyDescent="0.2">
      <c r="A41" s="21">
        <f t="shared" si="0"/>
        <v>9</v>
      </c>
      <c r="B41" s="48">
        <f t="shared" si="1"/>
        <v>0.05</v>
      </c>
      <c r="C41" s="22">
        <v>0</v>
      </c>
    </row>
    <row r="42" spans="1:3" x14ac:dyDescent="0.2">
      <c r="A42" s="21">
        <f t="shared" si="0"/>
        <v>10</v>
      </c>
      <c r="B42" s="48">
        <f t="shared" si="1"/>
        <v>0.05</v>
      </c>
      <c r="C42" s="22">
        <v>0.05</v>
      </c>
    </row>
    <row r="43" spans="1:3" x14ac:dyDescent="0.2">
      <c r="A43" s="21">
        <f t="shared" si="0"/>
        <v>11</v>
      </c>
      <c r="B43" s="48">
        <f t="shared" si="1"/>
        <v>0.05</v>
      </c>
      <c r="C43" s="22">
        <v>0.05</v>
      </c>
    </row>
    <row r="44" spans="1:3" x14ac:dyDescent="0.2">
      <c r="A44" s="21">
        <f t="shared" si="0"/>
        <v>12</v>
      </c>
      <c r="B44" s="48">
        <f t="shared" si="1"/>
        <v>0.05</v>
      </c>
      <c r="C44" s="22">
        <v>0.05</v>
      </c>
    </row>
    <row r="45" spans="1:3" x14ac:dyDescent="0.2">
      <c r="A45" s="21">
        <f t="shared" si="0"/>
        <v>13</v>
      </c>
      <c r="B45" s="48">
        <f t="shared" si="1"/>
        <v>0.05</v>
      </c>
      <c r="C45" s="22">
        <v>0.05</v>
      </c>
    </row>
    <row r="46" spans="1:3" x14ac:dyDescent="0.2">
      <c r="A46" s="21">
        <f t="shared" si="0"/>
        <v>14</v>
      </c>
      <c r="B46" s="48">
        <f t="shared" si="1"/>
        <v>0.05</v>
      </c>
      <c r="C46" s="22">
        <v>0.05</v>
      </c>
    </row>
    <row r="47" spans="1:3" x14ac:dyDescent="0.2">
      <c r="A47" s="21">
        <f t="shared" si="0"/>
        <v>15</v>
      </c>
      <c r="B47" s="48">
        <f t="shared" si="1"/>
        <v>0.05</v>
      </c>
      <c r="C47" s="22">
        <v>0.05</v>
      </c>
    </row>
    <row r="48" spans="1:3" x14ac:dyDescent="0.2">
      <c r="A48" s="21">
        <f t="shared" si="0"/>
        <v>16</v>
      </c>
      <c r="B48" s="48">
        <f t="shared" si="1"/>
        <v>0.05</v>
      </c>
      <c r="C48" s="22">
        <v>0.05</v>
      </c>
    </row>
    <row r="49" spans="1:3" x14ac:dyDescent="0.2">
      <c r="A49" s="21">
        <f t="shared" si="0"/>
        <v>17</v>
      </c>
      <c r="B49" s="48">
        <f t="shared" si="1"/>
        <v>0.05</v>
      </c>
      <c r="C49" s="22">
        <v>0.05</v>
      </c>
    </row>
    <row r="50" spans="1:3" x14ac:dyDescent="0.2">
      <c r="A50" s="21">
        <f t="shared" si="0"/>
        <v>18</v>
      </c>
      <c r="B50" s="48">
        <f t="shared" si="1"/>
        <v>0.05</v>
      </c>
      <c r="C50" s="22">
        <v>0.05</v>
      </c>
    </row>
    <row r="51" spans="1:3" x14ac:dyDescent="0.2">
      <c r="A51" s="21">
        <f t="shared" si="0"/>
        <v>19</v>
      </c>
      <c r="B51" s="48">
        <f t="shared" si="1"/>
        <v>0.05</v>
      </c>
      <c r="C51" s="22">
        <v>0.05</v>
      </c>
    </row>
    <row r="52" spans="1:3" x14ac:dyDescent="0.2">
      <c r="A52" s="21">
        <f t="shared" si="0"/>
        <v>20</v>
      </c>
      <c r="B52" s="48">
        <f t="shared" si="1"/>
        <v>0.05</v>
      </c>
      <c r="C52" s="22">
        <v>0.05</v>
      </c>
    </row>
    <row r="53" spans="1:3" x14ac:dyDescent="0.2">
      <c r="A53" s="21">
        <f t="shared" si="0"/>
        <v>21</v>
      </c>
      <c r="B53" s="48">
        <f t="shared" si="1"/>
        <v>0.05</v>
      </c>
      <c r="C53" s="22">
        <v>0.06</v>
      </c>
    </row>
    <row r="54" spans="1:3" x14ac:dyDescent="0.2">
      <c r="A54" s="21">
        <f t="shared" si="0"/>
        <v>22</v>
      </c>
      <c r="B54" s="48">
        <f t="shared" si="1"/>
        <v>0.05</v>
      </c>
      <c r="C54" s="22">
        <v>7.0000000000000007E-2</v>
      </c>
    </row>
    <row r="55" spans="1:3" x14ac:dyDescent="0.2">
      <c r="A55" s="21">
        <f t="shared" si="0"/>
        <v>23</v>
      </c>
      <c r="B55" s="48">
        <f t="shared" si="1"/>
        <v>0.05</v>
      </c>
      <c r="C55" s="22">
        <v>0.08</v>
      </c>
    </row>
    <row r="56" spans="1:3" x14ac:dyDescent="0.2">
      <c r="A56" s="21">
        <f t="shared" si="0"/>
        <v>24</v>
      </c>
      <c r="B56" s="48">
        <f t="shared" si="1"/>
        <v>0.05</v>
      </c>
      <c r="C56" s="22">
        <v>0.09</v>
      </c>
    </row>
    <row r="57" spans="1:3" x14ac:dyDescent="0.2">
      <c r="A57" s="21">
        <f t="shared" si="0"/>
        <v>25</v>
      </c>
      <c r="B57" s="48">
        <f t="shared" si="1"/>
        <v>0.05</v>
      </c>
      <c r="C57" s="22">
        <v>0.1</v>
      </c>
    </row>
    <row r="58" spans="1:3" x14ac:dyDescent="0.2">
      <c r="A58" s="21">
        <f t="shared" si="0"/>
        <v>26</v>
      </c>
      <c r="B58" s="48">
        <f t="shared" si="1"/>
        <v>0.05</v>
      </c>
      <c r="C58" s="22">
        <v>0.11</v>
      </c>
    </row>
    <row r="59" spans="1:3" x14ac:dyDescent="0.2">
      <c r="A59" s="21">
        <f t="shared" si="0"/>
        <v>27</v>
      </c>
      <c r="B59" s="48">
        <f t="shared" si="1"/>
        <v>0.05</v>
      </c>
      <c r="C59" s="22">
        <v>0.12</v>
      </c>
    </row>
    <row r="60" spans="1:3" x14ac:dyDescent="0.2">
      <c r="A60" s="21">
        <f t="shared" si="0"/>
        <v>28</v>
      </c>
      <c r="B60" s="48">
        <f t="shared" si="1"/>
        <v>0.05</v>
      </c>
      <c r="C60" s="22">
        <v>0.13</v>
      </c>
    </row>
    <row r="61" spans="1:3" x14ac:dyDescent="0.2">
      <c r="A61" s="21">
        <f t="shared" si="0"/>
        <v>29</v>
      </c>
      <c r="B61" s="48">
        <f t="shared" si="1"/>
        <v>0.05</v>
      </c>
      <c r="C61" s="22">
        <v>0.14000000000000001</v>
      </c>
    </row>
    <row r="62" spans="1:3" x14ac:dyDescent="0.2">
      <c r="A62" s="21">
        <f t="shared" si="0"/>
        <v>30</v>
      </c>
      <c r="B62" s="48">
        <f t="shared" si="1"/>
        <v>0.05</v>
      </c>
      <c r="C62" s="22">
        <v>0.15</v>
      </c>
    </row>
    <row r="63" spans="1:3" x14ac:dyDescent="0.2">
      <c r="A63" s="21">
        <f t="shared" si="0"/>
        <v>31</v>
      </c>
      <c r="B63" s="48">
        <f t="shared" si="1"/>
        <v>0.05</v>
      </c>
      <c r="C63" s="22">
        <v>0.2</v>
      </c>
    </row>
    <row r="64" spans="1:3" x14ac:dyDescent="0.2">
      <c r="A64" s="21">
        <f t="shared" si="0"/>
        <v>32</v>
      </c>
      <c r="B64" s="48">
        <f t="shared" si="1"/>
        <v>0.05</v>
      </c>
      <c r="C64" s="22">
        <v>0.25</v>
      </c>
    </row>
    <row r="65" spans="1:3" x14ac:dyDescent="0.2">
      <c r="A65" s="21">
        <f t="shared" si="0"/>
        <v>33</v>
      </c>
      <c r="B65" s="48">
        <f t="shared" si="1"/>
        <v>0.05</v>
      </c>
      <c r="C65" s="22">
        <v>0.33</v>
      </c>
    </row>
    <row r="66" spans="1:3" x14ac:dyDescent="0.2">
      <c r="A66" s="21">
        <f t="shared" si="0"/>
        <v>34</v>
      </c>
      <c r="B66" s="48">
        <f t="shared" si="1"/>
        <v>0.05</v>
      </c>
      <c r="C66" s="22">
        <v>0.5</v>
      </c>
    </row>
    <row r="67" spans="1:3" x14ac:dyDescent="0.2">
      <c r="A67" s="21">
        <f t="shared" si="0"/>
        <v>35</v>
      </c>
      <c r="B67" s="22">
        <v>0</v>
      </c>
      <c r="C67" s="22">
        <v>1</v>
      </c>
    </row>
    <row r="68" spans="1:3" x14ac:dyDescent="0.2">
      <c r="C68" s="23"/>
    </row>
    <row r="69" spans="1:3" x14ac:dyDescent="0.2">
      <c r="A69" s="3" t="s">
        <v>59</v>
      </c>
      <c r="C69" s="23"/>
    </row>
    <row r="70" spans="1:3" x14ac:dyDescent="0.2">
      <c r="C70" s="23"/>
    </row>
    <row r="71" spans="1:3" x14ac:dyDescent="0.2">
      <c r="A71" s="2" t="s">
        <v>61</v>
      </c>
      <c r="B71" s="22">
        <v>0.2</v>
      </c>
    </row>
    <row r="72" spans="1:3" x14ac:dyDescent="0.2">
      <c r="A72" s="2" t="s">
        <v>62</v>
      </c>
      <c r="B72" s="22">
        <v>0.05</v>
      </c>
    </row>
    <row r="73" spans="1:3" x14ac:dyDescent="0.2">
      <c r="A73" s="2" t="s">
        <v>63</v>
      </c>
      <c r="B73" s="22">
        <v>0.05</v>
      </c>
    </row>
    <row r="74" spans="1:3" x14ac:dyDescent="0.2">
      <c r="C74" s="23"/>
    </row>
    <row r="75" spans="1:3" x14ac:dyDescent="0.2">
      <c r="C75" s="23"/>
    </row>
    <row r="76" spans="1:3" x14ac:dyDescent="0.2">
      <c r="C76" s="23"/>
    </row>
    <row r="77" spans="1:3" x14ac:dyDescent="0.2">
      <c r="C77" s="23"/>
    </row>
    <row r="78" spans="1:3" x14ac:dyDescent="0.2">
      <c r="C78" s="23"/>
    </row>
    <row r="79" spans="1:3" x14ac:dyDescent="0.2">
      <c r="C79" s="23"/>
    </row>
    <row r="80" spans="1:3" x14ac:dyDescent="0.2">
      <c r="C80" s="23"/>
    </row>
    <row r="81" spans="3:3" x14ac:dyDescent="0.2">
      <c r="C81" s="23"/>
    </row>
    <row r="82" spans="3:3" x14ac:dyDescent="0.2">
      <c r="C82" s="23"/>
    </row>
    <row r="83" spans="3:3" x14ac:dyDescent="0.2">
      <c r="C83" s="23"/>
    </row>
    <row r="84" spans="3:3" x14ac:dyDescent="0.2">
      <c r="C84" s="23"/>
    </row>
    <row r="85" spans="3:3" x14ac:dyDescent="0.2">
      <c r="C85" s="23"/>
    </row>
    <row r="86" spans="3:3" x14ac:dyDescent="0.2">
      <c r="C86" s="23"/>
    </row>
    <row r="87" spans="3:3" x14ac:dyDescent="0.2">
      <c r="C87" s="23"/>
    </row>
    <row r="88" spans="3:3" x14ac:dyDescent="0.2">
      <c r="C88" s="23"/>
    </row>
    <row r="89" spans="3:3" x14ac:dyDescent="0.2">
      <c r="C89" s="23"/>
    </row>
    <row r="90" spans="3:3" x14ac:dyDescent="0.2">
      <c r="C90" s="23"/>
    </row>
    <row r="91" spans="3:3" x14ac:dyDescent="0.2">
      <c r="C91" s="23"/>
    </row>
    <row r="92" spans="3:3" x14ac:dyDescent="0.2">
      <c r="C92" s="23"/>
    </row>
    <row r="93" spans="3:3" x14ac:dyDescent="0.2">
      <c r="C93" s="23"/>
    </row>
    <row r="94" spans="3:3" x14ac:dyDescent="0.2">
      <c r="C94" s="23"/>
    </row>
    <row r="95" spans="3:3" x14ac:dyDescent="0.2">
      <c r="C95" s="23"/>
    </row>
    <row r="96" spans="3:3" x14ac:dyDescent="0.2">
      <c r="C96" s="23"/>
    </row>
    <row r="97" spans="3:3" x14ac:dyDescent="0.2">
      <c r="C97" s="2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workbookViewId="0">
      <pane xSplit="1" ySplit="19" topLeftCell="R20" activePane="bottomRight" state="frozen"/>
      <selection pane="topRight" activeCell="B1" sqref="B1"/>
      <selection pane="bottomLeft" activeCell="A20" sqref="A20"/>
      <selection pane="bottomRight" activeCell="K20" sqref="K20"/>
    </sheetView>
  </sheetViews>
  <sheetFormatPr defaultColWidth="8.85546875" defaultRowHeight="12.75" x14ac:dyDescent="0.2"/>
  <cols>
    <col min="1" max="1" width="10.5703125" style="2" customWidth="1"/>
    <col min="2" max="2" width="12.5703125" style="21" customWidth="1"/>
    <col min="3" max="7" width="13.140625" style="2" customWidth="1"/>
    <col min="8" max="18" width="14.5703125" style="2" customWidth="1"/>
    <col min="19" max="19" width="16.5703125" style="2" customWidth="1"/>
    <col min="20" max="33" width="14.5703125" style="2" customWidth="1"/>
    <col min="34" max="34" width="22.42578125" style="2" bestFit="1" customWidth="1"/>
    <col min="35" max="35" width="14.42578125" style="2" bestFit="1" customWidth="1"/>
    <col min="36" max="36" width="8.85546875" style="2"/>
    <col min="37" max="37" width="9.85546875" style="2" bestFit="1" customWidth="1"/>
    <col min="38" max="16384" width="8.85546875" style="2"/>
  </cols>
  <sheetData>
    <row r="1" spans="1:37" x14ac:dyDescent="0.2">
      <c r="Z1" s="25"/>
      <c r="AK1" s="25"/>
    </row>
    <row r="2" spans="1:37" s="24" customFormat="1" ht="18" x14ac:dyDescent="0.25">
      <c r="A2" s="39" t="s">
        <v>47</v>
      </c>
      <c r="B2" s="40"/>
      <c r="Y2" s="41"/>
      <c r="AF2" s="41"/>
    </row>
    <row r="4" spans="1:37" x14ac:dyDescent="0.2">
      <c r="A4" s="3" t="s">
        <v>60</v>
      </c>
    </row>
    <row r="6" spans="1:37" x14ac:dyDescent="0.2">
      <c r="A6" s="2" t="s">
        <v>51</v>
      </c>
      <c r="C6" s="45" t="s">
        <v>52</v>
      </c>
    </row>
    <row r="7" spans="1:37" x14ac:dyDescent="0.2">
      <c r="C7" s="45"/>
    </row>
    <row r="8" spans="1:37" x14ac:dyDescent="0.2">
      <c r="A8" s="3" t="s">
        <v>65</v>
      </c>
      <c r="C8" s="45"/>
    </row>
    <row r="9" spans="1:37" x14ac:dyDescent="0.2">
      <c r="C9" s="45"/>
    </row>
    <row r="10" spans="1:37" x14ac:dyDescent="0.2">
      <c r="A10" s="12" t="s">
        <v>23</v>
      </c>
      <c r="C10" s="46">
        <f>risk_free_rate</f>
        <v>2.75E-2</v>
      </c>
    </row>
    <row r="11" spans="1:37" x14ac:dyDescent="0.2">
      <c r="A11" s="8" t="s">
        <v>6</v>
      </c>
      <c r="C11" s="46">
        <f>risk_disc_rate</f>
        <v>0.125</v>
      </c>
      <c r="R11" s="78" t="s">
        <v>77</v>
      </c>
    </row>
    <row r="12" spans="1:37" x14ac:dyDescent="0.2">
      <c r="R12" s="84" t="s">
        <v>78</v>
      </c>
      <c r="AH12" s="78" t="s">
        <v>77</v>
      </c>
    </row>
    <row r="13" spans="1:37" x14ac:dyDescent="0.2">
      <c r="C13" s="21"/>
      <c r="F13" s="21"/>
      <c r="S13" s="25"/>
      <c r="U13" s="21"/>
      <c r="V13" s="21"/>
      <c r="W13" s="21"/>
      <c r="X13" s="21"/>
      <c r="Y13" s="21"/>
      <c r="Z13" s="21"/>
      <c r="AA13" s="60" t="s">
        <v>72</v>
      </c>
      <c r="AH13" s="84" t="s">
        <v>23</v>
      </c>
    </row>
    <row r="14" spans="1:37" x14ac:dyDescent="0.2">
      <c r="H14" s="2" t="s">
        <v>34</v>
      </c>
      <c r="J14" s="50">
        <f>NPV($C$10,J20:J54)*(1+$C$10)</f>
        <v>2303901501.6390986</v>
      </c>
      <c r="K14" s="50">
        <f>NPV($C$10,K20:K54)*(1+$C$10)</f>
        <v>-575975375.40977466</v>
      </c>
      <c r="L14" s="50">
        <f>NPV($C$10,L20:L54)*(1+$C$10)</f>
        <v>-34558522.524586476</v>
      </c>
      <c r="M14" s="50">
        <f>NPV($C$10,M20:M54)*(1+$C$10)</f>
        <v>-151095004.66911355</v>
      </c>
      <c r="N14" s="50">
        <f>NPV($C$10,N20:N54)</f>
        <v>-1268423686.40732</v>
      </c>
      <c r="O14" s="50">
        <f>NPV($C$10,O20:O54)</f>
        <v>-19026355.296109799</v>
      </c>
      <c r="P14" s="50">
        <f>NPV($C$10,P20:P54)</f>
        <v>45029856.906149574</v>
      </c>
      <c r="Q14" s="50" t="s">
        <v>45</v>
      </c>
      <c r="R14" s="50">
        <f>NPV($C$11,R20:R54)</f>
        <v>377380325.56699848</v>
      </c>
      <c r="U14" s="6"/>
      <c r="V14" s="6"/>
      <c r="W14" s="6"/>
      <c r="X14" s="6"/>
      <c r="Y14" s="6"/>
      <c r="Z14" s="6"/>
      <c r="AA14" s="59">
        <f>AA20/Y20</f>
        <v>-5.4498790958398768E-2</v>
      </c>
    </row>
    <row r="15" spans="1:37" x14ac:dyDescent="0.2">
      <c r="J15" s="26"/>
      <c r="K15" s="26"/>
      <c r="L15" s="26"/>
      <c r="M15" s="26"/>
      <c r="N15" s="26"/>
      <c r="O15" s="26"/>
      <c r="P15" s="26"/>
      <c r="Q15" s="26"/>
      <c r="R15" s="26"/>
      <c r="S15" s="25"/>
    </row>
    <row r="16" spans="1:37" x14ac:dyDescent="0.2">
      <c r="A16" s="27"/>
      <c r="B16" s="28"/>
      <c r="C16" s="29" t="s">
        <v>32</v>
      </c>
      <c r="D16" s="29"/>
      <c r="E16" s="29"/>
      <c r="F16" s="30"/>
      <c r="G16" s="31"/>
      <c r="H16" s="51" t="s">
        <v>44</v>
      </c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32"/>
      <c r="U16" s="51" t="s">
        <v>37</v>
      </c>
      <c r="V16" s="52"/>
      <c r="W16" s="52"/>
      <c r="X16" s="52"/>
      <c r="Y16" s="52"/>
      <c r="Z16" s="52"/>
      <c r="AA16" s="53"/>
      <c r="AB16" s="33"/>
      <c r="AC16" s="34" t="s">
        <v>7</v>
      </c>
      <c r="AD16" s="33"/>
      <c r="AE16" s="51" t="s">
        <v>46</v>
      </c>
      <c r="AF16" s="52"/>
      <c r="AG16" s="53"/>
    </row>
    <row r="17" spans="1:35" ht="38.25" x14ac:dyDescent="0.2">
      <c r="A17" s="20" t="s">
        <v>16</v>
      </c>
      <c r="B17" s="20" t="s">
        <v>15</v>
      </c>
      <c r="C17" s="21" t="s">
        <v>9</v>
      </c>
      <c r="D17" s="21" t="s">
        <v>10</v>
      </c>
      <c r="E17" s="20" t="s">
        <v>14</v>
      </c>
      <c r="F17" s="21" t="s">
        <v>11</v>
      </c>
      <c r="G17" s="21"/>
      <c r="H17" s="19" t="s">
        <v>29</v>
      </c>
      <c r="I17" s="19" t="s">
        <v>30</v>
      </c>
      <c r="J17" s="18" t="s">
        <v>31</v>
      </c>
      <c r="K17" s="18" t="s">
        <v>0</v>
      </c>
      <c r="L17" s="19" t="s">
        <v>19</v>
      </c>
      <c r="M17" s="19" t="s">
        <v>33</v>
      </c>
      <c r="N17" s="18" t="s">
        <v>1</v>
      </c>
      <c r="O17" s="19" t="s">
        <v>28</v>
      </c>
      <c r="P17" s="18" t="s">
        <v>26</v>
      </c>
      <c r="Q17" s="19" t="s">
        <v>27</v>
      </c>
      <c r="R17" s="19" t="s">
        <v>8</v>
      </c>
      <c r="U17" s="19" t="s">
        <v>24</v>
      </c>
      <c r="V17" s="19" t="s">
        <v>38</v>
      </c>
      <c r="W17" s="19" t="s">
        <v>39</v>
      </c>
      <c r="X17" s="19" t="s">
        <v>40</v>
      </c>
      <c r="Y17" s="19" t="s">
        <v>41</v>
      </c>
      <c r="Z17" s="19" t="s">
        <v>42</v>
      </c>
      <c r="AA17" s="19" t="s">
        <v>73</v>
      </c>
      <c r="AB17" s="61" t="s">
        <v>71</v>
      </c>
      <c r="AC17" s="19" t="s">
        <v>66</v>
      </c>
      <c r="AD17" s="19"/>
      <c r="AE17" s="19" t="s">
        <v>25</v>
      </c>
      <c r="AF17" s="19" t="s">
        <v>43</v>
      </c>
      <c r="AG17" s="19" t="s">
        <v>36</v>
      </c>
      <c r="AH17" s="54" t="s">
        <v>76</v>
      </c>
    </row>
    <row r="18" spans="1:35" x14ac:dyDescent="0.2">
      <c r="C18" s="21" t="s">
        <v>13</v>
      </c>
      <c r="D18" s="21" t="s">
        <v>13</v>
      </c>
      <c r="E18" s="21"/>
      <c r="F18" s="21" t="s">
        <v>13</v>
      </c>
      <c r="G18" s="21"/>
      <c r="H18" s="21"/>
      <c r="I18" s="21"/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13</v>
      </c>
      <c r="O18" s="21" t="s">
        <v>13</v>
      </c>
      <c r="P18" s="21" t="s">
        <v>13</v>
      </c>
      <c r="Q18" s="21" t="s">
        <v>13</v>
      </c>
      <c r="R18" s="21" t="s">
        <v>13</v>
      </c>
      <c r="AA18" s="58" t="s">
        <v>12</v>
      </c>
      <c r="AE18" s="21" t="s">
        <v>13</v>
      </c>
      <c r="AF18" s="21" t="s">
        <v>13</v>
      </c>
      <c r="AG18" s="21" t="s">
        <v>13</v>
      </c>
      <c r="AH18" s="35"/>
    </row>
    <row r="19" spans="1:35" ht="15" x14ac:dyDescent="0.25">
      <c r="B19" s="36">
        <v>42004</v>
      </c>
      <c r="C19" s="21"/>
      <c r="D19" s="21"/>
      <c r="E19" s="21"/>
      <c r="F19" s="49">
        <v>1</v>
      </c>
      <c r="G19" s="21"/>
      <c r="H19" s="43">
        <f>num_pol_if</f>
        <v>100000</v>
      </c>
      <c r="I19" s="43">
        <f>si_if</f>
        <v>45000000000</v>
      </c>
      <c r="J19" s="43">
        <f>prem_if</f>
        <v>222750000</v>
      </c>
      <c r="K19" s="44"/>
      <c r="L19" s="44"/>
      <c r="M19" s="44"/>
      <c r="N19" s="44"/>
      <c r="O19" s="44"/>
      <c r="P19" s="44"/>
      <c r="Q19" s="44"/>
      <c r="R19" s="44"/>
      <c r="S19" s="6"/>
      <c r="T19" s="44"/>
      <c r="Y19" s="44"/>
      <c r="Z19" s="44"/>
      <c r="AA19" s="44"/>
      <c r="AB19" s="56">
        <f>-SUM(V20:Z20)-U20</f>
        <v>-254822557.33219409</v>
      </c>
      <c r="AC19" s="44">
        <f t="shared" ref="AC19:AC54" si="0">MAX(0,(-(1+clm_margin)*Y20*(1+claim_exp_pc*(1+clm_exp_margin))-(1+pp_exp_margin)*X20-W20-V20-U20))*($C$6="Y")</f>
        <v>0</v>
      </c>
      <c r="AD19" s="6"/>
      <c r="AE19" s="50"/>
      <c r="AF19" s="50">
        <f>-SUM(V20:Z20)-U20+AA20</f>
        <v>-185695000</v>
      </c>
      <c r="AG19" s="50">
        <f>NPV($C$11,R20:R$55)</f>
        <v>377380325.56699848</v>
      </c>
      <c r="AH19" s="35"/>
    </row>
    <row r="20" spans="1:35" ht="15" x14ac:dyDescent="0.25">
      <c r="A20" s="21">
        <v>1</v>
      </c>
      <c r="B20" s="47">
        <f>YEAR(B19)+1</f>
        <v>2015</v>
      </c>
      <c r="C20" s="49">
        <f t="shared" ref="C20:C54" si="1">qx*(1+clm_rate_inc)^(A20-1)</f>
        <v>1E-3</v>
      </c>
      <c r="D20" s="42">
        <f t="shared" ref="D20:D54" si="2">VLOOKUP(A20,lapse_rate,2)</f>
        <v>0.05</v>
      </c>
      <c r="E20" s="42">
        <f t="shared" ref="E20:E54" si="3">VLOOKUP(A20,exp_rate,3)</f>
        <v>0</v>
      </c>
      <c r="F20" s="49">
        <f>F19*(1-C20)*(1-D20)*(1-E20)</f>
        <v>0.94904999999999995</v>
      </c>
      <c r="G20" s="37"/>
      <c r="H20" s="50">
        <f>+H$19*$F19</f>
        <v>100000</v>
      </c>
      <c r="I20" s="50">
        <f t="shared" ref="I20:I54" si="4">+I$19*F19*(1+si_index)^(A20-1)</f>
        <v>45000000000</v>
      </c>
      <c r="J20" s="50">
        <f>+J$19*$F19</f>
        <v>222750000</v>
      </c>
      <c r="K20" s="50">
        <f t="shared" ref="K20:K54" si="5">-J20*ren_comm</f>
        <v>-55687500</v>
      </c>
      <c r="L20" s="50">
        <f t="shared" ref="L20:L54" si="6">-J20*prem_exp</f>
        <v>-3341250</v>
      </c>
      <c r="M20" s="50">
        <f t="shared" ref="M20:M54" si="7">-H20*pp_expense*(1+exp_index)^(A20-1)</f>
        <v>-12000000</v>
      </c>
      <c r="N20" s="50">
        <f>-I20*C20</f>
        <v>-45000000</v>
      </c>
      <c r="O20" s="50">
        <f t="shared" ref="O20:O54" si="8">+N20*claim_exp_pc</f>
        <v>-675000</v>
      </c>
      <c r="P20" s="50">
        <f t="shared" ref="P20:P54" si="9">inv_income_pa*(AC19+J20+K20+L20+M20)</f>
        <v>4551637.5</v>
      </c>
      <c r="Q20" s="50">
        <f t="shared" ref="Q20:Q54" si="10">+AC19-AC20</f>
        <v>0</v>
      </c>
      <c r="R20" s="50">
        <f>SUM(J20:Q20)</f>
        <v>110597887.5</v>
      </c>
      <c r="S20" s="64">
        <f>Q20+AC19*0.03</f>
        <v>0</v>
      </c>
      <c r="T20" s="44"/>
      <c r="U20" s="50">
        <f>NPV($C$10,J20:J$54)*(1+$C$10)</f>
        <v>2303901501.6390986</v>
      </c>
      <c r="V20" s="50">
        <f>NPV($C$10,K20:K$54)*(1+$C$10)</f>
        <v>-575975375.40977466</v>
      </c>
      <c r="W20" s="50">
        <f>NPV($C$10,L20:L$54)*(1+$C$10)</f>
        <v>-34558522.524586476</v>
      </c>
      <c r="X20" s="50">
        <f>NPV($C$10,M20:M$54)*(1+$C$10)</f>
        <v>-151095004.66911355</v>
      </c>
      <c r="Y20" s="50">
        <f>NPV($C$10,N20:N$54)</f>
        <v>-1268423686.40732</v>
      </c>
      <c r="Z20" s="50">
        <f>NPV($C$10,O20:O$54)</f>
        <v>-19026355.296109799</v>
      </c>
      <c r="AA20" s="55">
        <f>-185695000-AB19</f>
        <v>69127557.33219409</v>
      </c>
      <c r="AB20" s="56">
        <f t="shared" ref="AB20:AB54" si="11">-SUM(V21:Z21)-U21</f>
        <v>-151611593.2838285</v>
      </c>
      <c r="AC20" s="44">
        <f t="shared" si="0"/>
        <v>0</v>
      </c>
      <c r="AD20" s="6"/>
      <c r="AE20" s="62">
        <f>N20*$AA$14</f>
        <v>2452445.5931279445</v>
      </c>
      <c r="AF20" s="50">
        <f t="shared" ref="AF20:AF54" si="12">-SUM(V21:Z21)-U21+AA21</f>
        <v>-83035473.718127012</v>
      </c>
      <c r="AG20" s="50">
        <f>NPV($C$11,R21:R$55)</f>
        <v>313954978.76287329</v>
      </c>
      <c r="AH20" s="83">
        <f>SUM(J20:O20)+(AF19+J20+K20+L20+M20)*$C$10-(AF20-AF19)</f>
        <v>2452445.5931270123</v>
      </c>
      <c r="AI20" s="57"/>
    </row>
    <row r="21" spans="1:35" ht="15" x14ac:dyDescent="0.25">
      <c r="A21" s="21">
        <f>+A20+1</f>
        <v>2</v>
      </c>
      <c r="B21" s="47">
        <f>+B20+1</f>
        <v>2016</v>
      </c>
      <c r="C21" s="49">
        <f t="shared" si="1"/>
        <v>1.075E-3</v>
      </c>
      <c r="D21" s="42">
        <f t="shared" si="2"/>
        <v>0.05</v>
      </c>
      <c r="E21" s="42">
        <f t="shared" si="3"/>
        <v>0</v>
      </c>
      <c r="F21" s="49">
        <f t="shared" ref="F21:F50" si="13">F20*(1-C21)*(1-D21)*(1-E21)</f>
        <v>0.90062828268749984</v>
      </c>
      <c r="G21" s="37"/>
      <c r="H21" s="50">
        <f t="shared" ref="H21:H54" si="14">+H$19*$F20</f>
        <v>94905</v>
      </c>
      <c r="I21" s="50">
        <f t="shared" si="4"/>
        <v>43988467500</v>
      </c>
      <c r="J21" s="50">
        <f t="shared" ref="J21:J54" si="15">+$J$19*F20</f>
        <v>211400887.5</v>
      </c>
      <c r="K21" s="50">
        <f t="shared" si="5"/>
        <v>-52850221.875</v>
      </c>
      <c r="L21" s="50">
        <f t="shared" si="6"/>
        <v>-3171013.3125</v>
      </c>
      <c r="M21" s="50">
        <f t="shared" si="7"/>
        <v>-11673314.999999998</v>
      </c>
      <c r="N21" s="50">
        <f t="shared" ref="N21:N54" si="16">-I21*C21</f>
        <v>-47287602.5625</v>
      </c>
      <c r="O21" s="50">
        <f t="shared" si="8"/>
        <v>-709314.03843750001</v>
      </c>
      <c r="P21" s="50">
        <f t="shared" si="9"/>
        <v>4311190.1193749998</v>
      </c>
      <c r="Q21" s="50">
        <f t="shared" si="10"/>
        <v>0</v>
      </c>
      <c r="R21" s="50">
        <f t="shared" ref="R21:R54" si="17">SUM(J21:Q21)</f>
        <v>100020610.8309375</v>
      </c>
      <c r="S21" s="6"/>
      <c r="T21" s="44"/>
      <c r="U21" s="50">
        <f>NPV($C$10,J21:J$54)*(1+$C$10)</f>
        <v>2138383167.9341729</v>
      </c>
      <c r="V21" s="50">
        <f>NPV($C$10,K21:K$54)*(1+$C$10)</f>
        <v>-534595791.98354322</v>
      </c>
      <c r="W21" s="50">
        <f>NPV($C$10,L21:L$54)*(1+$C$10)</f>
        <v>-32075747.519012593</v>
      </c>
      <c r="X21" s="50">
        <f>NPV($C$10,M21:M$54)*(1+$C$10)</f>
        <v>-142920117.29751423</v>
      </c>
      <c r="Y21" s="50">
        <f>NPV($C$10,N21:N$54)</f>
        <v>-1258305337.7835214</v>
      </c>
      <c r="Z21" s="50">
        <f>NPV($C$10,O21:O$54)</f>
        <v>-18874580.066752821</v>
      </c>
      <c r="AA21" s="62">
        <f>Y21*$AA$14</f>
        <v>68576119.565701485</v>
      </c>
      <c r="AB21" s="56">
        <f t="shared" si="11"/>
        <v>-56119567.111476898</v>
      </c>
      <c r="AC21" s="44">
        <f t="shared" si="0"/>
        <v>0</v>
      </c>
      <c r="AD21" s="6"/>
      <c r="AE21" s="62">
        <f>N21*$AA$14</f>
        <v>2577117.1669775294</v>
      </c>
      <c r="AF21" s="50">
        <f t="shared" si="12"/>
        <v>11765278.575303882</v>
      </c>
      <c r="AG21" s="50">
        <f>NPV($C$11,R22:R$55)</f>
        <v>253178740.27729517</v>
      </c>
      <c r="AH21" s="83">
        <f t="shared" ref="AH21:AH54" si="18">SUM(J21:O21)+(AF20+J21+K21+L21+M21)*$C$10-(AF21-AF20)</f>
        <v>2577117.1669768691</v>
      </c>
      <c r="AI21" s="63"/>
    </row>
    <row r="22" spans="1:35" ht="15" x14ac:dyDescent="0.25">
      <c r="A22" s="21">
        <f t="shared" ref="A22:B37" si="19">+A21+1</f>
        <v>3</v>
      </c>
      <c r="B22" s="47">
        <f t="shared" si="19"/>
        <v>2017</v>
      </c>
      <c r="C22" s="49">
        <f t="shared" si="1"/>
        <v>1.155625E-3</v>
      </c>
      <c r="D22" s="42">
        <f t="shared" si="2"/>
        <v>0.05</v>
      </c>
      <c r="E22" s="42">
        <f t="shared" si="3"/>
        <v>0</v>
      </c>
      <c r="F22" s="49">
        <f t="shared" si="13"/>
        <v>0.85460811942190307</v>
      </c>
      <c r="G22" s="37"/>
      <c r="H22" s="50">
        <f t="shared" si="14"/>
        <v>90062.828268749989</v>
      </c>
      <c r="I22" s="50">
        <f t="shared" si="4"/>
        <v>42996444529.642586</v>
      </c>
      <c r="J22" s="50">
        <f t="shared" si="15"/>
        <v>200614949.9686406</v>
      </c>
      <c r="K22" s="50">
        <f t="shared" si="5"/>
        <v>-50153737.492160149</v>
      </c>
      <c r="L22" s="50">
        <f t="shared" si="6"/>
        <v>-3009224.249529609</v>
      </c>
      <c r="M22" s="50">
        <f t="shared" si="7"/>
        <v>-11354671.073982652</v>
      </c>
      <c r="N22" s="50">
        <f t="shared" si="16"/>
        <v>-49687766.20956821</v>
      </c>
      <c r="O22" s="50">
        <f t="shared" si="8"/>
        <v>-745316.49314352311</v>
      </c>
      <c r="P22" s="50">
        <f t="shared" si="9"/>
        <v>4082919.5145890457</v>
      </c>
      <c r="Q22" s="50">
        <f t="shared" si="10"/>
        <v>0</v>
      </c>
      <c r="R22" s="50">
        <f t="shared" si="17"/>
        <v>89747153.964845508</v>
      </c>
      <c r="S22" s="6"/>
      <c r="T22" s="44"/>
      <c r="U22" s="50">
        <f>NPV($C$10,J22:J$54)*(1+$C$10)</f>
        <v>1979974293.1461124</v>
      </c>
      <c r="V22" s="50">
        <f>NPV($C$10,K22:K$54)*(1+$C$10)</f>
        <v>-494993573.28652811</v>
      </c>
      <c r="W22" s="50">
        <f>NPV($C$10,L22:L$54)*(1+$C$10)</f>
        <v>-29699614.397191685</v>
      </c>
      <c r="X22" s="50">
        <f>NPV($C$10,M22:M$54)*(1+$C$10)</f>
        <v>-134856089.36069593</v>
      </c>
      <c r="Y22" s="50">
        <f>NPV($C$10,N22:N$54)</f>
        <v>-1245621132.0100689</v>
      </c>
      <c r="Z22" s="50">
        <f>NPV($C$10,O22:O$54)</f>
        <v>-18684316.980151024</v>
      </c>
      <c r="AA22" s="62">
        <f t="shared" ref="AA22:AA54" si="20">Y22*$AA$14</f>
        <v>67884845.686780781</v>
      </c>
      <c r="AB22" s="56">
        <f t="shared" si="11"/>
        <v>31744055.464920282</v>
      </c>
      <c r="AC22" s="44">
        <f t="shared" si="0"/>
        <v>0</v>
      </c>
      <c r="AD22" s="6"/>
      <c r="AE22" s="62">
        <f>N22*$AA$14</f>
        <v>2707923.1838450478</v>
      </c>
      <c r="AF22" s="50">
        <f t="shared" si="12"/>
        <v>98787811.224242508</v>
      </c>
      <c r="AG22" s="50">
        <f>NPV($C$11,R23:R$55)</f>
        <v>195078928.84711137</v>
      </c>
      <c r="AH22" s="83">
        <f t="shared" si="18"/>
        <v>2707923.1838453263</v>
      </c>
      <c r="AI22" s="57"/>
    </row>
    <row r="23" spans="1:35" ht="15" x14ac:dyDescent="0.25">
      <c r="A23" s="66">
        <f t="shared" si="19"/>
        <v>4</v>
      </c>
      <c r="B23" s="67">
        <f t="shared" si="19"/>
        <v>2018</v>
      </c>
      <c r="C23" s="68">
        <f t="shared" si="1"/>
        <v>1.2422968749999999E-3</v>
      </c>
      <c r="D23" s="69">
        <f t="shared" si="2"/>
        <v>0.05</v>
      </c>
      <c r="E23" s="69">
        <f t="shared" si="3"/>
        <v>0</v>
      </c>
      <c r="F23" s="68">
        <f t="shared" si="13"/>
        <v>0.81086912030450575</v>
      </c>
      <c r="G23" s="70"/>
      <c r="H23" s="71">
        <f t="shared" si="14"/>
        <v>85460.81194219031</v>
      </c>
      <c r="I23" s="71">
        <f t="shared" si="4"/>
        <v>42023401493.019211</v>
      </c>
      <c r="J23" s="71">
        <f t="shared" si="15"/>
        <v>190363958.60122892</v>
      </c>
      <c r="K23" s="71">
        <f t="shared" si="5"/>
        <v>-47590989.650307231</v>
      </c>
      <c r="L23" s="71">
        <f t="shared" si="6"/>
        <v>-2855459.3790184339</v>
      </c>
      <c r="M23" s="71">
        <f t="shared" si="7"/>
        <v>-11043833.662251933</v>
      </c>
      <c r="N23" s="71">
        <f t="shared" si="16"/>
        <v>-52205540.3516481</v>
      </c>
      <c r="O23" s="71">
        <f t="shared" si="8"/>
        <v>-783083.10527472151</v>
      </c>
      <c r="P23" s="71">
        <f t="shared" si="9"/>
        <v>3866210.2772895396</v>
      </c>
      <c r="Q23" s="71">
        <f t="shared" si="10"/>
        <v>0</v>
      </c>
      <c r="R23" s="71">
        <f t="shared" si="17"/>
        <v>79751262.730018035</v>
      </c>
      <c r="S23" s="72"/>
      <c r="T23" s="73"/>
      <c r="U23" s="71">
        <f>NPV($C$10,J23:J$54)*(1+$C$10)</f>
        <v>1828291725.1148529</v>
      </c>
      <c r="V23" s="71">
        <f>NPV($C$10,K23:K$54)*(1+$C$10)</f>
        <v>-457072931.27871323</v>
      </c>
      <c r="W23" s="71">
        <f>NPV($C$10,L23:L$54)*(1+$C$10)</f>
        <v>-27424375.876722798</v>
      </c>
      <c r="X23" s="71">
        <f>NPV($C$10,M23:M$54)*(1+$C$10)</f>
        <v>-126897707.28959787</v>
      </c>
      <c r="Y23" s="71">
        <f>NPV($C$10,N23:N$54)</f>
        <v>-1230187946.9307778</v>
      </c>
      <c r="Z23" s="71">
        <f>NPV($C$10,O23:O$54)</f>
        <v>-18452819.203961659</v>
      </c>
      <c r="AA23" s="74">
        <f t="shared" si="20"/>
        <v>67043755.759322219</v>
      </c>
      <c r="AB23" s="75">
        <f t="shared" si="11"/>
        <v>112046095.53044939</v>
      </c>
      <c r="AC23" s="73">
        <f t="shared" si="0"/>
        <v>0</v>
      </c>
      <c r="AD23" s="72"/>
      <c r="AE23" s="74">
        <f>N23*$AA$14</f>
        <v>2845138.8304947214</v>
      </c>
      <c r="AF23" s="71">
        <f t="shared" si="12"/>
        <v>178088415.74265823</v>
      </c>
      <c r="AG23" s="71">
        <f>NPV($C$11,R24:R$55)</f>
        <v>139712532.22298238</v>
      </c>
      <c r="AH23" s="83">
        <f t="shared" si="18"/>
        <v>2845138.8304948509</v>
      </c>
      <c r="AI23" s="57"/>
    </row>
    <row r="24" spans="1:35" ht="15" x14ac:dyDescent="0.25">
      <c r="A24" s="21">
        <f t="shared" si="19"/>
        <v>5</v>
      </c>
      <c r="B24" s="47">
        <f t="shared" si="19"/>
        <v>2019</v>
      </c>
      <c r="C24" s="49">
        <f t="shared" si="1"/>
        <v>1.3354691406249999E-3</v>
      </c>
      <c r="D24" s="42">
        <f t="shared" si="2"/>
        <v>0.05</v>
      </c>
      <c r="E24" s="42">
        <f t="shared" si="3"/>
        <v>0</v>
      </c>
      <c r="F24" s="49">
        <f t="shared" si="13"/>
        <v>0.76929691813639067</v>
      </c>
      <c r="G24" s="37"/>
      <c r="H24" s="50">
        <f t="shared" si="14"/>
        <v>81086.912030450578</v>
      </c>
      <c r="I24" s="50">
        <f t="shared" si="4"/>
        <v>41068815239.685196</v>
      </c>
      <c r="J24" s="50">
        <f t="shared" si="15"/>
        <v>180621096.54782864</v>
      </c>
      <c r="K24" s="50">
        <f t="shared" si="5"/>
        <v>-45155274.136957161</v>
      </c>
      <c r="L24" s="50">
        <f t="shared" si="6"/>
        <v>-2709316.4482174297</v>
      </c>
      <c r="M24" s="50">
        <f t="shared" si="7"/>
        <v>-10740573.451222407</v>
      </c>
      <c r="N24" s="50">
        <f t="shared" si="16"/>
        <v>-54846135.394629285</v>
      </c>
      <c r="O24" s="50">
        <f t="shared" si="8"/>
        <v>-822692.03091943928</v>
      </c>
      <c r="P24" s="50">
        <f t="shared" si="9"/>
        <v>3660477.9753429489</v>
      </c>
      <c r="Q24" s="50">
        <f t="shared" si="10"/>
        <v>0</v>
      </c>
      <c r="R24" s="50">
        <f t="shared" si="17"/>
        <v>70007583.061225861</v>
      </c>
      <c r="S24" s="6"/>
      <c r="T24" s="44"/>
      <c r="U24" s="50">
        <f>NPV($C$10,J24:J$54)*(1+$C$10)</f>
        <v>1682970780.0927489</v>
      </c>
      <c r="V24" s="50">
        <f>NPV($C$10,K24:K$54)*(1+$C$10)</f>
        <v>-420742695.02318722</v>
      </c>
      <c r="W24" s="50">
        <f>NPV($C$10,L24:L$54)*(1+$C$10)</f>
        <v>-25244561.701391224</v>
      </c>
      <c r="X24" s="50">
        <f>NPV($C$10,M24:M$54)*(1+$C$10)</f>
        <v>-119039855.152098</v>
      </c>
      <c r="Y24" s="50">
        <f>NPV($C$10,N24:N$54)</f>
        <v>-1211812575.1197257</v>
      </c>
      <c r="Z24" s="50">
        <f>NPV($C$10,O24:O$54)</f>
        <v>-18177188.626795892</v>
      </c>
      <c r="AA24" s="62">
        <f t="shared" si="20"/>
        <v>66042320.212208837</v>
      </c>
      <c r="AB24" s="56">
        <f t="shared" si="11"/>
        <v>184829906.38748407</v>
      </c>
      <c r="AC24" s="44">
        <f t="shared" si="0"/>
        <v>0</v>
      </c>
      <c r="AD24" s="6"/>
      <c r="AE24" s="62">
        <f>N24*$AA$14</f>
        <v>2989048.067747937</v>
      </c>
      <c r="AF24" s="50">
        <f t="shared" si="12"/>
        <v>249699342.33778071</v>
      </c>
      <c r="AG24" s="50">
        <f>NPV($C$11,R25:R$55)</f>
        <v>87169015.689629406</v>
      </c>
      <c r="AH24" s="83">
        <f t="shared" si="18"/>
        <v>2989048.0677478909</v>
      </c>
      <c r="AI24" s="57"/>
    </row>
    <row r="25" spans="1:35" ht="15" x14ac:dyDescent="0.25">
      <c r="A25" s="21">
        <f t="shared" si="19"/>
        <v>6</v>
      </c>
      <c r="B25" s="47">
        <f t="shared" si="19"/>
        <v>2020</v>
      </c>
      <c r="C25" s="49">
        <f t="shared" si="1"/>
        <v>1.435629326171875E-3</v>
      </c>
      <c r="D25" s="42">
        <f t="shared" si="2"/>
        <v>0.05</v>
      </c>
      <c r="E25" s="42">
        <f t="shared" si="3"/>
        <v>0</v>
      </c>
      <c r="F25" s="49">
        <f t="shared" si="13"/>
        <v>0.72978286827417138</v>
      </c>
      <c r="G25" s="37"/>
      <c r="H25" s="50">
        <f t="shared" si="14"/>
        <v>76929.691813639074</v>
      </c>
      <c r="I25" s="50">
        <f t="shared" si="4"/>
        <v>40132168768.548317</v>
      </c>
      <c r="J25" s="50">
        <f t="shared" si="15"/>
        <v>171360888.51488101</v>
      </c>
      <c r="K25" s="50">
        <f t="shared" si="5"/>
        <v>-42840222.128720254</v>
      </c>
      <c r="L25" s="50">
        <f t="shared" si="6"/>
        <v>-2570413.3277232153</v>
      </c>
      <c r="M25" s="50">
        <f t="shared" si="7"/>
        <v>-10444666.215971507</v>
      </c>
      <c r="N25" s="50">
        <f t="shared" si="16"/>
        <v>-57614918.407006986</v>
      </c>
      <c r="O25" s="50">
        <f t="shared" si="8"/>
        <v>-864223.77610510471</v>
      </c>
      <c r="P25" s="50">
        <f t="shared" si="9"/>
        <v>3465167.6052739806</v>
      </c>
      <c r="Q25" s="50">
        <f t="shared" si="10"/>
        <v>0</v>
      </c>
      <c r="R25" s="50">
        <f t="shared" si="17"/>
        <v>60491612.264627919</v>
      </c>
      <c r="S25" s="6"/>
      <c r="T25" s="44"/>
      <c r="U25" s="50">
        <f>NPV($C$10,J25:J$54)*(1+$C$10)</f>
        <v>1543664299.8424048</v>
      </c>
      <c r="V25" s="50">
        <f>NPV($C$10,K25:K$54)*(1+$C$10)</f>
        <v>-385916074.96060121</v>
      </c>
      <c r="W25" s="50">
        <f>NPV($C$10,L25:L$54)*(1+$C$10)</f>
        <v>-23154964.497636084</v>
      </c>
      <c r="X25" s="50">
        <f>NPV($C$10,M25:M$54)*(1+$C$10)</f>
        <v>-111277511.94764966</v>
      </c>
      <c r="Y25" s="50">
        <f>NPV($C$10,N25:N$54)</f>
        <v>-1190291285.5408888</v>
      </c>
      <c r="Z25" s="50">
        <f>NPV($C$10,O25:O$54)</f>
        <v>-17854369.283113331</v>
      </c>
      <c r="AA25" s="62">
        <f t="shared" si="20"/>
        <v>64869435.950296633</v>
      </c>
      <c r="AB25" s="56">
        <f t="shared" si="11"/>
        <v>250115577.11066151</v>
      </c>
      <c r="AC25" s="44">
        <f t="shared" si="0"/>
        <v>0</v>
      </c>
      <c r="AD25" s="6"/>
      <c r="AE25" s="62">
        <f>N25*$AA$14</f>
        <v>3139943.3943486749</v>
      </c>
      <c r="AF25" s="50">
        <f t="shared" si="12"/>
        <v>313628979.15524262</v>
      </c>
      <c r="AG25" s="50">
        <f>NPV($C$11,R26:R$55)</f>
        <v>37573530.38620507</v>
      </c>
      <c r="AH25" s="83">
        <f t="shared" si="18"/>
        <v>3139943.3943488151</v>
      </c>
      <c r="AI25" s="57"/>
    </row>
    <row r="26" spans="1:35" ht="15" x14ac:dyDescent="0.25">
      <c r="A26" s="21">
        <f t="shared" si="19"/>
        <v>7</v>
      </c>
      <c r="B26" s="47">
        <f t="shared" si="19"/>
        <v>2021</v>
      </c>
      <c r="C26" s="49">
        <f t="shared" si="1"/>
        <v>1.5433015256347653E-3</v>
      </c>
      <c r="D26" s="42">
        <f t="shared" si="2"/>
        <v>0.05</v>
      </c>
      <c r="E26" s="42">
        <f t="shared" si="3"/>
        <v>0</v>
      </c>
      <c r="F26" s="49">
        <f t="shared" si="13"/>
        <v>0.69222376359717264</v>
      </c>
      <c r="G26" s="37"/>
      <c r="H26" s="50">
        <f t="shared" si="14"/>
        <v>72978.286827417134</v>
      </c>
      <c r="I26" s="50">
        <f t="shared" si="4"/>
        <v>39212950942.363274</v>
      </c>
      <c r="J26" s="50">
        <f t="shared" si="15"/>
        <v>162559133.90807167</v>
      </c>
      <c r="K26" s="50">
        <f t="shared" si="5"/>
        <v>-40639783.477017917</v>
      </c>
      <c r="L26" s="50">
        <f t="shared" si="6"/>
        <v>-2438387.0086210747</v>
      </c>
      <c r="M26" s="50">
        <f t="shared" si="7"/>
        <v>-10155892.668744974</v>
      </c>
      <c r="N26" s="50">
        <f t="shared" si="16"/>
        <v>-60517407.013990447</v>
      </c>
      <c r="O26" s="50">
        <f t="shared" si="8"/>
        <v>-907761.10520985664</v>
      </c>
      <c r="P26" s="50">
        <f t="shared" si="9"/>
        <v>3279752.1226106309</v>
      </c>
      <c r="Q26" s="50">
        <f t="shared" si="10"/>
        <v>0</v>
      </c>
      <c r="R26" s="50">
        <f t="shared" si="17"/>
        <v>51179654.757098034</v>
      </c>
      <c r="S26" s="6"/>
      <c r="T26" s="44"/>
      <c r="U26" s="50">
        <f>NPV($C$10,J26:J$54)*(1+$C$10)</f>
        <v>1410041755.1390309</v>
      </c>
      <c r="V26" s="50">
        <f>NPV($C$10,K26:K$54)*(1+$C$10)</f>
        <v>-352510438.78475773</v>
      </c>
      <c r="W26" s="50">
        <f>NPV($C$10,L26:L$54)*(1+$C$10)</f>
        <v>-21150626.327085476</v>
      </c>
      <c r="X26" s="50">
        <f>NPV($C$10,M26:M$54)*(1+$C$10)</f>
        <v>-103605748.9892993</v>
      </c>
      <c r="Y26" s="50">
        <f>NPV($C$10,N26:N$54)</f>
        <v>-1165409377.4862561</v>
      </c>
      <c r="Z26" s="50">
        <f>NPV($C$10,O26:O$54)</f>
        <v>-17481140.66229384</v>
      </c>
      <c r="AA26" s="62">
        <f t="shared" si="20"/>
        <v>63513402.044581115</v>
      </c>
      <c r="AB26" s="56">
        <f t="shared" si="11"/>
        <v>307900097.56141829</v>
      </c>
      <c r="AC26" s="44">
        <f t="shared" si="0"/>
        <v>0</v>
      </c>
      <c r="AD26" s="6"/>
      <c r="AE26" s="62">
        <f>N26*$AA$14</f>
        <v>3298125.5141998008</v>
      </c>
      <c r="AF26" s="50">
        <f t="shared" si="12"/>
        <v>369861992.64802563</v>
      </c>
      <c r="AG26" s="50">
        <f>NPV($C$11,R27:R$55)</f>
        <v>-8909433.0726172943</v>
      </c>
      <c r="AH26" s="83">
        <f t="shared" si="18"/>
        <v>3298125.5141999796</v>
      </c>
      <c r="AI26" s="57"/>
    </row>
    <row r="27" spans="1:35" ht="15" x14ac:dyDescent="0.25">
      <c r="A27" s="21">
        <f t="shared" si="19"/>
        <v>8</v>
      </c>
      <c r="B27" s="47">
        <f t="shared" si="19"/>
        <v>2022</v>
      </c>
      <c r="C27" s="49">
        <f t="shared" si="1"/>
        <v>1.6590491400573729E-3</v>
      </c>
      <c r="D27" s="42">
        <f t="shared" si="2"/>
        <v>0.05</v>
      </c>
      <c r="E27" s="42">
        <f t="shared" si="3"/>
        <v>0</v>
      </c>
      <c r="F27" s="49">
        <f t="shared" si="13"/>
        <v>0.65652156383957705</v>
      </c>
      <c r="G27" s="37"/>
      <c r="H27" s="50">
        <f t="shared" si="14"/>
        <v>69222.376359717266</v>
      </c>
      <c r="I27" s="50">
        <f t="shared" si="4"/>
        <v>38310656214.339272</v>
      </c>
      <c r="J27" s="50">
        <f t="shared" si="15"/>
        <v>154192843.34127021</v>
      </c>
      <c r="K27" s="50">
        <f t="shared" si="5"/>
        <v>-38548210.835317552</v>
      </c>
      <c r="L27" s="50">
        <f t="shared" si="6"/>
        <v>-2312892.6501190532</v>
      </c>
      <c r="M27" s="50">
        <f t="shared" si="7"/>
        <v>-9874038.3136626221</v>
      </c>
      <c r="N27" s="50">
        <f t="shared" si="16"/>
        <v>-63559261.247433215</v>
      </c>
      <c r="O27" s="50">
        <f t="shared" si="8"/>
        <v>-953388.91871149815</v>
      </c>
      <c r="P27" s="50">
        <f t="shared" si="9"/>
        <v>3103731.0462651295</v>
      </c>
      <c r="Q27" s="50">
        <f t="shared" si="10"/>
        <v>0</v>
      </c>
      <c r="R27" s="50">
        <f t="shared" si="17"/>
        <v>42048782.422291405</v>
      </c>
      <c r="S27" s="6"/>
      <c r="T27" s="44"/>
      <c r="U27" s="50">
        <f>NPV($C$10,J27:J$54)*(1+$C$10)</f>
        <v>1281788393.3148112</v>
      </c>
      <c r="V27" s="50">
        <f>NPV($C$10,K27:K$54)*(1+$C$10)</f>
        <v>-320447098.32870281</v>
      </c>
      <c r="W27" s="50">
        <f>NPV($C$10,L27:L$54)*(1+$C$10)</f>
        <v>-19226825.899722163</v>
      </c>
      <c r="X27" s="50">
        <f>NPV($C$10,M27:M$54)*(1+$C$10)</f>
        <v>-96019727.369369611</v>
      </c>
      <c r="Y27" s="50">
        <f>NPV($C$10,N27:N$54)</f>
        <v>-1136940728.353138</v>
      </c>
      <c r="Z27" s="50">
        <f>NPV($C$10,O27:O$54)</f>
        <v>-17054110.92529707</v>
      </c>
      <c r="AA27" s="62">
        <f t="shared" si="20"/>
        <v>61961895.086607307</v>
      </c>
      <c r="AB27" s="56">
        <f t="shared" si="11"/>
        <v>358157488.4127934</v>
      </c>
      <c r="AC27" s="44">
        <f t="shared" si="0"/>
        <v>0</v>
      </c>
      <c r="AD27" s="6"/>
      <c r="AE27" s="62">
        <f>N27*$AA$14</f>
        <v>3463902.8921941184</v>
      </c>
      <c r="AF27" s="50">
        <f t="shared" si="12"/>
        <v>418359432.72208828</v>
      </c>
      <c r="AG27" s="50">
        <f>NPV($C$11,R28:R$55)</f>
        <v>-52071894.628985852</v>
      </c>
      <c r="AH27" s="83">
        <f t="shared" si="18"/>
        <v>3463902.8921940327</v>
      </c>
      <c r="AI27" s="57"/>
    </row>
    <row r="28" spans="1:35" ht="15" x14ac:dyDescent="0.25">
      <c r="A28" s="21">
        <f t="shared" si="19"/>
        <v>9</v>
      </c>
      <c r="B28" s="47">
        <f t="shared" si="19"/>
        <v>2023</v>
      </c>
      <c r="C28" s="49">
        <f t="shared" si="1"/>
        <v>1.7834778255616758E-3</v>
      </c>
      <c r="D28" s="42">
        <f t="shared" si="2"/>
        <v>0.05</v>
      </c>
      <c r="E28" s="42">
        <f t="shared" si="3"/>
        <v>0</v>
      </c>
      <c r="F28" s="49">
        <f t="shared" si="13"/>
        <v>0.62258313857904279</v>
      </c>
      <c r="G28" s="37"/>
      <c r="H28" s="50">
        <f t="shared" si="14"/>
        <v>65652.156383957699</v>
      </c>
      <c r="I28" s="50">
        <f t="shared" si="4"/>
        <v>37424784368.600365</v>
      </c>
      <c r="J28" s="50">
        <f t="shared" si="15"/>
        <v>146240178.34526578</v>
      </c>
      <c r="K28" s="50">
        <f t="shared" si="5"/>
        <v>-36560044.586316444</v>
      </c>
      <c r="L28" s="50">
        <f t="shared" si="6"/>
        <v>-2193602.6751789865</v>
      </c>
      <c r="M28" s="50">
        <f t="shared" si="7"/>
        <v>-9598893.307918597</v>
      </c>
      <c r="N28" s="50">
        <f t="shared" si="16"/>
        <v>-66746273.04782597</v>
      </c>
      <c r="O28" s="50">
        <f t="shared" si="8"/>
        <v>-1001194.0957173895</v>
      </c>
      <c r="P28" s="50">
        <f t="shared" si="9"/>
        <v>2936629.1332755527</v>
      </c>
      <c r="Q28" s="50">
        <f t="shared" si="10"/>
        <v>0</v>
      </c>
      <c r="R28" s="50">
        <f t="shared" si="17"/>
        <v>33076799.765583951</v>
      </c>
      <c r="S28" s="6"/>
      <c r="T28" s="44"/>
      <c r="U28" s="50">
        <f>NPV($C$10,J28:J$54)*(1+$C$10)</f>
        <v>1158604427.5978136</v>
      </c>
      <c r="V28" s="50">
        <f>NPV($C$10,K28:K$54)*(1+$C$10)</f>
        <v>-289651106.8994534</v>
      </c>
      <c r="W28" s="50">
        <f>NPV($C$10,L28:L$54)*(1+$C$10)</f>
        <v>-17379066.4139672</v>
      </c>
      <c r="X28" s="50">
        <f>NPV($C$10,M28:M$54)*(1+$C$10)</f>
        <v>-88514695.504738942</v>
      </c>
      <c r="Y28" s="50">
        <f>NPV($C$10,N28:N$54)</f>
        <v>-1104647337.1354163</v>
      </c>
      <c r="Z28" s="50">
        <f>NPV($C$10,O28:O$54)</f>
        <v>-16569710.05703124</v>
      </c>
      <c r="AA28" s="62">
        <f t="shared" si="20"/>
        <v>60201944.309294902</v>
      </c>
      <c r="AB28" s="56">
        <f t="shared" si="11"/>
        <v>400838900.01528943</v>
      </c>
      <c r="AC28" s="44">
        <f t="shared" si="0"/>
        <v>0</v>
      </c>
      <c r="AD28" s="6"/>
      <c r="AE28" s="62">
        <f>N28*$AA$14</f>
        <v>3637591.1820856733</v>
      </c>
      <c r="AF28" s="50">
        <f t="shared" si="12"/>
        <v>459058806.61100423</v>
      </c>
      <c r="AG28" s="50">
        <f>NPV($C$11,R29:R$55)</f>
        <v>-91657681.223193035</v>
      </c>
      <c r="AH28" s="83">
        <f t="shared" si="18"/>
        <v>3637591.1820857897</v>
      </c>
      <c r="AI28" s="57"/>
    </row>
    <row r="29" spans="1:35" ht="15" x14ac:dyDescent="0.25">
      <c r="A29" s="21">
        <f t="shared" si="19"/>
        <v>10</v>
      </c>
      <c r="B29" s="47">
        <f t="shared" si="19"/>
        <v>2024</v>
      </c>
      <c r="C29" s="49">
        <f t="shared" si="1"/>
        <v>1.9172386624788013E-3</v>
      </c>
      <c r="D29" s="42">
        <f t="shared" si="2"/>
        <v>0.05</v>
      </c>
      <c r="E29" s="42">
        <f t="shared" si="3"/>
        <v>0.05</v>
      </c>
      <c r="F29" s="49">
        <f t="shared" si="13"/>
        <v>0.56080402204892432</v>
      </c>
      <c r="G29" s="37"/>
      <c r="H29" s="50">
        <f t="shared" si="14"/>
        <v>62258.313857904279</v>
      </c>
      <c r="I29" s="50">
        <f t="shared" si="4"/>
        <v>36554840276.498161</v>
      </c>
      <c r="J29" s="50">
        <f t="shared" si="15"/>
        <v>138680394.11848179</v>
      </c>
      <c r="K29" s="50">
        <f t="shared" si="5"/>
        <v>-34670098.529620446</v>
      </c>
      <c r="L29" s="50">
        <f t="shared" si="6"/>
        <v>-2080205.9117772267</v>
      </c>
      <c r="M29" s="50">
        <f t="shared" si="7"/>
        <v>-9330252.329821948</v>
      </c>
      <c r="N29" s="50">
        <f t="shared" si="16"/>
        <v>-70084353.078839555</v>
      </c>
      <c r="O29" s="50">
        <f t="shared" si="8"/>
        <v>-1051265.2961825933</v>
      </c>
      <c r="P29" s="50">
        <f t="shared" si="9"/>
        <v>2777995.120417865</v>
      </c>
      <c r="Q29" s="50">
        <f t="shared" si="10"/>
        <v>0</v>
      </c>
      <c r="R29" s="50">
        <f t="shared" si="17"/>
        <v>24242214.092657886</v>
      </c>
      <c r="S29" s="6"/>
      <c r="T29" s="44"/>
      <c r="U29" s="50">
        <f>NPV($C$10,J29:J$54)*(1+$C$10)</f>
        <v>1040204266.1069928</v>
      </c>
      <c r="V29" s="50">
        <f>NPV($C$10,K29:K$54)*(1+$C$10)</f>
        <v>-260051066.52674821</v>
      </c>
      <c r="W29" s="50">
        <f>NPV($C$10,L29:L$54)*(1+$C$10)</f>
        <v>-15603063.991604893</v>
      </c>
      <c r="X29" s="50">
        <f>NPV($C$10,M29:M$54)*(1+$C$10)</f>
        <v>-81085986.757232875</v>
      </c>
      <c r="Y29" s="50">
        <f>NPV($C$10,N29:N$54)</f>
        <v>-1068278865.8588141</v>
      </c>
      <c r="Z29" s="50">
        <f>NPV($C$10,O29:O$54)</f>
        <v>-16024182.987882212</v>
      </c>
      <c r="AA29" s="62">
        <f t="shared" si="20"/>
        <v>58219906.59571483</v>
      </c>
      <c r="AB29" s="56">
        <f t="shared" si="11"/>
        <v>435872684.26499999</v>
      </c>
      <c r="AC29" s="44">
        <f t="shared" si="0"/>
        <v>0</v>
      </c>
      <c r="AD29" s="6"/>
      <c r="AE29" s="62">
        <f>N29*$AA$14</f>
        <v>3819512.5078982878</v>
      </c>
      <c r="AF29" s="50">
        <f t="shared" si="12"/>
        <v>491874125.7841987</v>
      </c>
      <c r="AG29" s="50">
        <f>NPV($C$11,R30:R$55)</f>
        <v>-127357105.46875003</v>
      </c>
      <c r="AH29" s="83">
        <f t="shared" si="18"/>
        <v>3819512.5078978837</v>
      </c>
      <c r="AI29" s="57"/>
    </row>
    <row r="30" spans="1:35" ht="15" x14ac:dyDescent="0.25">
      <c r="A30" s="21">
        <f t="shared" si="19"/>
        <v>11</v>
      </c>
      <c r="B30" s="47">
        <f t="shared" si="19"/>
        <v>2025</v>
      </c>
      <c r="C30" s="49">
        <f t="shared" si="1"/>
        <v>2.0610315621647111E-3</v>
      </c>
      <c r="D30" s="42">
        <f t="shared" si="2"/>
        <v>0.05</v>
      </c>
      <c r="E30" s="42">
        <f t="shared" si="3"/>
        <v>0.05</v>
      </c>
      <c r="F30" s="49">
        <f t="shared" si="13"/>
        <v>0.50508248900151143</v>
      </c>
      <c r="G30" s="37"/>
      <c r="H30" s="50">
        <f t="shared" si="14"/>
        <v>56080.402204892431</v>
      </c>
      <c r="I30" s="50">
        <f t="shared" si="4"/>
        <v>33915316987.512516</v>
      </c>
      <c r="J30" s="50">
        <f t="shared" si="15"/>
        <v>124919095.91139789</v>
      </c>
      <c r="K30" s="50">
        <f t="shared" si="5"/>
        <v>-31229773.977849472</v>
      </c>
      <c r="L30" s="50">
        <f t="shared" si="6"/>
        <v>-1873786.4386709682</v>
      </c>
      <c r="M30" s="50">
        <f t="shared" si="7"/>
        <v>-8614518.7313757725</v>
      </c>
      <c r="N30" s="50">
        <f t="shared" si="16"/>
        <v>-69900538.752084285</v>
      </c>
      <c r="O30" s="50">
        <f t="shared" si="8"/>
        <v>-1048508.0812812642</v>
      </c>
      <c r="P30" s="50">
        <f t="shared" si="9"/>
        <v>2496030.5029050508</v>
      </c>
      <c r="Q30" s="50">
        <f t="shared" si="10"/>
        <v>0</v>
      </c>
      <c r="R30" s="50">
        <f t="shared" si="17"/>
        <v>14748000.433041191</v>
      </c>
      <c r="S30" s="6"/>
      <c r="T30" s="44"/>
      <c r="U30" s="50">
        <f>NPV($C$10,J30:J$54)*(1+$C$10)</f>
        <v>926315778.46819508</v>
      </c>
      <c r="V30" s="50">
        <f>NPV($C$10,K30:K$54)*(1+$C$10)</f>
        <v>-231578944.61704877</v>
      </c>
      <c r="W30" s="50">
        <f>NPV($C$10,L30:L$54)*(1+$C$10)</f>
        <v>-13894736.677022923</v>
      </c>
      <c r="X30" s="50">
        <f>NPV($C$10,M30:M$54)*(1+$C$10)</f>
        <v>-73729017.12416473</v>
      </c>
      <c r="Y30" s="50">
        <f>NPV($C$10,N30:N$54)</f>
        <v>-1027572181.5910922</v>
      </c>
      <c r="Z30" s="50">
        <f>NPV($C$10,O30:O$54)</f>
        <v>-15413582.723866384</v>
      </c>
      <c r="AA30" s="62">
        <f t="shared" si="20"/>
        <v>56001441.519198716</v>
      </c>
      <c r="AB30" s="56">
        <f t="shared" si="11"/>
        <v>462399180.97342014</v>
      </c>
      <c r="AC30" s="44">
        <f t="shared" si="0"/>
        <v>0</v>
      </c>
      <c r="AD30" s="6"/>
      <c r="AE30" s="62">
        <f>N30*$AA$14</f>
        <v>3809494.8493292937</v>
      </c>
      <c r="AF30" s="50">
        <f t="shared" si="12"/>
        <v>516131167.28506756</v>
      </c>
      <c r="AG30" s="50">
        <f>NPV($C$11,R31:R$55)</f>
        <v>-158024744.08538499</v>
      </c>
      <c r="AH30" s="83">
        <f t="shared" si="18"/>
        <v>3809494.8493290395</v>
      </c>
      <c r="AI30" s="57"/>
    </row>
    <row r="31" spans="1:35" ht="15" x14ac:dyDescent="0.25">
      <c r="A31" s="21">
        <f t="shared" si="19"/>
        <v>12</v>
      </c>
      <c r="B31" s="47">
        <f t="shared" si="19"/>
        <v>2026</v>
      </c>
      <c r="C31" s="49">
        <f t="shared" si="1"/>
        <v>2.2156089293270645E-3</v>
      </c>
      <c r="D31" s="42">
        <f t="shared" si="2"/>
        <v>0.05</v>
      </c>
      <c r="E31" s="42">
        <f t="shared" si="3"/>
        <v>0.05</v>
      </c>
      <c r="F31" s="49">
        <f t="shared" si="13"/>
        <v>0.45482698991527171</v>
      </c>
      <c r="G31" s="37"/>
      <c r="H31" s="50">
        <f t="shared" si="14"/>
        <v>50508.248900151142</v>
      </c>
      <c r="I31" s="50">
        <f t="shared" si="4"/>
        <v>31461852995.356472</v>
      </c>
      <c r="J31" s="50">
        <f t="shared" si="15"/>
        <v>112507124.42508668</v>
      </c>
      <c r="K31" s="50">
        <f t="shared" si="5"/>
        <v>-28126781.106271669</v>
      </c>
      <c r="L31" s="50">
        <f t="shared" si="6"/>
        <v>-1687606.8663763001</v>
      </c>
      <c r="M31" s="50">
        <f t="shared" si="7"/>
        <v>-7952543.9388952544</v>
      </c>
      <c r="N31" s="50">
        <f t="shared" si="16"/>
        <v>-69707162.429687247</v>
      </c>
      <c r="O31" s="50">
        <f t="shared" si="8"/>
        <v>-1045607.4364453086</v>
      </c>
      <c r="P31" s="50">
        <f t="shared" si="9"/>
        <v>2242205.7754063038</v>
      </c>
      <c r="Q31" s="50">
        <f t="shared" si="10"/>
        <v>0</v>
      </c>
      <c r="R31" s="50">
        <f t="shared" si="17"/>
        <v>6229628.4228172051</v>
      </c>
      <c r="S31" s="6"/>
      <c r="T31" s="44"/>
      <c r="U31" s="50">
        <f>NPV($C$10,J31:J$54)*(1+$C$10)</f>
        <v>823435091.3271091</v>
      </c>
      <c r="V31" s="50">
        <f>NPV($C$10,K31:K$54)*(1+$C$10)</f>
        <v>-205858772.83177727</v>
      </c>
      <c r="W31" s="50">
        <f>NPV($C$10,L31:L$54)*(1+$C$10)</f>
        <v>-12351526.369906636</v>
      </c>
      <c r="X31" s="50">
        <f>NPV($C$10,M31:M$54)*(1+$C$10)</f>
        <v>-66905147.098590665</v>
      </c>
      <c r="Y31" s="50">
        <f>NPV($C$10,N31:N$54)</f>
        <v>-985929877.8327632</v>
      </c>
      <c r="Z31" s="50">
        <f>NPV($C$10,O31:O$54)</f>
        <v>-14788948.167491445</v>
      </c>
      <c r="AA31" s="62">
        <f t="shared" si="20"/>
        <v>53731986.3116474</v>
      </c>
      <c r="AB31" s="56">
        <f t="shared" si="11"/>
        <v>481157936.3917222</v>
      </c>
      <c r="AC31" s="44">
        <f t="shared" si="0"/>
        <v>0</v>
      </c>
      <c r="AD31" s="6"/>
      <c r="AE31" s="62">
        <f>N31*$AA$14</f>
        <v>3798956.0735586737</v>
      </c>
      <c r="AF31" s="50">
        <f t="shared" si="12"/>
        <v>532568596.25338119</v>
      </c>
      <c r="AG31" s="50">
        <f>NPV($C$11,R32:R$55)</f>
        <v>-184007465.51887533</v>
      </c>
      <c r="AH31" s="83">
        <f t="shared" si="18"/>
        <v>3798956.0735590756</v>
      </c>
      <c r="AI31" s="57"/>
    </row>
    <row r="32" spans="1:35" ht="15" x14ac:dyDescent="0.25">
      <c r="A32" s="21">
        <f t="shared" si="19"/>
        <v>13</v>
      </c>
      <c r="B32" s="47">
        <f t="shared" si="19"/>
        <v>2027</v>
      </c>
      <c r="C32" s="49">
        <f t="shared" si="1"/>
        <v>2.3817795990265945E-3</v>
      </c>
      <c r="D32" s="42">
        <f t="shared" si="2"/>
        <v>0.05</v>
      </c>
      <c r="E32" s="42">
        <f t="shared" si="3"/>
        <v>0.05</v>
      </c>
      <c r="F32" s="49">
        <f t="shared" si="13"/>
        <v>0.40950368227331835</v>
      </c>
      <c r="G32" s="37"/>
      <c r="H32" s="50">
        <f t="shared" si="14"/>
        <v>45482.69899152717</v>
      </c>
      <c r="I32" s="50">
        <f t="shared" si="4"/>
        <v>29181353962.642906</v>
      </c>
      <c r="J32" s="50">
        <f t="shared" si="15"/>
        <v>101312712.00362678</v>
      </c>
      <c r="K32" s="50">
        <f t="shared" si="5"/>
        <v>-25328178.000906695</v>
      </c>
      <c r="L32" s="50">
        <f t="shared" si="6"/>
        <v>-1519690.6800544015</v>
      </c>
      <c r="M32" s="50">
        <f t="shared" si="7"/>
        <v>-7340300.8284315886</v>
      </c>
      <c r="N32" s="50">
        <f t="shared" si="16"/>
        <v>-69503553.540196747</v>
      </c>
      <c r="O32" s="50">
        <f t="shared" si="8"/>
        <v>-1042553.3031029511</v>
      </c>
      <c r="P32" s="50">
        <f t="shared" si="9"/>
        <v>2013736.274827023</v>
      </c>
      <c r="Q32" s="50">
        <f t="shared" si="10"/>
        <v>0</v>
      </c>
      <c r="R32" s="50">
        <f t="shared" si="17"/>
        <v>-1407828.0742385746</v>
      </c>
      <c r="S32" s="6"/>
      <c r="T32" s="44"/>
      <c r="U32" s="50">
        <f>NPV($C$10,J32:J$54)*(1+$C$10)</f>
        <v>730478485.9918282</v>
      </c>
      <c r="V32" s="50">
        <f>NPV($C$10,K32:K$54)*(1+$C$10)</f>
        <v>-182619621.49795705</v>
      </c>
      <c r="W32" s="50">
        <f>NPV($C$10,L32:L$54)*(1+$C$10)</f>
        <v>-10957177.28987742</v>
      </c>
      <c r="X32" s="50">
        <f>NPV($C$10,M32:M$54)*(1+$C$10)</f>
        <v>-60573799.746587053</v>
      </c>
      <c r="Y32" s="50">
        <f>NPV($C$10,N32:N$54)</f>
        <v>-943335787.0434767</v>
      </c>
      <c r="Z32" s="50">
        <f>NPV($C$10,O32:O$54)</f>
        <v>-14150036.805652149</v>
      </c>
      <c r="AA32" s="62">
        <f t="shared" si="20"/>
        <v>51410659.861659013</v>
      </c>
      <c r="AB32" s="56">
        <f t="shared" si="11"/>
        <v>492814140.21202052</v>
      </c>
      <c r="AC32" s="44">
        <f t="shared" si="0"/>
        <v>0</v>
      </c>
      <c r="AD32" s="6"/>
      <c r="AE32" s="62">
        <f>N32*$AA$14</f>
        <v>3787859.6352530592</v>
      </c>
      <c r="AF32" s="50">
        <f t="shared" si="12"/>
        <v>541850733.58462214</v>
      </c>
      <c r="AG32" s="50">
        <f>NPV($C$11,R33:R$55)</f>
        <v>-205600570.63449618</v>
      </c>
      <c r="AH32" s="83">
        <f t="shared" si="18"/>
        <v>3787859.6352528688</v>
      </c>
      <c r="AI32" s="57"/>
    </row>
    <row r="33" spans="1:35" ht="15" x14ac:dyDescent="0.25">
      <c r="A33" s="21">
        <f t="shared" si="19"/>
        <v>14</v>
      </c>
      <c r="B33" s="47">
        <f t="shared" si="19"/>
        <v>2028</v>
      </c>
      <c r="C33" s="49">
        <f t="shared" si="1"/>
        <v>2.560413068953589E-3</v>
      </c>
      <c r="D33" s="42">
        <f t="shared" si="2"/>
        <v>0.05</v>
      </c>
      <c r="E33" s="42">
        <f t="shared" si="3"/>
        <v>0.05</v>
      </c>
      <c r="F33" s="49">
        <f t="shared" si="13"/>
        <v>0.36863080328333059</v>
      </c>
      <c r="G33" s="37"/>
      <c r="H33" s="50">
        <f t="shared" si="14"/>
        <v>40950.368227331834</v>
      </c>
      <c r="I33" s="50">
        <f t="shared" si="4"/>
        <v>27061648344.041649</v>
      </c>
      <c r="J33" s="50">
        <f t="shared" si="15"/>
        <v>91216945.22638166</v>
      </c>
      <c r="K33" s="50">
        <f t="shared" si="5"/>
        <v>-22804236.306595415</v>
      </c>
      <c r="L33" s="50">
        <f t="shared" si="6"/>
        <v>-1368254.1783957249</v>
      </c>
      <c r="M33" s="50">
        <f t="shared" si="7"/>
        <v>-6774064.1870582383</v>
      </c>
      <c r="N33" s="50">
        <f t="shared" si="16"/>
        <v>-69288998.087510481</v>
      </c>
      <c r="O33" s="50">
        <f t="shared" si="8"/>
        <v>-1039334.9713126572</v>
      </c>
      <c r="P33" s="50">
        <f t="shared" si="9"/>
        <v>1808111.7166299683</v>
      </c>
      <c r="Q33" s="50">
        <f t="shared" si="10"/>
        <v>0</v>
      </c>
      <c r="R33" s="50">
        <f t="shared" si="17"/>
        <v>-8249830.7878608918</v>
      </c>
      <c r="S33" s="6"/>
      <c r="T33" s="44"/>
      <c r="U33" s="50">
        <f>NPV($C$10,J33:J$54)*(1+$C$10)</f>
        <v>646467832.7728771</v>
      </c>
      <c r="V33" s="50">
        <f>NPV($C$10,K33:K$54)*(1+$C$10)</f>
        <v>-161616958.19321927</v>
      </c>
      <c r="W33" s="50">
        <f>NPV($C$10,L33:L$54)*(1+$C$10)</f>
        <v>-9697017.4915931523</v>
      </c>
      <c r="X33" s="50">
        <f>NPV($C$10,M33:M$54)*(1+$C$10)</f>
        <v>-54697420.138404734</v>
      </c>
      <c r="Y33" s="50">
        <f>NPV($C$10,N33:N$54)</f>
        <v>-899773967.64697587</v>
      </c>
      <c r="Z33" s="50">
        <f>NPV($C$10,O33:O$54)</f>
        <v>-13496609.514704635</v>
      </c>
      <c r="AA33" s="62">
        <f t="shared" si="20"/>
        <v>49036593.372601599</v>
      </c>
      <c r="AB33" s="56">
        <f t="shared" si="11"/>
        <v>497966022.3036046</v>
      </c>
      <c r="AC33" s="44">
        <f t="shared" si="0"/>
        <v>0</v>
      </c>
      <c r="AD33" s="6"/>
      <c r="AE33" s="62">
        <f>N33*$AA$14</f>
        <v>3776166.6224881257</v>
      </c>
      <c r="AF33" s="50">
        <f t="shared" si="12"/>
        <v>544574955.37146461</v>
      </c>
      <c r="AG33" s="50">
        <f>NPV($C$11,R34:R$55)</f>
        <v>-223050811.17594728</v>
      </c>
      <c r="AH33" s="83">
        <f t="shared" si="18"/>
        <v>3776166.6224879213</v>
      </c>
      <c r="AI33" s="57"/>
    </row>
    <row r="34" spans="1:35" ht="15" x14ac:dyDescent="0.25">
      <c r="A34" s="21">
        <f t="shared" si="19"/>
        <v>15</v>
      </c>
      <c r="B34" s="47">
        <f t="shared" si="19"/>
        <v>2029</v>
      </c>
      <c r="C34" s="49">
        <f t="shared" si="1"/>
        <v>2.7524440491251082E-3</v>
      </c>
      <c r="D34" s="42">
        <f t="shared" si="2"/>
        <v>0.05</v>
      </c>
      <c r="E34" s="42">
        <f t="shared" si="3"/>
        <v>0.05</v>
      </c>
      <c r="F34" s="49">
        <f t="shared" si="13"/>
        <v>0.33177359127931444</v>
      </c>
      <c r="G34" s="37"/>
      <c r="H34" s="50">
        <f t="shared" si="14"/>
        <v>36863.080328333061</v>
      </c>
      <c r="I34" s="50">
        <f t="shared" si="4"/>
        <v>25091422439.01532</v>
      </c>
      <c r="J34" s="50">
        <f t="shared" si="15"/>
        <v>82112511.431361884</v>
      </c>
      <c r="K34" s="50">
        <f t="shared" si="5"/>
        <v>-20528127.857840471</v>
      </c>
      <c r="L34" s="50">
        <f t="shared" si="6"/>
        <v>-1231687.6714704281</v>
      </c>
      <c r="M34" s="50">
        <f t="shared" si="7"/>
        <v>-6250388.0957265161</v>
      </c>
      <c r="N34" s="50">
        <f t="shared" si="16"/>
        <v>-69062736.376351923</v>
      </c>
      <c r="O34" s="50">
        <f t="shared" si="8"/>
        <v>-1035941.0456452788</v>
      </c>
      <c r="P34" s="50">
        <f t="shared" si="9"/>
        <v>1623069.2341897339</v>
      </c>
      <c r="Q34" s="50">
        <f t="shared" si="10"/>
        <v>0</v>
      </c>
      <c r="R34" s="50">
        <f t="shared" si="17"/>
        <v>-14373300.381483</v>
      </c>
      <c r="S34" s="6"/>
      <c r="T34" s="44"/>
      <c r="U34" s="50">
        <f>NPV($C$10,J34:J$54)*(1+$C$10)</f>
        <v>570520286.95402384</v>
      </c>
      <c r="V34" s="50">
        <f>NPV($C$10,K34:K$54)*(1+$C$10)</f>
        <v>-142630071.73850596</v>
      </c>
      <c r="W34" s="50">
        <f>NPV($C$10,L34:L$54)*(1+$C$10)</f>
        <v>-8557804.3043103572</v>
      </c>
      <c r="X34" s="50">
        <f>NPV($C$10,M34:M$54)*(1+$C$10)</f>
        <v>-49241248.240008518</v>
      </c>
      <c r="Y34" s="50">
        <f>NPV($C$10,N34:N$54)</f>
        <v>-855228753.66975737</v>
      </c>
      <c r="Z34" s="50">
        <f>NPV($C$10,O34:O$54)</f>
        <v>-12828431.305046357</v>
      </c>
      <c r="AA34" s="62">
        <f t="shared" si="20"/>
        <v>46608933.067860022</v>
      </c>
      <c r="AB34" s="56">
        <f t="shared" si="11"/>
        <v>497151531.76595467</v>
      </c>
      <c r="AC34" s="44">
        <f t="shared" si="0"/>
        <v>0</v>
      </c>
      <c r="AD34" s="6"/>
      <c r="AE34" s="62">
        <f>N34*$AA$14</f>
        <v>3763835.632789806</v>
      </c>
      <c r="AF34" s="50">
        <f t="shared" si="12"/>
        <v>541278374.86039102</v>
      </c>
      <c r="AG34" s="50">
        <f>NPV($C$11,R35:R$55)</f>
        <v>-236558862.19145775</v>
      </c>
      <c r="AH34" s="83">
        <f t="shared" si="18"/>
        <v>3763835.6327900589</v>
      </c>
      <c r="AI34" s="57"/>
    </row>
    <row r="35" spans="1:35" ht="15" x14ac:dyDescent="0.25">
      <c r="A35" s="21">
        <f t="shared" si="19"/>
        <v>16</v>
      </c>
      <c r="B35" s="47">
        <f t="shared" si="19"/>
        <v>2030</v>
      </c>
      <c r="C35" s="49">
        <f t="shared" si="1"/>
        <v>2.9588773528094912E-3</v>
      </c>
      <c r="D35" s="42">
        <f t="shared" si="2"/>
        <v>0.05</v>
      </c>
      <c r="E35" s="42">
        <f t="shared" si="3"/>
        <v>0.05</v>
      </c>
      <c r="F35" s="49">
        <f t="shared" si="13"/>
        <v>0.29853970230722054</v>
      </c>
      <c r="G35" s="37"/>
      <c r="H35" s="50">
        <f t="shared" si="14"/>
        <v>33177.359127931442</v>
      </c>
      <c r="I35" s="50">
        <f t="shared" si="4"/>
        <v>23260160020.580612</v>
      </c>
      <c r="J35" s="50">
        <f t="shared" si="15"/>
        <v>73902567.457467288</v>
      </c>
      <c r="K35" s="50">
        <f t="shared" si="5"/>
        <v>-18475641.864366822</v>
      </c>
      <c r="L35" s="50">
        <f t="shared" si="6"/>
        <v>-1108538.5118620093</v>
      </c>
      <c r="M35" s="50">
        <f t="shared" si="7"/>
        <v>-5766085.0073078955</v>
      </c>
      <c r="N35" s="50">
        <f t="shared" si="16"/>
        <v>-68823960.707620725</v>
      </c>
      <c r="O35" s="50">
        <f t="shared" si="8"/>
        <v>-1032359.4106143109</v>
      </c>
      <c r="P35" s="50">
        <f t="shared" si="9"/>
        <v>1456569.0622179168</v>
      </c>
      <c r="Q35" s="50">
        <f t="shared" si="10"/>
        <v>0</v>
      </c>
      <c r="R35" s="50">
        <f t="shared" si="17"/>
        <v>-19847448.982086558</v>
      </c>
      <c r="S35" s="6"/>
      <c r="T35" s="44"/>
      <c r="U35" s="50">
        <f>NPV($C$10,J35:J$54)*(1+$C$10)</f>
        <v>501838989.34953529</v>
      </c>
      <c r="V35" s="50">
        <f>NPV($C$10,K35:K$54)*(1+$C$10)</f>
        <v>-125459747.33738382</v>
      </c>
      <c r="W35" s="50">
        <f>NPV($C$10,L35:L$54)*(1+$C$10)</f>
        <v>-7527584.8402430275</v>
      </c>
      <c r="X35" s="50">
        <f>NPV($C$10,M35:M$54)*(1+$C$10)</f>
        <v>-44173108.798249759</v>
      </c>
      <c r="Y35" s="50">
        <f>NPV($C$10,N35:N$54)</f>
        <v>-809684808.01932359</v>
      </c>
      <c r="Z35" s="50">
        <f>NPV($C$10,O35:O$54)</f>
        <v>-12145272.120289851</v>
      </c>
      <c r="AA35" s="62">
        <f t="shared" si="20"/>
        <v>44126843.094436355</v>
      </c>
      <c r="AB35" s="56">
        <f t="shared" si="11"/>
        <v>490854369.15224707</v>
      </c>
      <c r="AC35" s="44">
        <f t="shared" si="0"/>
        <v>0</v>
      </c>
      <c r="AD35" s="6"/>
      <c r="AE35" s="62">
        <f>N35*$AA$14</f>
        <v>3750822.6475336724</v>
      </c>
      <c r="AF35" s="50">
        <f t="shared" si="12"/>
        <v>532443877.78424674</v>
      </c>
      <c r="AG35" s="50">
        <f>NPV($C$11,R36:R$55)</f>
        <v>-246281270.9833034</v>
      </c>
      <c r="AH35" s="83">
        <f t="shared" si="18"/>
        <v>3750822.6475336477</v>
      </c>
      <c r="AI35" s="57"/>
    </row>
    <row r="36" spans="1:35" ht="15" x14ac:dyDescent="0.25">
      <c r="A36" s="21">
        <f t="shared" si="19"/>
        <v>17</v>
      </c>
      <c r="B36" s="47">
        <f t="shared" si="19"/>
        <v>2031</v>
      </c>
      <c r="C36" s="49">
        <f t="shared" si="1"/>
        <v>3.1807931542702029E-3</v>
      </c>
      <c r="D36" s="42">
        <f t="shared" si="2"/>
        <v>0.05</v>
      </c>
      <c r="E36" s="42">
        <f t="shared" si="3"/>
        <v>0.05</v>
      </c>
      <c r="F36" s="49">
        <f t="shared" si="13"/>
        <v>0.26857507361242411</v>
      </c>
      <c r="G36" s="37"/>
      <c r="H36" s="50">
        <f t="shared" si="14"/>
        <v>29853.970230722054</v>
      </c>
      <c r="I36" s="50">
        <f t="shared" si="4"/>
        <v>21558086217.856434</v>
      </c>
      <c r="J36" s="50">
        <f t="shared" si="15"/>
        <v>66499718.68893338</v>
      </c>
      <c r="K36" s="50">
        <f t="shared" si="5"/>
        <v>-16624929.672233345</v>
      </c>
      <c r="L36" s="50">
        <f t="shared" si="6"/>
        <v>-997495.78033400071</v>
      </c>
      <c r="M36" s="50">
        <f t="shared" si="7"/>
        <v>-5318206.3927848022</v>
      </c>
      <c r="N36" s="50">
        <f t="shared" si="16"/>
        <v>-68571813.06092456</v>
      </c>
      <c r="O36" s="50">
        <f t="shared" si="8"/>
        <v>-1028577.1959138684</v>
      </c>
      <c r="P36" s="50">
        <f t="shared" si="9"/>
        <v>1306772.6053074368</v>
      </c>
      <c r="Q36" s="50">
        <f t="shared" si="10"/>
        <v>0</v>
      </c>
      <c r="R36" s="50">
        <f t="shared" si="17"/>
        <v>-24734530.807949763</v>
      </c>
      <c r="S36" s="6"/>
      <c r="T36" s="44"/>
      <c r="U36" s="50">
        <f>NPV($C$10,J36:J$54)*(1+$C$10)</f>
        <v>439704673.49409986</v>
      </c>
      <c r="V36" s="50">
        <f>NPV($C$10,K36:K$54)*(1+$C$10)</f>
        <v>-109926168.37352496</v>
      </c>
      <c r="W36" s="50">
        <f>NPV($C$10,L36:L$54)*(1+$C$10)</f>
        <v>-6595570.1024114955</v>
      </c>
      <c r="X36" s="50">
        <f>NPV($C$10,M36:M$54)*(1+$C$10)</f>
        <v>-39463216.945192769</v>
      </c>
      <c r="Y36" s="50">
        <f>NPV($C$10,N36:N$54)</f>
        <v>-763127179.53223419</v>
      </c>
      <c r="Z36" s="50">
        <f>NPV($C$10,O36:O$54)</f>
        <v>-11446907.692983514</v>
      </c>
      <c r="AA36" s="62">
        <f t="shared" si="20"/>
        <v>41589508.631999679</v>
      </c>
      <c r="AB36" s="56">
        <f t="shared" si="11"/>
        <v>479509435.77887553</v>
      </c>
      <c r="AC36" s="44">
        <f t="shared" si="0"/>
        <v>0</v>
      </c>
      <c r="AD36" s="6"/>
      <c r="AE36" s="62">
        <f>N36*$AA$14</f>
        <v>3737080.9056457258</v>
      </c>
      <c r="AF36" s="50">
        <f t="shared" si="12"/>
        <v>518505574.9926095</v>
      </c>
      <c r="AG36" s="50">
        <f>NPV($C$11,R37:R$55)</f>
        <v>-252331899.04826647</v>
      </c>
      <c r="AH36" s="83">
        <f t="shared" si="18"/>
        <v>3737080.9056453109</v>
      </c>
      <c r="AI36" s="57"/>
    </row>
    <row r="37" spans="1:35" ht="15" x14ac:dyDescent="0.25">
      <c r="A37" s="21">
        <f t="shared" si="19"/>
        <v>18</v>
      </c>
      <c r="B37" s="47">
        <f t="shared" si="19"/>
        <v>2032</v>
      </c>
      <c r="C37" s="49">
        <f t="shared" si="1"/>
        <v>3.419352640840468E-3</v>
      </c>
      <c r="D37" s="42">
        <f t="shared" si="2"/>
        <v>0.05</v>
      </c>
      <c r="E37" s="42">
        <f t="shared" si="3"/>
        <v>0.05</v>
      </c>
      <c r="F37" s="49">
        <f t="shared" si="13"/>
        <v>0.24156019045449617</v>
      </c>
      <c r="G37" s="37"/>
      <c r="H37" s="50">
        <f t="shared" si="14"/>
        <v>26857.507361242409</v>
      </c>
      <c r="I37" s="50">
        <f t="shared" si="4"/>
        <v>19976115352.837788</v>
      </c>
      <c r="J37" s="50">
        <f t="shared" si="15"/>
        <v>59825097.647167467</v>
      </c>
      <c r="K37" s="50">
        <f t="shared" si="5"/>
        <v>-14956274.411791867</v>
      </c>
      <c r="L37" s="50">
        <f t="shared" si="6"/>
        <v>-897376.46470751194</v>
      </c>
      <c r="M37" s="50">
        <f t="shared" si="7"/>
        <v>-4904024.8380677057</v>
      </c>
      <c r="N37" s="50">
        <f t="shared" si="16"/>
        <v>-68305382.785459712</v>
      </c>
      <c r="O37" s="50">
        <f t="shared" si="8"/>
        <v>-1024580.7417818956</v>
      </c>
      <c r="P37" s="50">
        <f t="shared" si="9"/>
        <v>1172022.6579780115</v>
      </c>
      <c r="Q37" s="50">
        <f t="shared" si="10"/>
        <v>0</v>
      </c>
      <c r="R37" s="50">
        <f t="shared" si="17"/>
        <v>-29090518.936663207</v>
      </c>
      <c r="S37" s="6"/>
      <c r="T37" s="44"/>
      <c r="U37" s="50">
        <f>NPV($C$10,J37:J$54)*(1+$C$10)</f>
        <v>383468091.06230849</v>
      </c>
      <c r="V37" s="50">
        <f>NPV($C$10,K37:K$54)*(1+$C$10)</f>
        <v>-95867022.765577123</v>
      </c>
      <c r="W37" s="50">
        <f>NPV($C$10,L37:L$54)*(1+$C$10)</f>
        <v>-5752021.3659346271</v>
      </c>
      <c r="X37" s="50">
        <f>NPV($C$10,M37:M$54)*(1+$C$10)</f>
        <v>-35083998.342599191</v>
      </c>
      <c r="Y37" s="50">
        <f>NPV($C$10,N37:N$54)</f>
        <v>-715541363.90844631</v>
      </c>
      <c r="Z37" s="50">
        <f>NPV($C$10,O37:O$54)</f>
        <v>-10733120.458626693</v>
      </c>
      <c r="AA37" s="62">
        <f t="shared" si="20"/>
        <v>38996139.213733956</v>
      </c>
      <c r="AB37" s="56">
        <f t="shared" si="11"/>
        <v>463507757.77129996</v>
      </c>
      <c r="AC37" s="44">
        <f t="shared" si="0"/>
        <v>0</v>
      </c>
      <c r="AD37" s="6"/>
      <c r="AE37" s="62">
        <f>N37*$AA$14</f>
        <v>3722560.7777581788</v>
      </c>
      <c r="AF37" s="50">
        <f t="shared" si="12"/>
        <v>499853730.03565341</v>
      </c>
      <c r="AG37" s="50">
        <f>NPV($C$11,R38:R$55)</f>
        <v>-254782867.49263668</v>
      </c>
      <c r="AH37" s="83">
        <f t="shared" si="18"/>
        <v>3722560.7777581401</v>
      </c>
      <c r="AI37" s="57"/>
    </row>
    <row r="38" spans="1:35" ht="15" x14ac:dyDescent="0.25">
      <c r="A38" s="21">
        <f t="shared" ref="A38:B50" si="21">+A37+1</f>
        <v>19</v>
      </c>
      <c r="B38" s="47">
        <f t="shared" si="21"/>
        <v>2033</v>
      </c>
      <c r="C38" s="49">
        <f t="shared" si="1"/>
        <v>3.6758040889035026E-3</v>
      </c>
      <c r="D38" s="42">
        <f t="shared" si="2"/>
        <v>0.05</v>
      </c>
      <c r="E38" s="42">
        <f t="shared" si="3"/>
        <v>0.05</v>
      </c>
      <c r="F38" s="49">
        <f t="shared" si="13"/>
        <v>0.21720671692313323</v>
      </c>
      <c r="G38" s="37"/>
      <c r="H38" s="50">
        <f t="shared" si="14"/>
        <v>24156.019045449619</v>
      </c>
      <c r="I38" s="50">
        <f t="shared" si="4"/>
        <v>18505802452.911388</v>
      </c>
      <c r="J38" s="50">
        <f t="shared" si="15"/>
        <v>53807532.423739024</v>
      </c>
      <c r="K38" s="50">
        <f t="shared" si="5"/>
        <v>-13451883.105934756</v>
      </c>
      <c r="L38" s="50">
        <f t="shared" si="6"/>
        <v>-807112.98635608528</v>
      </c>
      <c r="M38" s="50">
        <f t="shared" si="7"/>
        <v>-4521017.4827183811</v>
      </c>
      <c r="N38" s="50">
        <f t="shared" si="16"/>
        <v>-68023704.324852154</v>
      </c>
      <c r="O38" s="50">
        <f t="shared" si="8"/>
        <v>-1020355.5648727822</v>
      </c>
      <c r="P38" s="50">
        <f t="shared" si="9"/>
        <v>1050825.565461894</v>
      </c>
      <c r="Q38" s="50">
        <f t="shared" si="10"/>
        <v>0</v>
      </c>
      <c r="R38" s="50">
        <f t="shared" si="17"/>
        <v>-32965715.475533236</v>
      </c>
      <c r="S38" s="6"/>
      <c r="T38" s="44"/>
      <c r="U38" s="50">
        <f>NPV($C$10,J38:J$54)*(1+$C$10)</f>
        <v>332543175.73405731</v>
      </c>
      <c r="V38" s="50">
        <f>NPV($C$10,K38:K$54)*(1+$C$10)</f>
        <v>-83135793.933514327</v>
      </c>
      <c r="W38" s="50">
        <f>NPV($C$10,L38:L$54)*(1+$C$10)</f>
        <v>-4988147.636010861</v>
      </c>
      <c r="X38" s="50">
        <f>NPV($C$10,M38:M$54)*(1+$C$10)</f>
        <v>-31009922.775906105</v>
      </c>
      <c r="Y38" s="50">
        <f>NPV($C$10,N38:N$54)</f>
        <v>-666913368.63046896</v>
      </c>
      <c r="Z38" s="50">
        <f>NPV($C$10,O38:O$54)</f>
        <v>-10003700.529457033</v>
      </c>
      <c r="AA38" s="62">
        <f t="shared" si="20"/>
        <v>36345972.264353469</v>
      </c>
      <c r="AB38" s="56">
        <f t="shared" si="11"/>
        <v>443200936.83735543</v>
      </c>
      <c r="AC38" s="44">
        <f t="shared" si="0"/>
        <v>0</v>
      </c>
      <c r="AD38" s="6"/>
      <c r="AE38" s="62">
        <f>N38*$AA$14</f>
        <v>3707209.6422160435</v>
      </c>
      <c r="AF38" s="50">
        <f t="shared" si="12"/>
        <v>476839213.69676256</v>
      </c>
      <c r="AG38" s="50">
        <f>NPV($C$11,R39:R$55)</f>
        <v>-253665010.45368302</v>
      </c>
      <c r="AH38" s="83">
        <f t="shared" si="18"/>
        <v>3707209.6422162578</v>
      </c>
      <c r="AI38" s="57"/>
    </row>
    <row r="39" spans="1:35" ht="15" x14ac:dyDescent="0.25">
      <c r="A39" s="21">
        <f t="shared" si="21"/>
        <v>20</v>
      </c>
      <c r="B39" s="47">
        <f t="shared" si="21"/>
        <v>2034</v>
      </c>
      <c r="C39" s="49">
        <f t="shared" si="1"/>
        <v>3.9514893955712657E-3</v>
      </c>
      <c r="D39" s="42">
        <f t="shared" si="2"/>
        <v>0.05</v>
      </c>
      <c r="E39" s="42">
        <f t="shared" si="3"/>
        <v>0.05</v>
      </c>
      <c r="F39" s="49">
        <f t="shared" si="13"/>
        <v>0.19525445526331955</v>
      </c>
      <c r="G39" s="37"/>
      <c r="H39" s="50">
        <f t="shared" si="14"/>
        <v>21720.671692313324</v>
      </c>
      <c r="I39" s="50">
        <f t="shared" si="4"/>
        <v>17139298180.217325</v>
      </c>
      <c r="J39" s="50">
        <f t="shared" si="15"/>
        <v>48382796.194627926</v>
      </c>
      <c r="K39" s="50">
        <f t="shared" si="5"/>
        <v>-12095699.048656981</v>
      </c>
      <c r="L39" s="50">
        <f t="shared" si="6"/>
        <v>-725741.94291941891</v>
      </c>
      <c r="M39" s="50">
        <f t="shared" si="7"/>
        <v>-4166850.7000009553</v>
      </c>
      <c r="N39" s="50">
        <f t="shared" si="16"/>
        <v>-67725755.006662652</v>
      </c>
      <c r="O39" s="50">
        <f t="shared" si="8"/>
        <v>-1015886.3250999397</v>
      </c>
      <c r="P39" s="50">
        <f t="shared" si="9"/>
        <v>941835.13509151689</v>
      </c>
      <c r="Q39" s="50">
        <f t="shared" si="10"/>
        <v>0</v>
      </c>
      <c r="R39" s="50">
        <f t="shared" si="17"/>
        <v>-36405301.69362051</v>
      </c>
      <c r="S39" s="6"/>
      <c r="T39" s="44"/>
      <c r="U39" s="50">
        <f>NPV($C$10,J39:J$54)*(1+$C$10)</f>
        <v>286400873.50135213</v>
      </c>
      <c r="V39" s="50">
        <f>NPV($C$10,K39:K$54)*(1+$C$10)</f>
        <v>-71600218.375338033</v>
      </c>
      <c r="W39" s="50">
        <f>NPV($C$10,L39:L$54)*(1+$C$10)</f>
        <v>-4296013.1025202824</v>
      </c>
      <c r="X39" s="50">
        <f>NPV($C$10,M39:M$54)*(1+$C$10)</f>
        <v>-27217350.188750394</v>
      </c>
      <c r="Y39" s="50">
        <f>NPV($C$10,N39:N$54)</f>
        <v>-617229781.94295454</v>
      </c>
      <c r="Z39" s="50">
        <f>NPV($C$10,O39:O$54)</f>
        <v>-9258446.7291443218</v>
      </c>
      <c r="AA39" s="62">
        <f t="shared" si="20"/>
        <v>33638276.859407134</v>
      </c>
      <c r="AB39" s="56">
        <f t="shared" si="11"/>
        <v>418905174.64550465</v>
      </c>
      <c r="AC39" s="44">
        <f t="shared" si="0"/>
        <v>0</v>
      </c>
      <c r="AD39" s="6"/>
      <c r="AE39" s="62">
        <f>N39*$AA$14</f>
        <v>3690971.7646078365</v>
      </c>
      <c r="AF39" s="50">
        <f t="shared" si="12"/>
        <v>449777532.35393763</v>
      </c>
      <c r="AG39" s="50">
        <f>NPV($C$11,R40:R$55)</f>
        <v>-248967835.06677279</v>
      </c>
      <c r="AH39" s="83">
        <f t="shared" si="18"/>
        <v>3690971.7646077722</v>
      </c>
      <c r="AI39" s="57"/>
    </row>
    <row r="40" spans="1:35" ht="15" x14ac:dyDescent="0.25">
      <c r="A40" s="21">
        <f t="shared" si="21"/>
        <v>21</v>
      </c>
      <c r="B40" s="47">
        <f t="shared" si="21"/>
        <v>2035</v>
      </c>
      <c r="C40" s="49">
        <f t="shared" si="1"/>
        <v>4.24785110023911E-3</v>
      </c>
      <c r="D40" s="42">
        <f t="shared" si="2"/>
        <v>0.05</v>
      </c>
      <c r="E40" s="42">
        <f t="shared" si="3"/>
        <v>0.06</v>
      </c>
      <c r="F40" s="49">
        <f t="shared" si="13"/>
        <v>0.17362156376575746</v>
      </c>
      <c r="G40" s="37"/>
      <c r="H40" s="50">
        <f t="shared" si="14"/>
        <v>19525.445526331954</v>
      </c>
      <c r="I40" s="50">
        <f t="shared" si="4"/>
        <v>15869306937.165201</v>
      </c>
      <c r="J40" s="50">
        <f t="shared" si="15"/>
        <v>43492929.909904428</v>
      </c>
      <c r="K40" s="50">
        <f t="shared" si="5"/>
        <v>-10873232.477476107</v>
      </c>
      <c r="L40" s="50">
        <f t="shared" si="6"/>
        <v>-652393.94864856638</v>
      </c>
      <c r="M40" s="50">
        <f t="shared" si="7"/>
        <v>-3839365.9252130515</v>
      </c>
      <c r="N40" s="50">
        <f t="shared" si="16"/>
        <v>-67410452.933069333</v>
      </c>
      <c r="O40" s="50">
        <f t="shared" si="8"/>
        <v>-1011156.79399604</v>
      </c>
      <c r="P40" s="50">
        <f t="shared" si="9"/>
        <v>843838.12675700116</v>
      </c>
      <c r="Q40" s="50">
        <f t="shared" si="10"/>
        <v>0</v>
      </c>
      <c r="R40" s="50">
        <f t="shared" si="17"/>
        <v>-39449834.041741669</v>
      </c>
      <c r="S40" s="6"/>
      <c r="T40" s="44"/>
      <c r="U40" s="50">
        <f>NPV($C$10,J40:J$54)*(1+$C$10)</f>
        <v>244563574.43265921</v>
      </c>
      <c r="V40" s="50">
        <f>NPV($C$10,K40:K$54)*(1+$C$10)</f>
        <v>-61140893.608164802</v>
      </c>
      <c r="W40" s="50">
        <f>NPV($C$10,L40:L$54)*(1+$C$10)</f>
        <v>-3668453.6164898872</v>
      </c>
      <c r="X40" s="50">
        <f>NPV($C$10,M40:M$54)*(1+$C$10)</f>
        <v>-23684388.224690042</v>
      </c>
      <c r="Y40" s="50">
        <f>NPV($C$10,N40:N$54)</f>
        <v>-566477845.93972325</v>
      </c>
      <c r="Z40" s="50">
        <f>NPV($C$10,O40:O$54)</f>
        <v>-8497167.6890958492</v>
      </c>
      <c r="AA40" s="62">
        <f t="shared" si="20"/>
        <v>30872357.708432999</v>
      </c>
      <c r="AB40" s="56">
        <f t="shared" si="11"/>
        <v>390904913.06261802</v>
      </c>
      <c r="AC40" s="44">
        <f t="shared" si="0"/>
        <v>0</v>
      </c>
      <c r="AD40" s="6"/>
      <c r="AE40" s="62">
        <f>N40*$AA$14</f>
        <v>3673788.1828103247</v>
      </c>
      <c r="AF40" s="50">
        <f t="shared" si="12"/>
        <v>418952472.42522264</v>
      </c>
      <c r="AG40" s="50">
        <f>NPV($C$11,R41:R$55)</f>
        <v>-240638980.40837777</v>
      </c>
      <c r="AH40" s="83">
        <f t="shared" si="18"/>
        <v>3673788.1828101873</v>
      </c>
      <c r="AI40" s="57"/>
    </row>
    <row r="41" spans="1:35" ht="15" x14ac:dyDescent="0.25">
      <c r="A41" s="21">
        <f t="shared" si="21"/>
        <v>22</v>
      </c>
      <c r="B41" s="47">
        <f t="shared" si="21"/>
        <v>2036</v>
      </c>
      <c r="C41" s="49">
        <f t="shared" si="1"/>
        <v>4.5664399327570437E-3</v>
      </c>
      <c r="D41" s="42">
        <f t="shared" si="2"/>
        <v>0.05</v>
      </c>
      <c r="E41" s="42">
        <f t="shared" si="3"/>
        <v>7.0000000000000007E-2</v>
      </c>
      <c r="F41" s="49">
        <f t="shared" si="13"/>
        <v>0.15269418412456826</v>
      </c>
      <c r="G41" s="37"/>
      <c r="H41" s="50">
        <f t="shared" si="14"/>
        <v>17362.156376575746</v>
      </c>
      <c r="I41" s="50">
        <f t="shared" si="4"/>
        <v>14534426367.231867</v>
      </c>
      <c r="J41" s="50">
        <f t="shared" si="15"/>
        <v>38674203.328822479</v>
      </c>
      <c r="K41" s="50">
        <f t="shared" si="5"/>
        <v>-9668550.8322056197</v>
      </c>
      <c r="L41" s="50">
        <f t="shared" si="6"/>
        <v>-580113.04993233713</v>
      </c>
      <c r="M41" s="50">
        <f t="shared" si="7"/>
        <v>-3499339.5299386173</v>
      </c>
      <c r="N41" s="50">
        <f t="shared" si="16"/>
        <v>-66370584.963044487</v>
      </c>
      <c r="O41" s="50">
        <f t="shared" si="8"/>
        <v>-995558.77444566728</v>
      </c>
      <c r="P41" s="50">
        <f t="shared" si="9"/>
        <v>747785.99750237714</v>
      </c>
      <c r="Q41" s="50">
        <f t="shared" si="10"/>
        <v>0</v>
      </c>
      <c r="R41" s="50">
        <f t="shared" si="17"/>
        <v>-41692157.823241867</v>
      </c>
      <c r="S41" s="6"/>
      <c r="T41" s="44"/>
      <c r="U41" s="50">
        <f>NPV($C$10,J41:J$54)*(1+$C$10)</f>
        <v>206600087.24713051</v>
      </c>
      <c r="V41" s="50">
        <f>NPV($C$10,K41:K$54)*(1+$C$10)</f>
        <v>-51650021.811782628</v>
      </c>
      <c r="W41" s="50">
        <f>NPV($C$10,L41:L$54)*(1+$C$10)</f>
        <v>-3099001.3087069578</v>
      </c>
      <c r="X41" s="50">
        <f>NPV($C$10,M41:M$54)*(1+$C$10)</f>
        <v>-20390760.412712608</v>
      </c>
      <c r="Y41" s="50">
        <f>NPV($C$10,N41:N$54)</f>
        <v>-514645533.7699964</v>
      </c>
      <c r="Z41" s="50">
        <f>NPV($C$10,O41:O$54)</f>
        <v>-7719683.0065499451</v>
      </c>
      <c r="AA41" s="62">
        <f t="shared" si="20"/>
        <v>28047559.362604588</v>
      </c>
      <c r="AB41" s="56">
        <f t="shared" si="11"/>
        <v>359900324.84880626</v>
      </c>
      <c r="AC41" s="44">
        <f t="shared" si="0"/>
        <v>0</v>
      </c>
      <c r="AD41" s="6"/>
      <c r="AE41" s="62">
        <f>N41*$AA$14</f>
        <v>3617116.6356876059</v>
      </c>
      <c r="AF41" s="50">
        <f t="shared" si="12"/>
        <v>385102075.45819485</v>
      </c>
      <c r="AG41" s="50">
        <f>NPV($C$11,R42:R$55)</f>
        <v>-229026695.13618314</v>
      </c>
      <c r="AH41" s="83">
        <f t="shared" si="18"/>
        <v>3617116.6356876716</v>
      </c>
      <c r="AI41" s="57"/>
    </row>
    <row r="42" spans="1:35" ht="15" x14ac:dyDescent="0.25">
      <c r="A42" s="21">
        <f t="shared" si="21"/>
        <v>23</v>
      </c>
      <c r="B42" s="47">
        <f t="shared" si="21"/>
        <v>2037</v>
      </c>
      <c r="C42" s="49">
        <f t="shared" si="1"/>
        <v>4.908922927713822E-3</v>
      </c>
      <c r="D42" s="42">
        <f t="shared" si="2"/>
        <v>0.05</v>
      </c>
      <c r="E42" s="42">
        <f t="shared" si="3"/>
        <v>0.08</v>
      </c>
      <c r="F42" s="49">
        <f t="shared" si="13"/>
        <v>0.13279959800514859</v>
      </c>
      <c r="G42" s="37"/>
      <c r="H42" s="50">
        <f t="shared" si="14"/>
        <v>15269.418412456826</v>
      </c>
      <c r="I42" s="50">
        <f t="shared" si="4"/>
        <v>13166003102.143541</v>
      </c>
      <c r="J42" s="50">
        <f t="shared" si="15"/>
        <v>34012629.51374758</v>
      </c>
      <c r="K42" s="50">
        <f t="shared" si="5"/>
        <v>-8503157.3784368951</v>
      </c>
      <c r="L42" s="50">
        <f t="shared" si="6"/>
        <v>-510189.44270621368</v>
      </c>
      <c r="M42" s="50">
        <f t="shared" si="7"/>
        <v>-3154487.2795882272</v>
      </c>
      <c r="N42" s="50">
        <f t="shared" si="16"/>
        <v>-64630894.494463734</v>
      </c>
      <c r="O42" s="50">
        <f t="shared" si="8"/>
        <v>-969463.41741695593</v>
      </c>
      <c r="P42" s="50">
        <f t="shared" si="9"/>
        <v>655343.86239048745</v>
      </c>
      <c r="Q42" s="50">
        <f t="shared" si="10"/>
        <v>0</v>
      </c>
      <c r="R42" s="50">
        <f t="shared" si="17"/>
        <v>-43100218.636473946</v>
      </c>
      <c r="S42" s="6"/>
      <c r="T42" s="44"/>
      <c r="U42" s="50">
        <f>NPV($C$10,J42:J$54)*(1+$C$10)</f>
        <v>172543845.72606149</v>
      </c>
      <c r="V42" s="50">
        <f>NPV($C$10,K42:K$54)*(1+$C$10)</f>
        <v>-43135961.431515373</v>
      </c>
      <c r="W42" s="50">
        <f>NPV($C$10,L42:L$54)*(1+$C$10)</f>
        <v>-2588157.6858909228</v>
      </c>
      <c r="X42" s="50">
        <f>NPV($C$10,M42:M$54)*(1+$C$10)</f>
        <v>-17355934.957050279</v>
      </c>
      <c r="Y42" s="50">
        <f>NPV($C$10,N42:N$54)</f>
        <v>-462427700.98562676</v>
      </c>
      <c r="Z42" s="50">
        <f>NPV($C$10,O42:O$54)</f>
        <v>-6936415.5147844031</v>
      </c>
      <c r="AA42" s="62">
        <f t="shared" si="20"/>
        <v>25201750.609388605</v>
      </c>
      <c r="AB42" s="56">
        <f t="shared" si="11"/>
        <v>326642753.15714192</v>
      </c>
      <c r="AC42" s="44">
        <f t="shared" si="0"/>
        <v>0</v>
      </c>
      <c r="AD42" s="6"/>
      <c r="AE42" s="62">
        <f>N42*$AA$14</f>
        <v>3522305.6085081049</v>
      </c>
      <c r="AF42" s="50">
        <f t="shared" si="12"/>
        <v>349015246.29978061</v>
      </c>
      <c r="AG42" s="50">
        <f>NPV($C$11,R43:R$55)</f>
        <v>-214554813.3917321</v>
      </c>
      <c r="AH42" s="83">
        <f t="shared" si="18"/>
        <v>3522305.6085081138</v>
      </c>
      <c r="AI42" s="57"/>
    </row>
    <row r="43" spans="1:35" ht="15" x14ac:dyDescent="0.25">
      <c r="A43" s="21">
        <f t="shared" si="21"/>
        <v>24</v>
      </c>
      <c r="B43" s="47">
        <f t="shared" si="21"/>
        <v>2038</v>
      </c>
      <c r="C43" s="49">
        <f t="shared" si="1"/>
        <v>5.2770921472923586E-3</v>
      </c>
      <c r="D43" s="42">
        <f t="shared" si="2"/>
        <v>0.05</v>
      </c>
      <c r="E43" s="42">
        <f t="shared" si="3"/>
        <v>0.09</v>
      </c>
      <c r="F43" s="49">
        <f t="shared" si="13"/>
        <v>0.11419941457914486</v>
      </c>
      <c r="G43" s="37"/>
      <c r="H43" s="50">
        <f t="shared" si="14"/>
        <v>13279.95980051486</v>
      </c>
      <c r="I43" s="50">
        <f t="shared" si="4"/>
        <v>11794117288.769854</v>
      </c>
      <c r="J43" s="50">
        <f t="shared" si="15"/>
        <v>29581110.45564685</v>
      </c>
      <c r="K43" s="50">
        <f t="shared" si="5"/>
        <v>-7395277.6139117125</v>
      </c>
      <c r="L43" s="50">
        <f t="shared" si="6"/>
        <v>-443716.65683470276</v>
      </c>
      <c r="M43" s="50">
        <f t="shared" si="7"/>
        <v>-2812075.071290324</v>
      </c>
      <c r="N43" s="50">
        <f t="shared" si="16"/>
        <v>-62238643.728812434</v>
      </c>
      <c r="O43" s="50">
        <f t="shared" si="8"/>
        <v>-933579.65593218652</v>
      </c>
      <c r="P43" s="50">
        <f t="shared" si="9"/>
        <v>567901.23340830335</v>
      </c>
      <c r="Q43" s="50">
        <f t="shared" si="10"/>
        <v>0</v>
      </c>
      <c r="R43" s="50">
        <f t="shared" si="17"/>
        <v>-43674281.037726209</v>
      </c>
      <c r="S43" s="6"/>
      <c r="T43" s="44"/>
      <c r="U43" s="50">
        <f>NPV($C$10,J43:J$54)*(1+$C$10)</f>
        <v>142340824.65815258</v>
      </c>
      <c r="V43" s="50">
        <f>NPV($C$10,K43:K$54)*(1+$C$10)</f>
        <v>-35585206.164538145</v>
      </c>
      <c r="W43" s="50">
        <f>NPV($C$10,L43:L$54)*(1+$C$10)</f>
        <v>-2135112.3698722888</v>
      </c>
      <c r="X43" s="50">
        <f>NPV($C$10,M43:M$54)*(1+$C$10)</f>
        <v>-14591987.488592258</v>
      </c>
      <c r="Y43" s="50">
        <f>NPV($C$10,N43:N$54)</f>
        <v>-410513568.26826781</v>
      </c>
      <c r="Z43" s="50">
        <f>NPV($C$10,O43:O$54)</f>
        <v>-6157703.5240240162</v>
      </c>
      <c r="AA43" s="62">
        <f t="shared" si="20"/>
        <v>22372493.142638691</v>
      </c>
      <c r="AB43" s="56">
        <f t="shared" si="11"/>
        <v>291903822.7284531</v>
      </c>
      <c r="AC43" s="44">
        <f t="shared" si="0"/>
        <v>0</v>
      </c>
      <c r="AD43" s="6"/>
      <c r="AE43" s="62">
        <f>N43*$AA$14</f>
        <v>3391930.8341108053</v>
      </c>
      <c r="AF43" s="50">
        <f t="shared" si="12"/>
        <v>311499628.59840357</v>
      </c>
      <c r="AG43" s="50">
        <f>NPV($C$11,R44:R$55)</f>
        <v>-197699884.02797243</v>
      </c>
      <c r="AH43" s="83">
        <f t="shared" si="18"/>
        <v>3391930.8341107666</v>
      </c>
      <c r="AI43" s="57"/>
    </row>
    <row r="44" spans="1:35" ht="15" x14ac:dyDescent="0.25">
      <c r="A44" s="21">
        <f t="shared" si="21"/>
        <v>25</v>
      </c>
      <c r="B44" s="47">
        <f t="shared" si="21"/>
        <v>2039</v>
      </c>
      <c r="C44" s="49">
        <f t="shared" si="1"/>
        <v>5.6728740583392844E-3</v>
      </c>
      <c r="D44" s="42">
        <f t="shared" si="2"/>
        <v>0.05</v>
      </c>
      <c r="E44" s="42">
        <f t="shared" si="3"/>
        <v>0.1</v>
      </c>
      <c r="F44" s="49">
        <f t="shared" si="13"/>
        <v>9.7086597208709616E-2</v>
      </c>
      <c r="G44" s="37"/>
      <c r="H44" s="50">
        <f t="shared" si="14"/>
        <v>11419.941457914485</v>
      </c>
      <c r="I44" s="50">
        <f t="shared" si="4"/>
        <v>10446475361.297119</v>
      </c>
      <c r="J44" s="50">
        <f t="shared" si="15"/>
        <v>25437919.597504515</v>
      </c>
      <c r="K44" s="50">
        <f t="shared" si="5"/>
        <v>-6359479.8993761288</v>
      </c>
      <c r="L44" s="50">
        <f t="shared" si="6"/>
        <v>-381568.7939625677</v>
      </c>
      <c r="M44" s="50">
        <f t="shared" si="7"/>
        <v>-2478665.3349172743</v>
      </c>
      <c r="N44" s="50">
        <f t="shared" si="16"/>
        <v>-59261539.078182928</v>
      </c>
      <c r="O44" s="50">
        <f t="shared" si="8"/>
        <v>-888923.08617274393</v>
      </c>
      <c r="P44" s="50">
        <f t="shared" si="9"/>
        <v>486546.16707745637</v>
      </c>
      <c r="Q44" s="50">
        <f t="shared" si="10"/>
        <v>0</v>
      </c>
      <c r="R44" s="50">
        <f t="shared" si="17"/>
        <v>-43445710.428029664</v>
      </c>
      <c r="S44" s="6"/>
      <c r="T44" s="44"/>
      <c r="U44" s="50">
        <f>NPV($C$10,J44:J$54)*(1+$C$10)</f>
        <v>115860606.34307466</v>
      </c>
      <c r="V44" s="50">
        <f>NPV($C$10,K44:K$54)*(1+$C$10)</f>
        <v>-28965151.585768666</v>
      </c>
      <c r="W44" s="50">
        <f>NPV($C$10,L44:L$54)*(1+$C$10)</f>
        <v>-1737909.0951461198</v>
      </c>
      <c r="X44" s="50">
        <f>NPV($C$10,M44:M$54)*(1+$C$10)</f>
        <v>-12103860.008777739</v>
      </c>
      <c r="Y44" s="50">
        <f>NPV($C$10,N44:N$54)</f>
        <v>-359564047.6668328</v>
      </c>
      <c r="Z44" s="50">
        <f>NPV($C$10,O44:O$54)</f>
        <v>-5393460.7150024921</v>
      </c>
      <c r="AA44" s="62">
        <f t="shared" si="20"/>
        <v>19595805.869950451</v>
      </c>
      <c r="AB44" s="56">
        <f t="shared" si="11"/>
        <v>256444921.91153276</v>
      </c>
      <c r="AC44" s="44">
        <f t="shared" si="0"/>
        <v>0</v>
      </c>
      <c r="AD44" s="6"/>
      <c r="AE44" s="62">
        <f>N44*$AA$14</f>
        <v>3229682.230094871</v>
      </c>
      <c r="AF44" s="50">
        <f t="shared" si="12"/>
        <v>273349930.21281195</v>
      </c>
      <c r="AG44" s="50">
        <f>NPV($C$11,R45:R$55)</f>
        <v>-178966659.10343939</v>
      </c>
      <c r="AH44" s="83">
        <f t="shared" si="18"/>
        <v>3229682.2300949395</v>
      </c>
      <c r="AI44" s="57"/>
    </row>
    <row r="45" spans="1:35" ht="15" x14ac:dyDescent="0.25">
      <c r="A45" s="21">
        <f t="shared" si="21"/>
        <v>26</v>
      </c>
      <c r="B45" s="47">
        <f t="shared" si="21"/>
        <v>2040</v>
      </c>
      <c r="C45" s="49">
        <f t="shared" si="1"/>
        <v>6.0983396127147317E-3</v>
      </c>
      <c r="D45" s="42">
        <f t="shared" si="2"/>
        <v>0.05</v>
      </c>
      <c r="E45" s="42">
        <f t="shared" si="3"/>
        <v>0.11</v>
      </c>
      <c r="F45" s="49">
        <f t="shared" si="13"/>
        <v>8.1586125256272957E-2</v>
      </c>
      <c r="G45" s="37"/>
      <c r="H45" s="50">
        <f t="shared" si="14"/>
        <v>9708.6597208709609</v>
      </c>
      <c r="I45" s="50">
        <f t="shared" si="4"/>
        <v>9147499852.5371056</v>
      </c>
      <c r="J45" s="50">
        <f t="shared" si="15"/>
        <v>21626039.528240066</v>
      </c>
      <c r="K45" s="50">
        <f t="shared" si="5"/>
        <v>-5406509.8820600165</v>
      </c>
      <c r="L45" s="50">
        <f t="shared" si="6"/>
        <v>-324390.59292360098</v>
      </c>
      <c r="M45" s="50">
        <f t="shared" si="7"/>
        <v>-2159917.4870552067</v>
      </c>
      <c r="N45" s="50">
        <f t="shared" si="16"/>
        <v>-55784560.708029196</v>
      </c>
      <c r="O45" s="50">
        <f t="shared" si="8"/>
        <v>-836768.41062043793</v>
      </c>
      <c r="P45" s="50">
        <f t="shared" si="9"/>
        <v>412056.64698603726</v>
      </c>
      <c r="Q45" s="50">
        <f t="shared" si="10"/>
        <v>0</v>
      </c>
      <c r="R45" s="50">
        <f t="shared" si="17"/>
        <v>-42474050.905462354</v>
      </c>
      <c r="S45" s="6"/>
      <c r="T45" s="44"/>
      <c r="U45" s="50">
        <f>NPV($C$10,J45:J$54)*(1+$C$10)</f>
        <v>92909310.631073311</v>
      </c>
      <c r="V45" s="50">
        <f>NPV($C$10,K45:K$54)*(1+$C$10)</f>
        <v>-23227327.657768328</v>
      </c>
      <c r="W45" s="50">
        <f>NPV($C$10,L45:L$54)*(1+$C$10)</f>
        <v>-1393639.6594661002</v>
      </c>
      <c r="X45" s="50">
        <f>NPV($C$10,M45:M$54)*(1+$C$10)</f>
        <v>-9889887.5273916293</v>
      </c>
      <c r="Y45" s="50">
        <f>NPV($C$10,N45:N$54)</f>
        <v>-310190519.89948767</v>
      </c>
      <c r="Z45" s="50">
        <f>NPV($C$10,O45:O$54)</f>
        <v>-4652857.7984923152</v>
      </c>
      <c r="AA45" s="62">
        <f t="shared" si="20"/>
        <v>16905008.301279213</v>
      </c>
      <c r="AB45" s="56">
        <f t="shared" si="11"/>
        <v>220988768.30472219</v>
      </c>
      <c r="AC45" s="44">
        <f t="shared" si="0"/>
        <v>0</v>
      </c>
      <c r="AD45" s="6"/>
      <c r="AE45" s="62">
        <f>N45*$AA$14</f>
        <v>3040191.1127329888</v>
      </c>
      <c r="AF45" s="50">
        <f t="shared" si="12"/>
        <v>235318473.22155359</v>
      </c>
      <c r="AG45" s="50">
        <f>NPV($C$11,R46:R$55)</f>
        <v>-158863440.58590686</v>
      </c>
      <c r="AH45" s="83">
        <f t="shared" si="18"/>
        <v>3040191.1127328277</v>
      </c>
      <c r="AI45" s="57"/>
    </row>
    <row r="46" spans="1:35" ht="15" x14ac:dyDescent="0.25">
      <c r="A46" s="21">
        <f t="shared" si="21"/>
        <v>27</v>
      </c>
      <c r="B46" s="47">
        <f t="shared" si="21"/>
        <v>2041</v>
      </c>
      <c r="C46" s="49">
        <f t="shared" si="1"/>
        <v>6.5557150836683346E-3</v>
      </c>
      <c r="D46" s="42">
        <f t="shared" si="2"/>
        <v>0.05</v>
      </c>
      <c r="E46" s="42">
        <f t="shared" si="3"/>
        <v>0.12</v>
      </c>
      <c r="F46" s="49">
        <f t="shared" si="13"/>
        <v>6.7758861606565135E-2</v>
      </c>
      <c r="G46" s="37"/>
      <c r="H46" s="50">
        <f t="shared" si="14"/>
        <v>8158.6125256272953</v>
      </c>
      <c r="I46" s="50">
        <f t="shared" si="4"/>
        <v>7917656637.6187305</v>
      </c>
      <c r="J46" s="50">
        <f t="shared" si="15"/>
        <v>18173309.400834803</v>
      </c>
      <c r="K46" s="50">
        <f t="shared" si="5"/>
        <v>-4543327.3502087006</v>
      </c>
      <c r="L46" s="50">
        <f t="shared" si="6"/>
        <v>-272599.64101252204</v>
      </c>
      <c r="M46" s="50">
        <f t="shared" si="7"/>
        <v>-1860450.2197132225</v>
      </c>
      <c r="N46" s="50">
        <f t="shared" si="16"/>
        <v>-51905901.046543822</v>
      </c>
      <c r="O46" s="50">
        <f t="shared" si="8"/>
        <v>-778588.51569815725</v>
      </c>
      <c r="P46" s="50">
        <f t="shared" si="9"/>
        <v>344907.96569701075</v>
      </c>
      <c r="Q46" s="50">
        <f t="shared" si="10"/>
        <v>0</v>
      </c>
      <c r="R46" s="50">
        <f t="shared" si="17"/>
        <v>-40842649.406644605</v>
      </c>
      <c r="S46" s="6"/>
      <c r="T46" s="44"/>
      <c r="U46" s="50">
        <f>NPV($C$10,J46:J$54)*(1+$C$10)</f>
        <v>73243561.058161199</v>
      </c>
      <c r="V46" s="50">
        <f>NPV($C$10,K46:K$54)*(1+$C$10)</f>
        <v>-18310890.2645403</v>
      </c>
      <c r="W46" s="50">
        <f>NPV($C$10,L46:L$54)*(1+$C$10)</f>
        <v>-1098653.4158724176</v>
      </c>
      <c r="X46" s="50">
        <f>NPV($C$10,M46:M$54)*(1+$C$10)</f>
        <v>-7942544.2164456733</v>
      </c>
      <c r="Y46" s="50">
        <f>NPV($C$10,N46:N$54)</f>
        <v>-262936198.48869455</v>
      </c>
      <c r="Z46" s="50">
        <f>NPV($C$10,O46:O$54)</f>
        <v>-3944042.9773304174</v>
      </c>
      <c r="AA46" s="62">
        <f t="shared" si="20"/>
        <v>14329704.91683141</v>
      </c>
      <c r="AB46" s="56">
        <f t="shared" si="11"/>
        <v>186194567.69598261</v>
      </c>
      <c r="AC46" s="44">
        <f t="shared" si="0"/>
        <v>0</v>
      </c>
      <c r="AD46" s="6"/>
      <c r="AE46" s="62">
        <f>N46*$AA$14</f>
        <v>2828808.8506429237</v>
      </c>
      <c r="AF46" s="50">
        <f t="shared" si="12"/>
        <v>198089530.64738396</v>
      </c>
      <c r="AG46" s="50">
        <f>NPV($C$11,R47:R$55)</f>
        <v>-137878721.25250065</v>
      </c>
      <c r="AH46" s="83">
        <f t="shared" si="18"/>
        <v>2828808.8506430015</v>
      </c>
      <c r="AI46" s="57"/>
    </row>
    <row r="47" spans="1:35" ht="15" x14ac:dyDescent="0.25">
      <c r="A47" s="21">
        <f t="shared" si="21"/>
        <v>28</v>
      </c>
      <c r="B47" s="47">
        <f t="shared" si="21"/>
        <v>2042</v>
      </c>
      <c r="C47" s="49">
        <f t="shared" si="1"/>
        <v>7.0473937149434602E-3</v>
      </c>
      <c r="D47" s="42">
        <f t="shared" si="2"/>
        <v>0.05</v>
      </c>
      <c r="E47" s="42">
        <f t="shared" si="3"/>
        <v>0.13</v>
      </c>
      <c r="F47" s="49">
        <f t="shared" si="13"/>
        <v>5.5608026048043241E-2</v>
      </c>
      <c r="G47" s="37"/>
      <c r="H47" s="50">
        <f t="shared" si="14"/>
        <v>6775.8861606565133</v>
      </c>
      <c r="I47" s="50">
        <f t="shared" si="4"/>
        <v>6773040644.2475786</v>
      </c>
      <c r="J47" s="50">
        <f t="shared" si="15"/>
        <v>15093286.422862384</v>
      </c>
      <c r="K47" s="50">
        <f t="shared" si="5"/>
        <v>-3773321.6057155961</v>
      </c>
      <c r="L47" s="50">
        <f t="shared" si="6"/>
        <v>-226399.29634293576</v>
      </c>
      <c r="M47" s="50">
        <f t="shared" si="7"/>
        <v>-1583768.5425268228</v>
      </c>
      <c r="N47" s="50">
        <f t="shared" si="16"/>
        <v>-47732284.067326993</v>
      </c>
      <c r="O47" s="50">
        <f t="shared" si="8"/>
        <v>-715984.26100990491</v>
      </c>
      <c r="P47" s="50">
        <f t="shared" si="9"/>
        <v>285293.9093483109</v>
      </c>
      <c r="Q47" s="50">
        <f t="shared" si="10"/>
        <v>0</v>
      </c>
      <c r="R47" s="50">
        <f t="shared" si="17"/>
        <v>-38653177.440711558</v>
      </c>
      <c r="S47" s="6"/>
      <c r="T47" s="44"/>
      <c r="U47" s="50">
        <f>NPV($C$10,J47:J$54)*(1+$C$10)</f>
        <v>56584683.577902876</v>
      </c>
      <c r="V47" s="50">
        <f>NPV($C$10,K47:K$54)*(1+$C$10)</f>
        <v>-14146170.894475719</v>
      </c>
      <c r="W47" s="50">
        <f>NPV($C$10,L47:L$54)*(1+$C$10)</f>
        <v>-848770.25366854295</v>
      </c>
      <c r="X47" s="50">
        <f>NPV($C$10,M47:M$54)*(1+$C$10)</f>
        <v>-6249351.5816425942</v>
      </c>
      <c r="Y47" s="50">
        <f>NPV($C$10,N47:N$54)</f>
        <v>-218261042.90058979</v>
      </c>
      <c r="Z47" s="50">
        <f>NPV($C$10,O47:O$54)</f>
        <v>-3273915.6435088478</v>
      </c>
      <c r="AA47" s="62">
        <f t="shared" si="20"/>
        <v>11894962.951401349</v>
      </c>
      <c r="AB47" s="56">
        <f t="shared" si="11"/>
        <v>152637966.37446496</v>
      </c>
      <c r="AC47" s="44">
        <f t="shared" si="0"/>
        <v>0</v>
      </c>
      <c r="AD47" s="6"/>
      <c r="AE47" s="62">
        <f>N47*$AA$14</f>
        <v>2601351.7713521621</v>
      </c>
      <c r="AF47" s="50">
        <f t="shared" si="12"/>
        <v>162258689.03567767</v>
      </c>
      <c r="AG47" s="50">
        <f>NPV($C$11,R48:R$55)</f>
        <v>-116460383.96835166</v>
      </c>
      <c r="AH47" s="83">
        <f t="shared" si="18"/>
        <v>2601351.7713520974</v>
      </c>
      <c r="AI47" s="57"/>
    </row>
    <row r="48" spans="1:35" ht="15" x14ac:dyDescent="0.25">
      <c r="A48" s="21">
        <f t="shared" si="21"/>
        <v>29</v>
      </c>
      <c r="B48" s="47">
        <f t="shared" si="21"/>
        <v>2043</v>
      </c>
      <c r="C48" s="49">
        <f t="shared" si="1"/>
        <v>7.5759482435642199E-3</v>
      </c>
      <c r="D48" s="42">
        <f t="shared" si="2"/>
        <v>0.05</v>
      </c>
      <c r="E48" s="42">
        <f t="shared" si="3"/>
        <v>0.14000000000000001</v>
      </c>
      <c r="F48" s="49">
        <f t="shared" si="13"/>
        <v>4.5087568639474392E-2</v>
      </c>
      <c r="G48" s="37"/>
      <c r="H48" s="50">
        <f t="shared" si="14"/>
        <v>5560.8026048043239</v>
      </c>
      <c r="I48" s="50">
        <f t="shared" si="4"/>
        <v>5725221380.4796467</v>
      </c>
      <c r="J48" s="50">
        <f t="shared" si="15"/>
        <v>12386687.802201632</v>
      </c>
      <c r="K48" s="50">
        <f t="shared" si="5"/>
        <v>-3096671.9505504081</v>
      </c>
      <c r="L48" s="50">
        <f t="shared" si="6"/>
        <v>-185800.31703302448</v>
      </c>
      <c r="M48" s="50">
        <f t="shared" si="7"/>
        <v>-1332253.7640940705</v>
      </c>
      <c r="N48" s="50">
        <f t="shared" si="16"/>
        <v>-43373980.861461096</v>
      </c>
      <c r="O48" s="50">
        <f t="shared" si="8"/>
        <v>-650609.71292191639</v>
      </c>
      <c r="P48" s="50">
        <f t="shared" si="9"/>
        <v>233158.8531157239</v>
      </c>
      <c r="Q48" s="50">
        <f t="shared" si="10"/>
        <v>0</v>
      </c>
      <c r="R48" s="50">
        <f t="shared" si="17"/>
        <v>-36019469.950743161</v>
      </c>
      <c r="S48" s="6"/>
      <c r="T48" s="44"/>
      <c r="U48" s="50">
        <f>NPV($C$10,J48:J$54)*(1+$C$10)</f>
        <v>42632410.576804094</v>
      </c>
      <c r="V48" s="50">
        <f>NPV($C$10,K48:K$54)*(1+$C$10)</f>
        <v>-10658102.644201024</v>
      </c>
      <c r="W48" s="50">
        <f>NPV($C$10,L48:L$54)*(1+$C$10)</f>
        <v>-639486.15865206136</v>
      </c>
      <c r="X48" s="50">
        <f>NPV($C$10,M48:M$54)*(1+$C$10)</f>
        <v>-4793886.5726914555</v>
      </c>
      <c r="Y48" s="50">
        <f>NPV($C$10,N48:N$54)</f>
        <v>-176530937.51302907</v>
      </c>
      <c r="Z48" s="50">
        <f>NPV($C$10,O48:O$54)</f>
        <v>-2647964.0626954362</v>
      </c>
      <c r="AA48" s="62">
        <f t="shared" si="20"/>
        <v>9620722.6612127274</v>
      </c>
      <c r="AB48" s="56">
        <f t="shared" si="11"/>
        <v>120796610.59459326</v>
      </c>
      <c r="AC48" s="44">
        <f t="shared" si="0"/>
        <v>0</v>
      </c>
      <c r="AD48" s="6"/>
      <c r="AE48" s="62">
        <f>N48*$AA$14</f>
        <v>2363829.516002357</v>
      </c>
      <c r="AF48" s="50">
        <f t="shared" si="12"/>
        <v>128318073.61298698</v>
      </c>
      <c r="AG48" s="50">
        <f>NPV($C$11,R49:R$55)</f>
        <v>-94998462.013652474</v>
      </c>
      <c r="AH48" s="83">
        <f t="shared" si="18"/>
        <v>2363829.516002357</v>
      </c>
      <c r="AI48" s="57"/>
    </row>
    <row r="49" spans="1:35" ht="15" x14ac:dyDescent="0.25">
      <c r="A49" s="21">
        <f t="shared" si="21"/>
        <v>30</v>
      </c>
      <c r="B49" s="47">
        <f t="shared" si="21"/>
        <v>2044</v>
      </c>
      <c r="C49" s="49">
        <f t="shared" si="1"/>
        <v>8.1441443618315377E-3</v>
      </c>
      <c r="D49" s="42">
        <f t="shared" si="2"/>
        <v>0.05</v>
      </c>
      <c r="E49" s="42">
        <f t="shared" si="3"/>
        <v>0.15</v>
      </c>
      <c r="F49" s="49">
        <f t="shared" si="13"/>
        <v>3.6111697944527045E-2</v>
      </c>
      <c r="G49" s="37"/>
      <c r="H49" s="50">
        <f t="shared" si="14"/>
        <v>4508.7568639474393</v>
      </c>
      <c r="I49" s="50">
        <f t="shared" si="4"/>
        <v>4781331405.2526989</v>
      </c>
      <c r="J49" s="50">
        <f t="shared" si="15"/>
        <v>10043255.914442921</v>
      </c>
      <c r="K49" s="50">
        <f t="shared" si="5"/>
        <v>-2510813.9786107303</v>
      </c>
      <c r="L49" s="50">
        <f t="shared" si="6"/>
        <v>-150648.8387166438</v>
      </c>
      <c r="M49" s="50">
        <f t="shared" si="7"/>
        <v>-1107210.4062179858</v>
      </c>
      <c r="N49" s="50">
        <f t="shared" si="16"/>
        <v>-38939853.20613683</v>
      </c>
      <c r="O49" s="50">
        <f t="shared" si="8"/>
        <v>-584097.79809205246</v>
      </c>
      <c r="P49" s="50">
        <f t="shared" si="9"/>
        <v>188237.48072692685</v>
      </c>
      <c r="Q49" s="50">
        <f t="shared" si="10"/>
        <v>0</v>
      </c>
      <c r="R49" s="50">
        <f t="shared" si="17"/>
        <v>-33061130.832604393</v>
      </c>
      <c r="S49" s="6"/>
      <c r="T49" s="44"/>
      <c r="U49" s="50">
        <f>NPV($C$10,J49:J$54)*(1+$C$10)</f>
        <v>31077480.150904037</v>
      </c>
      <c r="V49" s="50">
        <f>NPV($C$10,K49:K$54)*(1+$C$10)</f>
        <v>-7769370.0377260093</v>
      </c>
      <c r="W49" s="50">
        <f>NPV($C$10,L49:L$54)*(1+$C$10)</f>
        <v>-466162.20226356061</v>
      </c>
      <c r="X49" s="50">
        <f>NPV($C$10,M49:M$54)*(1+$C$10)</f>
        <v>-3556827.7108338131</v>
      </c>
      <c r="Y49" s="50">
        <f>NPV($C$10,N49:N$54)</f>
        <v>-138011557.43317625</v>
      </c>
      <c r="Z49" s="50">
        <f>NPV($C$10,O49:O$54)</f>
        <v>-2070173.3614976441</v>
      </c>
      <c r="AA49" s="62">
        <f t="shared" si="20"/>
        <v>7521463.0183937177</v>
      </c>
      <c r="AB49" s="56">
        <f t="shared" si="11"/>
        <v>91041700.09661296</v>
      </c>
      <c r="AC49" s="44">
        <f t="shared" si="0"/>
        <v>0</v>
      </c>
      <c r="AD49" s="6"/>
      <c r="AE49" s="62">
        <f>N49*$AA$14</f>
        <v>2122174.9198319851</v>
      </c>
      <c r="AF49" s="50">
        <f t="shared" si="12"/>
        <v>96647828.428180516</v>
      </c>
      <c r="AG49" s="50">
        <f>NPV($C$11,R50:R$55)</f>
        <v>-73812138.932754621</v>
      </c>
      <c r="AH49" s="83">
        <f t="shared" si="18"/>
        <v>2122174.9198319688</v>
      </c>
      <c r="AI49" s="57"/>
    </row>
    <row r="50" spans="1:35" ht="15" x14ac:dyDescent="0.25">
      <c r="A50" s="21">
        <f t="shared" si="21"/>
        <v>31</v>
      </c>
      <c r="B50" s="47">
        <f t="shared" si="21"/>
        <v>2045</v>
      </c>
      <c r="C50" s="49">
        <f t="shared" si="1"/>
        <v>8.7549551889689013E-3</v>
      </c>
      <c r="D50" s="42">
        <f t="shared" si="2"/>
        <v>0.05</v>
      </c>
      <c r="E50" s="42">
        <f t="shared" si="3"/>
        <v>0.2</v>
      </c>
      <c r="F50" s="49">
        <f t="shared" si="13"/>
        <v>2.7204611651891104E-2</v>
      </c>
      <c r="G50" s="37"/>
      <c r="H50" s="50">
        <f t="shared" si="14"/>
        <v>3611.1697944527045</v>
      </c>
      <c r="I50" s="50">
        <f t="shared" si="4"/>
        <v>3944365613.625926</v>
      </c>
      <c r="J50" s="50">
        <f t="shared" si="15"/>
        <v>8043880.7171433996</v>
      </c>
      <c r="K50" s="50">
        <f t="shared" si="5"/>
        <v>-2010970.1792858499</v>
      </c>
      <c r="L50" s="50">
        <f t="shared" si="6"/>
        <v>-120658.21075715098</v>
      </c>
      <c r="M50" s="50">
        <f t="shared" si="7"/>
        <v>-908960.72200841247</v>
      </c>
      <c r="N50" s="50">
        <f t="shared" si="16"/>
        <v>-34532744.196204804</v>
      </c>
      <c r="O50" s="50">
        <f t="shared" si="8"/>
        <v>-517991.16294307203</v>
      </c>
      <c r="P50" s="50">
        <f t="shared" si="9"/>
        <v>150098.74815275957</v>
      </c>
      <c r="Q50" s="50">
        <f t="shared" si="10"/>
        <v>0</v>
      </c>
      <c r="R50" s="50">
        <f t="shared" si="17"/>
        <v>-29897345.005903132</v>
      </c>
      <c r="S50" s="6"/>
      <c r="T50" s="44"/>
      <c r="U50" s="50">
        <f>NPV($C$10,J50:J$54)*(1+$C$10)</f>
        <v>21612665.402963795</v>
      </c>
      <c r="V50" s="50">
        <f>NPV($C$10,K50:K$54)*(1+$C$10)</f>
        <v>-5403166.3507409487</v>
      </c>
      <c r="W50" s="50">
        <f>NPV($C$10,L50:L$54)*(1+$C$10)</f>
        <v>-324189.98104445689</v>
      </c>
      <c r="X50" s="50">
        <f>NPV($C$10,M50:M$54)*(1+$C$10)</f>
        <v>-2516981.780492763</v>
      </c>
      <c r="Y50" s="50">
        <f>NPV($C$10,N50:N$54)</f>
        <v>-102867022.05645181</v>
      </c>
      <c r="Z50" s="50">
        <f>NPV($C$10,O50:O$54)</f>
        <v>-1543005.330846777</v>
      </c>
      <c r="AA50" s="62">
        <f t="shared" si="20"/>
        <v>5606128.3315675631</v>
      </c>
      <c r="AB50" s="56">
        <f t="shared" si="11"/>
        <v>63635493.61435394</v>
      </c>
      <c r="AC50" s="44">
        <f t="shared" si="0"/>
        <v>0</v>
      </c>
      <c r="AD50" s="6"/>
      <c r="AE50" s="62">
        <f>N50*$AA$14</f>
        <v>1881992.8071688239</v>
      </c>
      <c r="AF50" s="50">
        <f t="shared" si="12"/>
        <v>67513797.66787079</v>
      </c>
      <c r="AG50" s="50">
        <f>NPV($C$11,R51:R$55)</f>
        <v>-53141311.293445803</v>
      </c>
      <c r="AH50" s="83">
        <f t="shared" si="18"/>
        <v>1881992.8071688302</v>
      </c>
      <c r="AI50" s="57"/>
    </row>
    <row r="51" spans="1:35" ht="15" x14ac:dyDescent="0.25">
      <c r="A51" s="21">
        <f>+A50+1</f>
        <v>32</v>
      </c>
      <c r="B51" s="47">
        <f>+B50+1</f>
        <v>2046</v>
      </c>
      <c r="C51" s="49">
        <f t="shared" si="1"/>
        <v>9.4115768281415706E-3</v>
      </c>
      <c r="D51" s="42">
        <f t="shared" si="2"/>
        <v>0.05</v>
      </c>
      <c r="E51" s="42">
        <f t="shared" si="3"/>
        <v>0.25</v>
      </c>
      <c r="F51" s="49">
        <f>F50*(1-C51)*(1-D51)*(1-E51)</f>
        <v>1.920085851846532E-2</v>
      </c>
      <c r="G51" s="37"/>
      <c r="H51" s="50">
        <f t="shared" si="14"/>
        <v>2720.4611651891105</v>
      </c>
      <c r="I51" s="50">
        <f t="shared" si="4"/>
        <v>3060617170.1895871</v>
      </c>
      <c r="J51" s="50">
        <f t="shared" si="15"/>
        <v>6059827.2454587435</v>
      </c>
      <c r="K51" s="50">
        <f t="shared" si="5"/>
        <v>-1514956.8113646859</v>
      </c>
      <c r="L51" s="50">
        <f t="shared" si="6"/>
        <v>-90897.408681881148</v>
      </c>
      <c r="M51" s="50">
        <f t="shared" si="7"/>
        <v>-701881.1902509646</v>
      </c>
      <c r="N51" s="50">
        <f t="shared" si="16"/>
        <v>-28805233.638768543</v>
      </c>
      <c r="O51" s="50">
        <f t="shared" si="8"/>
        <v>-432078.50458152813</v>
      </c>
      <c r="P51" s="50">
        <f t="shared" si="9"/>
        <v>112562.75505483632</v>
      </c>
      <c r="Q51" s="50">
        <f t="shared" si="10"/>
        <v>0</v>
      </c>
      <c r="R51" s="50">
        <f t="shared" si="17"/>
        <v>-25372657.553134024</v>
      </c>
      <c r="S51" s="6"/>
      <c r="T51" s="44"/>
      <c r="U51" s="50">
        <f>NPV($C$10,J51:J$54)*(1+$C$10)</f>
        <v>13941926.264680458</v>
      </c>
      <c r="V51" s="50">
        <f>NPV($C$10,K51:K$54)*(1+$C$10)</f>
        <v>-3485481.5661701146</v>
      </c>
      <c r="W51" s="50">
        <f>NPV($C$10,L51:L$54)*(1+$C$10)</f>
        <v>-209128.89397020685</v>
      </c>
      <c r="X51" s="50">
        <f>NPV($C$10,M51:M$54)*(1+$C$10)</f>
        <v>-1652241.6375926703</v>
      </c>
      <c r="Y51" s="50">
        <f>NPV($C$10,N51:N$54)</f>
        <v>-71163120.966799423</v>
      </c>
      <c r="Z51" s="50">
        <f>NPV($C$10,O51:O$54)</f>
        <v>-1067446.8145019913</v>
      </c>
      <c r="AA51" s="62">
        <f t="shared" si="20"/>
        <v>3878304.0535168462</v>
      </c>
      <c r="AB51" s="56">
        <f t="shared" si="11"/>
        <v>40003431.906026773</v>
      </c>
      <c r="AC51" s="44">
        <f t="shared" si="0"/>
        <v>0</v>
      </c>
      <c r="AD51" s="6"/>
      <c r="AE51" s="62">
        <f>N51*$AA$14</f>
        <v>1569850.4065870831</v>
      </c>
      <c r="AF51" s="50">
        <f t="shared" si="12"/>
        <v>42418538.914428249</v>
      </c>
      <c r="AG51" s="50">
        <f>NPV($C$11,R52:R$55)</f>
        <v>-34411317.651992515</v>
      </c>
      <c r="AH51" s="83">
        <f t="shared" si="18"/>
        <v>1569850.4065870605</v>
      </c>
      <c r="AI51" s="57"/>
    </row>
    <row r="52" spans="1:35" ht="15" x14ac:dyDescent="0.25">
      <c r="A52" s="21">
        <f t="shared" ref="A52:B54" si="22">+A51+1</f>
        <v>33</v>
      </c>
      <c r="B52" s="47">
        <f t="shared" si="22"/>
        <v>2047</v>
      </c>
      <c r="C52" s="49">
        <f t="shared" si="1"/>
        <v>1.0117445090252187E-2</v>
      </c>
      <c r="D52" s="42">
        <f t="shared" si="2"/>
        <v>0.05</v>
      </c>
      <c r="E52" s="42">
        <f t="shared" si="3"/>
        <v>0.33</v>
      </c>
      <c r="F52" s="49">
        <f>F51*(1-C52)*(1-D52)*(1-E52)</f>
        <v>1.2097697645396671E-2</v>
      </c>
      <c r="G52" s="37"/>
      <c r="H52" s="50">
        <f t="shared" si="14"/>
        <v>1920.085851846532</v>
      </c>
      <c r="I52" s="50">
        <f t="shared" si="4"/>
        <v>2224970984.9362311</v>
      </c>
      <c r="J52" s="50">
        <f t="shared" si="15"/>
        <v>4276991.2349881502</v>
      </c>
      <c r="K52" s="50">
        <f t="shared" si="5"/>
        <v>-1069247.8087470375</v>
      </c>
      <c r="L52" s="50">
        <f t="shared" si="6"/>
        <v>-64154.868524822254</v>
      </c>
      <c r="M52" s="50">
        <f t="shared" si="7"/>
        <v>-507768.30205514381</v>
      </c>
      <c r="N52" s="50">
        <f t="shared" si="16"/>
        <v>-22511021.767496645</v>
      </c>
      <c r="O52" s="50">
        <f t="shared" si="8"/>
        <v>-337665.32651244965</v>
      </c>
      <c r="P52" s="50">
        <f t="shared" si="9"/>
        <v>79074.607669834397</v>
      </c>
      <c r="Q52" s="50">
        <f t="shared" si="10"/>
        <v>0</v>
      </c>
      <c r="R52" s="50">
        <f t="shared" si="17"/>
        <v>-20133792.230678115</v>
      </c>
      <c r="S52" s="6"/>
      <c r="T52" s="44"/>
      <c r="U52" s="50">
        <f>NPV($C$10,J52:J$54)*(1+$C$10)</f>
        <v>8098856.7422503112</v>
      </c>
      <c r="V52" s="50">
        <f>NPV($C$10,K52:K$54)*(1+$C$10)</f>
        <v>-2024714.1855625778</v>
      </c>
      <c r="W52" s="50">
        <f>NPV($C$10,L52:L$54)*(1+$C$10)</f>
        <v>-121482.85113375468</v>
      </c>
      <c r="X52" s="50">
        <f>NPV($C$10,M52:M$54)*(1+$C$10)</f>
        <v>-976495.35964360274</v>
      </c>
      <c r="Y52" s="50">
        <f>NPV($C$10,N52:N$54)</f>
        <v>-44314873.154617876</v>
      </c>
      <c r="Z52" s="50">
        <f>NPV($C$10,O52:O$54)</f>
        <v>-664723.09731926816</v>
      </c>
      <c r="AA52" s="62">
        <f t="shared" si="20"/>
        <v>2415107.0084014768</v>
      </c>
      <c r="AB52" s="56">
        <f t="shared" si="11"/>
        <v>20963144.502125237</v>
      </c>
      <c r="AC52" s="44">
        <f t="shared" si="0"/>
        <v>0</v>
      </c>
      <c r="AD52" s="6"/>
      <c r="AE52" s="62">
        <f>N52*$AA$14</f>
        <v>1226823.4695667641</v>
      </c>
      <c r="AF52" s="50">
        <f t="shared" si="12"/>
        <v>22217843.483690992</v>
      </c>
      <c r="AG52" s="50">
        <f>NPV($C$11,R53:R$55)</f>
        <v>-18578940.127813462</v>
      </c>
      <c r="AH52" s="83">
        <f t="shared" si="18"/>
        <v>1226823.4695667662</v>
      </c>
      <c r="AI52" s="57"/>
    </row>
    <row r="53" spans="1:35" ht="15" x14ac:dyDescent="0.25">
      <c r="A53" s="21">
        <f t="shared" si="22"/>
        <v>34</v>
      </c>
      <c r="B53" s="47">
        <f t="shared" si="22"/>
        <v>2048</v>
      </c>
      <c r="C53" s="49">
        <f t="shared" si="1"/>
        <v>1.08762534720211E-2</v>
      </c>
      <c r="D53" s="42">
        <f t="shared" si="2"/>
        <v>0.05</v>
      </c>
      <c r="E53" s="42">
        <f t="shared" si="3"/>
        <v>0.5</v>
      </c>
      <c r="F53" s="49">
        <f>F52*(1-C53)*(1-D53)*(1-E53)</f>
        <v>5.6839070092042946E-3</v>
      </c>
      <c r="G53" s="37"/>
      <c r="H53" s="50">
        <f t="shared" si="14"/>
        <v>1209.7697645396672</v>
      </c>
      <c r="I53" s="50">
        <f t="shared" si="4"/>
        <v>1443921739.5536065</v>
      </c>
      <c r="J53" s="50">
        <f t="shared" si="15"/>
        <v>2694762.1505121086</v>
      </c>
      <c r="K53" s="50">
        <f t="shared" si="5"/>
        <v>-673690.53762802714</v>
      </c>
      <c r="L53" s="50">
        <f t="shared" si="6"/>
        <v>-40421.432257681627</v>
      </c>
      <c r="M53" s="50">
        <f t="shared" si="7"/>
        <v>-327922.73694058374</v>
      </c>
      <c r="N53" s="50">
        <f t="shared" si="16"/>
        <v>-15704458.83314666</v>
      </c>
      <c r="O53" s="50">
        <f t="shared" si="8"/>
        <v>-235566.8824971999</v>
      </c>
      <c r="P53" s="50">
        <f t="shared" si="9"/>
        <v>49581.82331057448</v>
      </c>
      <c r="Q53" s="50">
        <f t="shared" si="10"/>
        <v>0</v>
      </c>
      <c r="R53" s="50">
        <f t="shared" si="17"/>
        <v>-14237716.448647469</v>
      </c>
      <c r="S53" s="6"/>
      <c r="T53" s="44"/>
      <c r="U53" s="50">
        <f>NPV($C$10,J53:J$54)*(1+$C$10)</f>
        <v>3926966.8087118715</v>
      </c>
      <c r="V53" s="50">
        <f>NPV($C$10,K53:K$54)*(1+$C$10)</f>
        <v>-981741.70217796788</v>
      </c>
      <c r="W53" s="50">
        <f>NPV($C$10,L53:L$54)*(1+$C$10)</f>
        <v>-58904.502130678069</v>
      </c>
      <c r="X53" s="50">
        <f>NPV($C$10,M53:M$54)*(1+$C$10)</f>
        <v>-481617.05167214165</v>
      </c>
      <c r="Y53" s="50">
        <f>NPV($C$10,N53:N$54)</f>
        <v>-23022510.398873225</v>
      </c>
      <c r="Z53" s="50">
        <f>NPV($C$10,O53:O$54)</f>
        <v>-345337.65598309838</v>
      </c>
      <c r="AA53" s="62">
        <f t="shared" si="20"/>
        <v>1254698.9815657537</v>
      </c>
      <c r="AB53" s="56">
        <f t="shared" si="11"/>
        <v>7297782.7086770013</v>
      </c>
      <c r="AC53" s="44">
        <f t="shared" si="0"/>
        <v>0</v>
      </c>
      <c r="AD53" s="6"/>
      <c r="AE53" s="62">
        <f>N53*$AA$14</f>
        <v>855874.01906243886</v>
      </c>
      <c r="AF53" s="50">
        <f t="shared" si="12"/>
        <v>7731111.8931733742</v>
      </c>
      <c r="AG53" s="50">
        <f>NPV($C$11,R54:R$55)</f>
        <v>-6663591.1951426761</v>
      </c>
      <c r="AH53" s="83">
        <f t="shared" si="18"/>
        <v>855874.01906243525</v>
      </c>
      <c r="AI53" s="57"/>
    </row>
    <row r="54" spans="1:35" ht="15" x14ac:dyDescent="0.25">
      <c r="A54" s="21">
        <f t="shared" si="22"/>
        <v>35</v>
      </c>
      <c r="B54" s="47">
        <f t="shared" si="22"/>
        <v>2049</v>
      </c>
      <c r="C54" s="49">
        <f t="shared" si="1"/>
        <v>1.1691972482422682E-2</v>
      </c>
      <c r="D54" s="42">
        <f t="shared" si="2"/>
        <v>0</v>
      </c>
      <c r="E54" s="42">
        <f t="shared" si="3"/>
        <v>1</v>
      </c>
      <c r="F54" s="49">
        <f>F53*(1-C54)*(1-D54)*(1-E54)</f>
        <v>0</v>
      </c>
      <c r="G54" s="37"/>
      <c r="H54" s="50">
        <f t="shared" si="14"/>
        <v>568.39070092042948</v>
      </c>
      <c r="I54" s="50">
        <f t="shared" si="4"/>
        <v>698755304.59248471</v>
      </c>
      <c r="J54" s="50">
        <f t="shared" si="15"/>
        <v>1266090.2863002566</v>
      </c>
      <c r="K54" s="50">
        <f t="shared" si="5"/>
        <v>-316522.57157506415</v>
      </c>
      <c r="L54" s="50">
        <f t="shared" si="6"/>
        <v>-18991.35429450385</v>
      </c>
      <c r="M54" s="50">
        <f t="shared" si="7"/>
        <v>-157920.90838667573</v>
      </c>
      <c r="N54" s="50">
        <f t="shared" si="16"/>
        <v>-8169827.7932422105</v>
      </c>
      <c r="O54" s="50">
        <f t="shared" si="8"/>
        <v>-122547.41689863315</v>
      </c>
      <c r="P54" s="50">
        <f t="shared" si="9"/>
        <v>23179.663561320383</v>
      </c>
      <c r="Q54" s="50">
        <f t="shared" si="10"/>
        <v>0</v>
      </c>
      <c r="R54" s="50">
        <f t="shared" si="17"/>
        <v>-7496540.094535511</v>
      </c>
      <c r="S54" s="6"/>
      <c r="T54" s="44"/>
      <c r="U54" s="50">
        <f>NPV($C$10,J54:J$54)*(1+$C$10)</f>
        <v>1266090.2863002566</v>
      </c>
      <c r="V54" s="50">
        <f>NPV($C$10,K54:K$54)*(1+$C$10)</f>
        <v>-316522.57157506415</v>
      </c>
      <c r="W54" s="50">
        <f>NPV($C$10,L54:L$54)*(1+$C$10)</f>
        <v>-18991.35429450385</v>
      </c>
      <c r="X54" s="50">
        <f>NPV($C$10,M54:M$54)*(1+$C$10)</f>
        <v>-157920.90838667573</v>
      </c>
      <c r="Y54" s="50">
        <f>NPV($C$10,N54:N$54)</f>
        <v>-7951170.6016955813</v>
      </c>
      <c r="Z54" s="50">
        <f>NPV($C$10,O54:O$54)</f>
        <v>-119267.55902543371</v>
      </c>
      <c r="AA54" s="62">
        <f t="shared" si="20"/>
        <v>433329.18449637323</v>
      </c>
      <c r="AB54" s="56">
        <f t="shared" si="11"/>
        <v>0</v>
      </c>
      <c r="AC54" s="44">
        <f t="shared" si="0"/>
        <v>0</v>
      </c>
      <c r="AD54" s="6"/>
      <c r="AE54" s="62">
        <f>N54*$AA$14</f>
        <v>445245.73707002355</v>
      </c>
      <c r="AF54" s="50">
        <f t="shared" si="12"/>
        <v>0</v>
      </c>
      <c r="AG54" s="50">
        <f>NPV($C$11,R55:R$55)</f>
        <v>0</v>
      </c>
      <c r="AH54" s="83">
        <f t="shared" si="18"/>
        <v>445245.73707002122</v>
      </c>
      <c r="AI54" s="57"/>
    </row>
    <row r="55" spans="1:35" ht="15" x14ac:dyDescent="0.25">
      <c r="A55" s="21"/>
      <c r="C55" s="37"/>
      <c r="D55" s="38"/>
      <c r="E55" s="38"/>
      <c r="F55" s="37"/>
      <c r="G55" s="37"/>
      <c r="U55" s="44"/>
      <c r="V55" s="44"/>
      <c r="W55" s="44"/>
      <c r="X55" s="44"/>
      <c r="AB55"/>
      <c r="AE55" s="50"/>
    </row>
    <row r="56" spans="1:35" ht="15" x14ac:dyDescent="0.25">
      <c r="A56" s="21"/>
      <c r="C56" s="37"/>
      <c r="D56" s="38"/>
      <c r="E56" s="38"/>
      <c r="F56" s="37"/>
      <c r="G56" s="37"/>
      <c r="AB56"/>
      <c r="AE56" s="50"/>
    </row>
    <row r="57" spans="1:35" ht="15" x14ac:dyDescent="0.25">
      <c r="A57" s="21"/>
      <c r="C57" s="37"/>
      <c r="D57" s="38"/>
      <c r="E57" s="38"/>
      <c r="F57" s="37"/>
      <c r="G57" s="37"/>
      <c r="AB57"/>
      <c r="AE57" s="50"/>
    </row>
    <row r="58" spans="1:35" ht="15" x14ac:dyDescent="0.25">
      <c r="AB58"/>
      <c r="AE58" s="50"/>
    </row>
    <row r="59" spans="1:35" ht="15" x14ac:dyDescent="0.25">
      <c r="AB59"/>
      <c r="AE59" s="50"/>
    </row>
    <row r="60" spans="1:35" x14ac:dyDescent="0.2">
      <c r="AE60" s="50"/>
    </row>
    <row r="61" spans="1:35" x14ac:dyDescent="0.2">
      <c r="AE61" s="50"/>
    </row>
    <row r="62" spans="1:35" x14ac:dyDescent="0.2">
      <c r="AE62" s="50"/>
    </row>
    <row r="63" spans="1:35" x14ac:dyDescent="0.2">
      <c r="AE63" s="50"/>
    </row>
    <row r="64" spans="1:35" x14ac:dyDescent="0.2">
      <c r="AE64" s="50"/>
    </row>
    <row r="65" spans="31:31" x14ac:dyDescent="0.2">
      <c r="AE65" s="50"/>
    </row>
    <row r="66" spans="31:31" x14ac:dyDescent="0.2">
      <c r="AE66" s="50"/>
    </row>
    <row r="67" spans="31:31" x14ac:dyDescent="0.2">
      <c r="AE67" s="50"/>
    </row>
    <row r="68" spans="31:31" x14ac:dyDescent="0.2">
      <c r="AE68" s="50"/>
    </row>
    <row r="69" spans="31:31" x14ac:dyDescent="0.2">
      <c r="AE69" s="50"/>
    </row>
    <row r="70" spans="31:31" x14ac:dyDescent="0.2">
      <c r="AE70" s="50"/>
    </row>
    <row r="71" spans="31:31" x14ac:dyDescent="0.2">
      <c r="AE71" s="50"/>
    </row>
  </sheetData>
  <mergeCells count="3">
    <mergeCell ref="H16:R16"/>
    <mergeCell ref="U16:AA16"/>
    <mergeCell ref="AE16:AG16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pane xSplit="1" ySplit="19" topLeftCell="S20" activePane="bottomRight" state="frozen"/>
      <selection pane="topRight" activeCell="B1" sqref="B1"/>
      <selection pane="bottomLeft" activeCell="A20" sqref="A20"/>
      <selection pane="bottomRight" activeCell="I6" sqref="I6:P6"/>
    </sheetView>
  </sheetViews>
  <sheetFormatPr defaultColWidth="8.85546875" defaultRowHeight="12.75" x14ac:dyDescent="0.2"/>
  <cols>
    <col min="1" max="1" width="10.5703125" style="2" customWidth="1"/>
    <col min="2" max="2" width="12.5703125" style="21" customWidth="1"/>
    <col min="3" max="7" width="13.140625" style="2" customWidth="1"/>
    <col min="8" max="18" width="14.5703125" style="2" customWidth="1"/>
    <col min="19" max="19" width="16.5703125" style="2" customWidth="1"/>
    <col min="20" max="33" width="14.5703125" style="2" customWidth="1"/>
    <col min="34" max="34" width="22.42578125" style="2" bestFit="1" customWidth="1"/>
    <col min="35" max="35" width="11.140625" style="2" bestFit="1" customWidth="1"/>
    <col min="36" max="36" width="8.85546875" style="2"/>
    <col min="37" max="37" width="9.85546875" style="2" bestFit="1" customWidth="1"/>
    <col min="38" max="16384" width="8.85546875" style="2"/>
  </cols>
  <sheetData>
    <row r="1" spans="1:37" x14ac:dyDescent="0.2">
      <c r="Z1" s="25"/>
      <c r="AK1" s="25"/>
    </row>
    <row r="2" spans="1:37" s="24" customFormat="1" ht="18" x14ac:dyDescent="0.25">
      <c r="A2" s="39" t="s">
        <v>47</v>
      </c>
      <c r="B2" s="40"/>
      <c r="Y2" s="41"/>
      <c r="AF2" s="41"/>
    </row>
    <row r="3" spans="1:37" x14ac:dyDescent="0.2">
      <c r="J3" s="80" t="s">
        <v>31</v>
      </c>
      <c r="K3" s="80" t="s">
        <v>0</v>
      </c>
      <c r="L3" s="80" t="s">
        <v>19</v>
      </c>
      <c r="M3" s="80" t="s">
        <v>33</v>
      </c>
      <c r="N3" s="80" t="s">
        <v>1</v>
      </c>
      <c r="O3" s="80" t="s">
        <v>28</v>
      </c>
      <c r="P3" s="80" t="s">
        <v>26</v>
      </c>
    </row>
    <row r="4" spans="1:37" x14ac:dyDescent="0.2">
      <c r="A4" s="3" t="s">
        <v>60</v>
      </c>
      <c r="J4" s="79">
        <v>194371620.88757056</v>
      </c>
      <c r="K4" s="79">
        <v>-48592905.22189264</v>
      </c>
      <c r="L4" s="79">
        <v>-2915574.3133135582</v>
      </c>
      <c r="M4" s="79">
        <v>-11276335.423562501</v>
      </c>
      <c r="N4" s="79">
        <v>-53304604.359051205</v>
      </c>
      <c r="O4" s="79">
        <v>-799569.06538576807</v>
      </c>
      <c r="P4" s="79">
        <v>3866210.2772895396</v>
      </c>
    </row>
    <row r="5" spans="1:37" x14ac:dyDescent="0.2">
      <c r="J5" s="79">
        <v>190363958.60122892</v>
      </c>
      <c r="K5" s="79">
        <v>-47590989.650307231</v>
      </c>
      <c r="L5" s="79">
        <v>-2855459.3790184339</v>
      </c>
      <c r="M5" s="79">
        <v>-11043833.662251933</v>
      </c>
      <c r="N5" s="79">
        <v>-52205540.3516481</v>
      </c>
      <c r="O5" s="79">
        <v>-783083.10527472151</v>
      </c>
      <c r="P5" s="79">
        <v>3947604.1778640556</v>
      </c>
    </row>
    <row r="6" spans="1:37" x14ac:dyDescent="0.2">
      <c r="A6" s="2" t="s">
        <v>51</v>
      </c>
      <c r="C6" s="45" t="s">
        <v>52</v>
      </c>
      <c r="I6" s="81" t="s">
        <v>75</v>
      </c>
      <c r="J6" s="82">
        <f>J4-J5</f>
        <v>4007662.2863416374</v>
      </c>
      <c r="K6" s="82">
        <f t="shared" ref="K6:P6" si="0">K4-K5</f>
        <v>-1001915.5715854093</v>
      </c>
      <c r="L6" s="82">
        <f t="shared" si="0"/>
        <v>-60114.934295124374</v>
      </c>
      <c r="M6" s="82">
        <f t="shared" si="0"/>
        <v>-232501.76131056808</v>
      </c>
      <c r="N6" s="82">
        <f t="shared" si="0"/>
        <v>-1099064.0074031055</v>
      </c>
      <c r="O6" s="82">
        <f t="shared" si="0"/>
        <v>-16485.960111046559</v>
      </c>
      <c r="P6" s="82">
        <f t="shared" si="0"/>
        <v>-81393.900574516039</v>
      </c>
    </row>
    <row r="7" spans="1:37" x14ac:dyDescent="0.2">
      <c r="C7" s="45"/>
    </row>
    <row r="8" spans="1:37" x14ac:dyDescent="0.2">
      <c r="A8" s="3" t="s">
        <v>65</v>
      </c>
      <c r="C8" s="45"/>
    </row>
    <row r="9" spans="1:37" x14ac:dyDescent="0.2">
      <c r="C9" s="45"/>
    </row>
    <row r="10" spans="1:37" x14ac:dyDescent="0.2">
      <c r="A10" s="12" t="s">
        <v>23</v>
      </c>
      <c r="C10" s="46">
        <f>risk_free_rate</f>
        <v>2.75E-2</v>
      </c>
    </row>
    <row r="11" spans="1:37" x14ac:dyDescent="0.2">
      <c r="A11" s="8" t="s">
        <v>6</v>
      </c>
      <c r="C11" s="46">
        <f>risk_disc_rate</f>
        <v>0.125</v>
      </c>
    </row>
    <row r="12" spans="1:37" x14ac:dyDescent="0.2">
      <c r="AB12" s="78" t="s">
        <v>74</v>
      </c>
    </row>
    <row r="13" spans="1:37" x14ac:dyDescent="0.2">
      <c r="C13" s="21"/>
      <c r="F13" s="21"/>
      <c r="S13" s="25"/>
      <c r="U13" s="21"/>
      <c r="V13" s="21"/>
      <c r="W13" s="21"/>
      <c r="X13" s="21"/>
      <c r="Y13" s="21"/>
      <c r="Z13" s="21"/>
    </row>
    <row r="14" spans="1:37" x14ac:dyDescent="0.2">
      <c r="H14" s="2" t="s">
        <v>34</v>
      </c>
      <c r="J14" s="50">
        <f>NPV($C$10,J20:J54)*(1+$C$10)</f>
        <v>2339383362.8153605</v>
      </c>
      <c r="K14" s="50">
        <f>NPV($C$10,K20:K54)*(1+$C$10)</f>
        <v>-584845840.70384014</v>
      </c>
      <c r="L14" s="50">
        <f>NPV($C$10,L20:L54)*(1+$C$10)</f>
        <v>-35090750.442230418</v>
      </c>
      <c r="M14" s="50">
        <f>NPV($C$10,M20:M54)*(1+$C$10)</f>
        <v>-153557722.61055863</v>
      </c>
      <c r="N14" s="50">
        <f>NPV($C$10,N20:N54)</f>
        <v>-1292298080.9331551</v>
      </c>
      <c r="O14" s="50">
        <f>NPV($C$10,O20:O54)</f>
        <v>-19384471.213997319</v>
      </c>
      <c r="P14" s="50">
        <f>NPV($C$10,P20:P54)</f>
        <v>45719388.2936856</v>
      </c>
      <c r="Q14" s="50" t="s">
        <v>45</v>
      </c>
      <c r="R14" s="50">
        <f>NPV($C$11,R20:R54)</f>
        <v>380264750.13041562</v>
      </c>
      <c r="U14" s="6"/>
      <c r="V14" s="6"/>
      <c r="W14" s="6"/>
      <c r="X14" s="6"/>
      <c r="Y14" s="6"/>
      <c r="Z14" s="6"/>
    </row>
    <row r="15" spans="1:37" x14ac:dyDescent="0.2">
      <c r="J15" s="26"/>
      <c r="K15" s="26"/>
      <c r="L15" s="26"/>
      <c r="M15" s="26"/>
      <c r="N15" s="26"/>
      <c r="O15" s="26"/>
      <c r="P15" s="26"/>
      <c r="Q15" s="26"/>
      <c r="R15" s="26"/>
      <c r="S15" s="25"/>
    </row>
    <row r="16" spans="1:37" x14ac:dyDescent="0.2">
      <c r="A16" s="27"/>
      <c r="B16" s="28"/>
      <c r="C16" s="29" t="s">
        <v>32</v>
      </c>
      <c r="D16" s="29"/>
      <c r="E16" s="29"/>
      <c r="F16" s="30"/>
      <c r="G16" s="31"/>
      <c r="H16" s="51" t="s">
        <v>44</v>
      </c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32"/>
      <c r="U16" s="51" t="s">
        <v>37</v>
      </c>
      <c r="V16" s="52"/>
      <c r="W16" s="52"/>
      <c r="X16" s="52"/>
      <c r="Y16" s="52"/>
      <c r="Z16" s="52"/>
      <c r="AA16" s="53"/>
      <c r="AB16" s="33"/>
      <c r="AC16" s="34" t="s">
        <v>7</v>
      </c>
      <c r="AD16" s="33"/>
      <c r="AE16" s="51" t="s">
        <v>46</v>
      </c>
      <c r="AF16" s="52"/>
      <c r="AG16" s="53"/>
    </row>
    <row r="17" spans="1:35" ht="38.25" x14ac:dyDescent="0.2">
      <c r="A17" s="20" t="s">
        <v>16</v>
      </c>
      <c r="B17" s="20" t="s">
        <v>15</v>
      </c>
      <c r="C17" s="21" t="s">
        <v>9</v>
      </c>
      <c r="D17" s="21" t="s">
        <v>10</v>
      </c>
      <c r="E17" s="20" t="s">
        <v>14</v>
      </c>
      <c r="F17" s="21" t="s">
        <v>11</v>
      </c>
      <c r="G17" s="21"/>
      <c r="H17" s="19" t="s">
        <v>29</v>
      </c>
      <c r="I17" s="19" t="s">
        <v>30</v>
      </c>
      <c r="J17" s="18" t="s">
        <v>31</v>
      </c>
      <c r="K17" s="18" t="s">
        <v>0</v>
      </c>
      <c r="L17" s="19" t="s">
        <v>19</v>
      </c>
      <c r="M17" s="19" t="s">
        <v>33</v>
      </c>
      <c r="N17" s="18" t="s">
        <v>1</v>
      </c>
      <c r="O17" s="19" t="s">
        <v>28</v>
      </c>
      <c r="P17" s="18" t="s">
        <v>26</v>
      </c>
      <c r="Q17" s="19" t="s">
        <v>27</v>
      </c>
      <c r="R17" s="19" t="s">
        <v>8</v>
      </c>
      <c r="U17" s="19" t="s">
        <v>24</v>
      </c>
      <c r="V17" s="19" t="s">
        <v>38</v>
      </c>
      <c r="W17" s="19" t="s">
        <v>39</v>
      </c>
      <c r="X17" s="19" t="s">
        <v>40</v>
      </c>
      <c r="Y17" s="19" t="s">
        <v>41</v>
      </c>
      <c r="Z17" s="19" t="s">
        <v>42</v>
      </c>
      <c r="AA17" s="19" t="s">
        <v>73</v>
      </c>
      <c r="AB17" s="61" t="s">
        <v>71</v>
      </c>
      <c r="AC17" s="19" t="s">
        <v>66</v>
      </c>
      <c r="AD17" s="19"/>
      <c r="AE17" s="19" t="s">
        <v>25</v>
      </c>
      <c r="AF17" s="19" t="s">
        <v>43</v>
      </c>
      <c r="AG17" s="19" t="s">
        <v>36</v>
      </c>
      <c r="AH17" s="35"/>
    </row>
    <row r="18" spans="1:35" x14ac:dyDescent="0.2">
      <c r="C18" s="21" t="s">
        <v>13</v>
      </c>
      <c r="D18" s="21" t="s">
        <v>13</v>
      </c>
      <c r="E18" s="21"/>
      <c r="F18" s="21" t="s">
        <v>13</v>
      </c>
      <c r="G18" s="21"/>
      <c r="H18" s="21"/>
      <c r="I18" s="21"/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13</v>
      </c>
      <c r="O18" s="21" t="s">
        <v>13</v>
      </c>
      <c r="P18" s="21" t="s">
        <v>13</v>
      </c>
      <c r="Q18" s="21" t="s">
        <v>13</v>
      </c>
      <c r="R18" s="21" t="s">
        <v>13</v>
      </c>
      <c r="AA18" s="58" t="s">
        <v>12</v>
      </c>
      <c r="AE18" s="21" t="s">
        <v>13</v>
      </c>
      <c r="AF18" s="21" t="s">
        <v>13</v>
      </c>
      <c r="AG18" s="21" t="s">
        <v>13</v>
      </c>
      <c r="AH18" s="35"/>
    </row>
    <row r="19" spans="1:35" ht="15" x14ac:dyDescent="0.25">
      <c r="B19" s="36">
        <v>42004</v>
      </c>
      <c r="C19" s="21"/>
      <c r="D19" s="21"/>
      <c r="E19" s="21"/>
      <c r="F19" s="49">
        <v>1</v>
      </c>
      <c r="G19" s="21"/>
      <c r="H19" s="43">
        <f>num_pol_if</f>
        <v>100000</v>
      </c>
      <c r="I19" s="43">
        <f>si_if</f>
        <v>45000000000</v>
      </c>
      <c r="J19" s="43">
        <f>prem_if</f>
        <v>222750000</v>
      </c>
      <c r="K19" s="44"/>
      <c r="L19" s="44"/>
      <c r="M19" s="44"/>
      <c r="N19" s="44"/>
      <c r="O19" s="44"/>
      <c r="P19" s="44"/>
      <c r="Q19" s="44"/>
      <c r="R19" s="44"/>
      <c r="S19" s="6"/>
      <c r="T19" s="44"/>
      <c r="Y19" s="44"/>
      <c r="Z19" s="44"/>
      <c r="AA19" s="44"/>
      <c r="AB19" s="56">
        <f>-SUM(V20:Z20)-U20</f>
        <v>-254206496.91157889</v>
      </c>
      <c r="AC19" s="44">
        <f t="shared" ref="AC19:AC54" si="1">MAX(0,(-(1+clm_margin)*Y20*(1+claim_exp_pc*(1+clm_exp_margin))-(1+pp_exp_margin)*X20-W20-V20-U20))*($C$6="Y")</f>
        <v>0</v>
      </c>
      <c r="AD19" s="6"/>
      <c r="AE19" s="50"/>
      <c r="AF19" s="50">
        <f>-SUM(V20:Z20)-U20+AA20</f>
        <v>-183777813.94286299</v>
      </c>
      <c r="AG19" s="50">
        <f>NPV($C$11,R20:R$55)</f>
        <v>380264750.13041562</v>
      </c>
      <c r="AH19" s="6"/>
    </row>
    <row r="20" spans="1:35" ht="15" x14ac:dyDescent="0.25">
      <c r="A20" s="21">
        <v>1</v>
      </c>
      <c r="B20" s="47">
        <f>YEAR(B19)+1</f>
        <v>2015</v>
      </c>
      <c r="C20" s="49">
        <f t="shared" ref="C20:C54" si="2">qx*(1+clm_rate_inc)^(A20-1)</f>
        <v>1E-3</v>
      </c>
      <c r="D20" s="42">
        <f t="shared" ref="D20:D54" si="3">VLOOKUP(A20,lapse_rate,2)</f>
        <v>0.05</v>
      </c>
      <c r="E20" s="42">
        <f t="shared" ref="E20:E54" si="4">VLOOKUP(A20,exp_rate,3)</f>
        <v>0</v>
      </c>
      <c r="F20" s="49">
        <f>F19*(1-C20)*(1-D20)*(1-E20)</f>
        <v>0.94904999999999995</v>
      </c>
      <c r="G20" s="37"/>
      <c r="H20" s="50">
        <f>+H$19*$F19</f>
        <v>100000</v>
      </c>
      <c r="I20" s="50">
        <f t="shared" ref="I20:I54" si="5">+I$19*F19*(1+si_index)^(A20-1)</f>
        <v>45000000000</v>
      </c>
      <c r="J20" s="50">
        <f>+J$19*$F19</f>
        <v>222750000</v>
      </c>
      <c r="K20" s="50">
        <f t="shared" ref="K20:K54" si="6">-J20*ren_comm</f>
        <v>-55687500</v>
      </c>
      <c r="L20" s="50">
        <f t="shared" ref="L20:L54" si="7">-J20*prem_exp</f>
        <v>-3341250</v>
      </c>
      <c r="M20" s="50">
        <f t="shared" ref="M20:M54" si="8">-H20*pp_expense*(1+exp_index)^(A20-1)</f>
        <v>-12000000</v>
      </c>
      <c r="N20" s="50">
        <f>-I20*C20</f>
        <v>-45000000</v>
      </c>
      <c r="O20" s="50">
        <f t="shared" ref="O20:O54" si="9">+N20*claim_exp_pc</f>
        <v>-675000</v>
      </c>
      <c r="P20" s="50">
        <f t="shared" ref="P20:P54" si="10">inv_income_pa*(AC19+J20+K20+L20+M20)</f>
        <v>4551637.5</v>
      </c>
      <c r="Q20" s="50">
        <f t="shared" ref="Q20:Q54" si="11">+AC19-AC20</f>
        <v>0</v>
      </c>
      <c r="R20" s="50">
        <f>SUM(J20:Q20)</f>
        <v>110597887.5</v>
      </c>
      <c r="S20" s="64">
        <f>Q20+AC19*0.03</f>
        <v>0</v>
      </c>
      <c r="T20" s="44"/>
      <c r="U20" s="50">
        <f>NPV($C$10,J20:J$54)*(1+$C$10)</f>
        <v>2339383362.8153605</v>
      </c>
      <c r="V20" s="50">
        <f>NPV($C$10,K20:K$54)*(1+$C$10)</f>
        <v>-584845840.70384014</v>
      </c>
      <c r="W20" s="50">
        <f>NPV($C$10,L20:L$54)*(1+$C$10)</f>
        <v>-35090750.442230418</v>
      </c>
      <c r="X20" s="50">
        <f>NPV($C$10,M20:M$54)*(1+$C$10)</f>
        <v>-153557722.61055863</v>
      </c>
      <c r="Y20" s="50">
        <f>NPV($C$10,N20:N$54)</f>
        <v>-1292298080.9331551</v>
      </c>
      <c r="Z20" s="50">
        <f>NPV($C$10,O20:O$54)</f>
        <v>-19384471.213997319</v>
      </c>
      <c r="AA20" s="55">
        <f>Y20*Model!$AA$14</f>
        <v>70428682.968715906</v>
      </c>
      <c r="AB20" s="56">
        <f t="shared" ref="AB20:AB54" si="12">-SUM(V21:Z21)-U21</f>
        <v>-150978591.20164871</v>
      </c>
      <c r="AC20" s="44">
        <f t="shared" si="1"/>
        <v>0</v>
      </c>
      <c r="AD20" s="6"/>
      <c r="AE20" s="62">
        <f>N20*Model!$AA$14</f>
        <v>2452445.5931279445</v>
      </c>
      <c r="AF20" s="50">
        <f t="shared" ref="AF20:AF54" si="13">-SUM(V21:Z21)-U21+AA21</f>
        <v>-81065565.044421092</v>
      </c>
      <c r="AG20" s="50">
        <f>NPV($C$11,R21:R$55)</f>
        <v>317199956.39671761</v>
      </c>
      <c r="AH20" s="6">
        <f>SUM(J20:O20)+(AF19+J20+K20+L20+M20)*inv_income_pa-(AF20-AF19)</f>
        <v>2372304.1832722127</v>
      </c>
      <c r="AI20" s="25"/>
    </row>
    <row r="21" spans="1:35" ht="15" x14ac:dyDescent="0.25">
      <c r="A21" s="21">
        <f>+A20+1</f>
        <v>2</v>
      </c>
      <c r="B21" s="47">
        <f>+B20+1</f>
        <v>2016</v>
      </c>
      <c r="C21" s="49">
        <f t="shared" si="2"/>
        <v>1.075E-3</v>
      </c>
      <c r="D21" s="42">
        <f t="shared" si="3"/>
        <v>0.05</v>
      </c>
      <c r="E21" s="42">
        <f t="shared" si="4"/>
        <v>0</v>
      </c>
      <c r="F21" s="49">
        <f t="shared" ref="F21:F50" si="14">F20*(1-C21)*(1-D21)*(1-E21)</f>
        <v>0.90062828268749984</v>
      </c>
      <c r="G21" s="37"/>
      <c r="H21" s="50">
        <f t="shared" ref="H21:H54" si="15">+H$19*$F20</f>
        <v>94905</v>
      </c>
      <c r="I21" s="50">
        <f t="shared" si="5"/>
        <v>43988467500</v>
      </c>
      <c r="J21" s="50">
        <f t="shared" ref="J21:J54" si="16">+$J$19*F20</f>
        <v>211400887.5</v>
      </c>
      <c r="K21" s="50">
        <f t="shared" si="6"/>
        <v>-52850221.875</v>
      </c>
      <c r="L21" s="50">
        <f t="shared" si="7"/>
        <v>-3171013.3125</v>
      </c>
      <c r="M21" s="50">
        <f t="shared" si="8"/>
        <v>-11673314.999999998</v>
      </c>
      <c r="N21" s="50">
        <f t="shared" ref="N21:N54" si="17">-I21*C21</f>
        <v>-47287602.5625</v>
      </c>
      <c r="O21" s="50">
        <f t="shared" si="9"/>
        <v>-709314.03843750001</v>
      </c>
      <c r="P21" s="50">
        <f t="shared" si="10"/>
        <v>4311190.1193749998</v>
      </c>
      <c r="Q21" s="50">
        <f t="shared" si="11"/>
        <v>0</v>
      </c>
      <c r="R21" s="50">
        <f t="shared" ref="R21:R54" si="18">SUM(J21:Q21)</f>
        <v>100020610.8309375</v>
      </c>
      <c r="S21" s="6"/>
      <c r="T21" s="44"/>
      <c r="U21" s="50">
        <f>NPV($C$10,J21:J$54)*(1+$C$10)</f>
        <v>2174840780.2927837</v>
      </c>
      <c r="V21" s="50">
        <f>NPV($C$10,K21:K$54)*(1+$C$10)</f>
        <v>-543710195.07319593</v>
      </c>
      <c r="W21" s="50">
        <f>NPV($C$10,L21:L$54)*(1+$C$10)</f>
        <v>-32622611.704391766</v>
      </c>
      <c r="X21" s="50">
        <f>NPV($C$10,M21:M$54)*(1+$C$10)</f>
        <v>-145450559.98234892</v>
      </c>
      <c r="Y21" s="50">
        <f>NPV($C$10,N21:N$54)</f>
        <v>-1282836278.1588161</v>
      </c>
      <c r="Z21" s="50">
        <f>NPV($C$10,O21:O$54)</f>
        <v>-19242544.17238225</v>
      </c>
      <c r="AA21" s="55">
        <f>Y21*Model!$AA$14</f>
        <v>69913026.15722762</v>
      </c>
      <c r="AB21" s="56">
        <f t="shared" si="12"/>
        <v>-55469157.472036839</v>
      </c>
      <c r="AC21" s="44">
        <f t="shared" si="1"/>
        <v>0</v>
      </c>
      <c r="AD21" s="6"/>
      <c r="AE21" s="62">
        <f>N21*Model!$AA$14</f>
        <v>2577117.1669775294</v>
      </c>
      <c r="AF21" s="50">
        <f t="shared" si="13"/>
        <v>13789359.737537056</v>
      </c>
      <c r="AG21" s="50">
        <f>NPV($C$11,R22:R$55)</f>
        <v>256829340.11536986</v>
      </c>
      <c r="AH21" s="6">
        <f>SUM(J21:O21)+(AF20+J21+K21+L21+M21)*inv_income_pa-(AF21-AF20)</f>
        <v>2733719.0976467133</v>
      </c>
      <c r="AI21" s="25"/>
    </row>
    <row r="22" spans="1:35" ht="15" x14ac:dyDescent="0.25">
      <c r="A22" s="21">
        <f t="shared" ref="A22:B37" si="19">+A21+1</f>
        <v>3</v>
      </c>
      <c r="B22" s="47">
        <f t="shared" si="19"/>
        <v>2017</v>
      </c>
      <c r="C22" s="49">
        <f t="shared" si="2"/>
        <v>1.155625E-3</v>
      </c>
      <c r="D22" s="65">
        <v>0.03</v>
      </c>
      <c r="E22" s="42">
        <f t="shared" si="4"/>
        <v>0</v>
      </c>
      <c r="F22" s="49">
        <f t="shared" si="14"/>
        <v>0.87259986930446942</v>
      </c>
      <c r="G22" s="37"/>
      <c r="H22" s="50">
        <f t="shared" si="15"/>
        <v>90062.828268749989</v>
      </c>
      <c r="I22" s="50">
        <f t="shared" si="5"/>
        <v>42996444529.642586</v>
      </c>
      <c r="J22" s="50">
        <f t="shared" si="16"/>
        <v>200614949.9686406</v>
      </c>
      <c r="K22" s="50">
        <f t="shared" si="6"/>
        <v>-50153737.492160149</v>
      </c>
      <c r="L22" s="50">
        <f t="shared" si="7"/>
        <v>-3009224.249529609</v>
      </c>
      <c r="M22" s="50">
        <f t="shared" si="8"/>
        <v>-11354671.073982652</v>
      </c>
      <c r="N22" s="50">
        <f t="shared" si="17"/>
        <v>-49687766.20956821</v>
      </c>
      <c r="O22" s="50">
        <f t="shared" si="9"/>
        <v>-745316.49314352311</v>
      </c>
      <c r="P22" s="50">
        <f t="shared" si="10"/>
        <v>4082919.5145890457</v>
      </c>
      <c r="Q22" s="50">
        <f t="shared" si="11"/>
        <v>0</v>
      </c>
      <c r="R22" s="50">
        <f t="shared" si="18"/>
        <v>89747153.964845508</v>
      </c>
      <c r="S22" s="6"/>
      <c r="T22" s="44"/>
      <c r="U22" s="50">
        <f>NPV($C$10,J22:J$54)*(1+$C$10)</f>
        <v>2017434489.8445849</v>
      </c>
      <c r="V22" s="50">
        <f>NPV($C$10,K22:K$54)*(1+$C$10)</f>
        <v>-504358622.46114624</v>
      </c>
      <c r="W22" s="50">
        <f>NPV($C$10,L22:L$54)*(1+$C$10)</f>
        <v>-30261517.347668771</v>
      </c>
      <c r="X22" s="50">
        <f>NPV($C$10,M22:M$54)*(1+$C$10)</f>
        <v>-137456119.21936354</v>
      </c>
      <c r="Y22" s="50">
        <f>NPV($C$10,N22:N$54)</f>
        <v>-1270826673.2456844</v>
      </c>
      <c r="Z22" s="50">
        <f>NPV($C$10,O22:O$54)</f>
        <v>-19062400.098685265</v>
      </c>
      <c r="AA22" s="55">
        <f>Y22*Model!$AA$14</f>
        <v>69258517.209573895</v>
      </c>
      <c r="AB22" s="56">
        <f t="shared" si="12"/>
        <v>32412351.36944437</v>
      </c>
      <c r="AC22" s="44">
        <f t="shared" si="1"/>
        <v>0</v>
      </c>
      <c r="AD22" s="6"/>
      <c r="AE22" s="62">
        <f>N22*Model!$AA$14</f>
        <v>2707923.1838450478</v>
      </c>
      <c r="AF22" s="50">
        <f t="shared" si="13"/>
        <v>100867554.61843649</v>
      </c>
      <c r="AG22" s="50">
        <f>NPV($C$11,R23:R$55)</f>
        <v>199185853.66494551</v>
      </c>
      <c r="AH22" s="6">
        <f>SUM(J22:O22)+(AF21+J22+K22+L22+M22)*inv_income_pa-(AF22-AF21)</f>
        <v>3082639.8760721982</v>
      </c>
      <c r="AI22" s="25"/>
    </row>
    <row r="23" spans="1:35" ht="15" x14ac:dyDescent="0.25">
      <c r="A23" s="66">
        <f t="shared" si="19"/>
        <v>4</v>
      </c>
      <c r="B23" s="67">
        <f t="shared" si="19"/>
        <v>2018</v>
      </c>
      <c r="C23" s="68">
        <f t="shared" si="2"/>
        <v>1.2422968749999999E-3</v>
      </c>
      <c r="D23" s="69">
        <f t="shared" si="3"/>
        <v>0.05</v>
      </c>
      <c r="E23" s="69">
        <f t="shared" si="4"/>
        <v>0</v>
      </c>
      <c r="F23" s="68">
        <f t="shared" si="14"/>
        <v>0.82794004915302166</v>
      </c>
      <c r="G23" s="70"/>
      <c r="H23" s="71">
        <f t="shared" si="15"/>
        <v>87259.986930446947</v>
      </c>
      <c r="I23" s="71">
        <f t="shared" si="5"/>
        <v>42908104682.345924</v>
      </c>
      <c r="J23" s="71">
        <f t="shared" si="16"/>
        <v>194371620.88757056</v>
      </c>
      <c r="K23" s="71">
        <f t="shared" si="6"/>
        <v>-48592905.22189264</v>
      </c>
      <c r="L23" s="71">
        <f t="shared" si="7"/>
        <v>-2915574.3133135582</v>
      </c>
      <c r="M23" s="71">
        <f t="shared" si="8"/>
        <v>-11276335.423562501</v>
      </c>
      <c r="N23" s="71">
        <f t="shared" si="17"/>
        <v>-53304604.359051205</v>
      </c>
      <c r="O23" s="71">
        <f t="shared" si="9"/>
        <v>-799569.06538576807</v>
      </c>
      <c r="P23" s="71">
        <f t="shared" si="10"/>
        <v>3947604.1778640556</v>
      </c>
      <c r="Q23" s="71">
        <f t="shared" si="11"/>
        <v>0</v>
      </c>
      <c r="R23" s="71">
        <f t="shared" si="18"/>
        <v>81430236.682228953</v>
      </c>
      <c r="S23" s="72"/>
      <c r="T23" s="73"/>
      <c r="U23" s="71">
        <f>NPV($C$10,J23:J$54)*(1+$C$10)</f>
        <v>1866782077.2225342</v>
      </c>
      <c r="V23" s="71">
        <f>NPV($C$10,K23:K$54)*(1+$C$10)</f>
        <v>-466695519.30563354</v>
      </c>
      <c r="W23" s="71">
        <f>NPV($C$10,L23:L$54)*(1+$C$10)</f>
        <v>-28001731.15833801</v>
      </c>
      <c r="X23" s="71">
        <f>NPV($C$10,M23:M$54)*(1+$C$10)</f>
        <v>-129569237.96937895</v>
      </c>
      <c r="Y23" s="71">
        <f>NPV($C$10,N23:N$54)</f>
        <v>-1256086640.5503724</v>
      </c>
      <c r="Z23" s="71">
        <f>NPV($C$10,O23:O$54)</f>
        <v>-18841299.608255584</v>
      </c>
      <c r="AA23" s="76">
        <f>Y23*Model!$AA$14</f>
        <v>68455203.248992115</v>
      </c>
      <c r="AB23" s="75">
        <f t="shared" si="12"/>
        <v>114404960.69951105</v>
      </c>
      <c r="AC23" s="73">
        <f t="shared" si="1"/>
        <v>0</v>
      </c>
      <c r="AD23" s="72"/>
      <c r="AE23" s="77">
        <f>N23*Model!$AA$14</f>
        <v>2905036.4900840833</v>
      </c>
      <c r="AF23" s="71">
        <f t="shared" si="13"/>
        <v>181837645.54776639</v>
      </c>
      <c r="AG23" s="71">
        <f>NPV($C$11,R24:R$55)</f>
        <v>142653848.69083473</v>
      </c>
      <c r="AH23" s="6">
        <f>SUM(J23:O23)+(AF22+J23+K23+L23+M23)*inv_income_pa-(AF23-AF22)</f>
        <v>3486172.3914521486</v>
      </c>
      <c r="AI23" s="25"/>
    </row>
    <row r="24" spans="1:35" ht="15" x14ac:dyDescent="0.25">
      <c r="A24" s="21">
        <f t="shared" si="19"/>
        <v>5</v>
      </c>
      <c r="B24" s="47">
        <f t="shared" si="19"/>
        <v>2019</v>
      </c>
      <c r="C24" s="49">
        <f t="shared" si="2"/>
        <v>1.3354691406249999E-3</v>
      </c>
      <c r="D24" s="42">
        <f t="shared" si="3"/>
        <v>0.05</v>
      </c>
      <c r="E24" s="42">
        <f t="shared" si="4"/>
        <v>0</v>
      </c>
      <c r="F24" s="49">
        <f t="shared" si="14"/>
        <v>0.78549264272873576</v>
      </c>
      <c r="G24" s="37"/>
      <c r="H24" s="50">
        <f t="shared" si="15"/>
        <v>82794.004915302168</v>
      </c>
      <c r="I24" s="50">
        <f t="shared" si="5"/>
        <v>41933421876.310143</v>
      </c>
      <c r="J24" s="50">
        <f t="shared" si="16"/>
        <v>184423645.94883558</v>
      </c>
      <c r="K24" s="50">
        <f t="shared" si="6"/>
        <v>-46105911.487208895</v>
      </c>
      <c r="L24" s="50">
        <f t="shared" si="7"/>
        <v>-2766354.6892325338</v>
      </c>
      <c r="M24" s="50">
        <f t="shared" si="8"/>
        <v>-10966690.787037615</v>
      </c>
      <c r="N24" s="50">
        <f t="shared" si="17"/>
        <v>-56000790.876621477</v>
      </c>
      <c r="O24" s="50">
        <f t="shared" si="9"/>
        <v>-840011.8631493221</v>
      </c>
      <c r="P24" s="50">
        <f t="shared" si="10"/>
        <v>3737540.669560696</v>
      </c>
      <c r="Q24" s="50">
        <f t="shared" si="11"/>
        <v>0</v>
      </c>
      <c r="R24" s="50">
        <f t="shared" si="18"/>
        <v>71481426.91514644</v>
      </c>
      <c r="S24" s="6"/>
      <c r="T24" s="44"/>
      <c r="U24" s="50">
        <f>NPV($C$10,J24:J$54)*(1+$C$10)</f>
        <v>1718401743.8841751</v>
      </c>
      <c r="V24" s="50">
        <f>NPV($C$10,K24:K$54)*(1+$C$10)</f>
        <v>-429600435.97104377</v>
      </c>
      <c r="W24" s="50">
        <f>NPV($C$10,L24:L$54)*(1+$C$10)</f>
        <v>-25776026.158262618</v>
      </c>
      <c r="X24" s="50">
        <f>NPV($C$10,M24:M$54)*(1+$C$10)</f>
        <v>-121545957.36582635</v>
      </c>
      <c r="Y24" s="50">
        <f>NPV($C$10,N24:N$54)</f>
        <v>-1237324418.8064566</v>
      </c>
      <c r="Z24" s="50">
        <f>NPV($C$10,O24:O$54)</f>
        <v>-18559866.282096848</v>
      </c>
      <c r="AA24" s="55">
        <f>Y24*Model!$AA$14</f>
        <v>67432684.848255321</v>
      </c>
      <c r="AB24" s="56">
        <f t="shared" si="12"/>
        <v>188721062.31143045</v>
      </c>
      <c r="AC24" s="44">
        <f t="shared" si="1"/>
        <v>0</v>
      </c>
      <c r="AD24" s="6"/>
      <c r="AE24" s="62">
        <f>N24*Model!$AA$14</f>
        <v>3051975.3954899986</v>
      </c>
      <c r="AF24" s="50">
        <f t="shared" si="13"/>
        <v>254956170.59752283</v>
      </c>
      <c r="AG24" s="50">
        <f>NPV($C$11,R25:R$55)</f>
        <v>89004152.862042636</v>
      </c>
      <c r="AH24" s="6">
        <f>SUM(J24:O24)+(AF23+J24+K24+L24+M24)*inv_income_pa-(AF24-AF23)</f>
        <v>3818031.2318229824</v>
      </c>
      <c r="AI24" s="25"/>
    </row>
    <row r="25" spans="1:35" ht="15" x14ac:dyDescent="0.25">
      <c r="A25" s="21">
        <f t="shared" si="19"/>
        <v>6</v>
      </c>
      <c r="B25" s="47">
        <f t="shared" si="19"/>
        <v>2020</v>
      </c>
      <c r="C25" s="49">
        <f t="shared" si="2"/>
        <v>1.435629326171875E-3</v>
      </c>
      <c r="D25" s="42">
        <f t="shared" si="3"/>
        <v>0.05</v>
      </c>
      <c r="E25" s="42">
        <f t="shared" si="4"/>
        <v>0</v>
      </c>
      <c r="F25" s="49">
        <f t="shared" si="14"/>
        <v>0.74514671813257505</v>
      </c>
      <c r="G25" s="37"/>
      <c r="H25" s="50">
        <f t="shared" si="15"/>
        <v>78549.264272873581</v>
      </c>
      <c r="I25" s="50">
        <f t="shared" si="5"/>
        <v>40977056532.096703</v>
      </c>
      <c r="J25" s="50">
        <f t="shared" si="16"/>
        <v>174968486.16782588</v>
      </c>
      <c r="K25" s="50">
        <f t="shared" si="6"/>
        <v>-43742121.541956469</v>
      </c>
      <c r="L25" s="50">
        <f t="shared" si="7"/>
        <v>-2624527.2925173882</v>
      </c>
      <c r="M25" s="50">
        <f t="shared" si="8"/>
        <v>-10664553.925781434</v>
      </c>
      <c r="N25" s="50">
        <f t="shared" si="17"/>
        <v>-58827864.057680815</v>
      </c>
      <c r="O25" s="50">
        <f t="shared" si="9"/>
        <v>-882417.96086521226</v>
      </c>
      <c r="P25" s="50">
        <f t="shared" si="10"/>
        <v>3538118.5022271173</v>
      </c>
      <c r="Q25" s="50">
        <f t="shared" si="11"/>
        <v>0</v>
      </c>
      <c r="R25" s="50">
        <f t="shared" si="18"/>
        <v>61765119.891251676</v>
      </c>
      <c r="S25" s="6"/>
      <c r="T25" s="44"/>
      <c r="U25" s="50">
        <f>NPV($C$10,J25:J$54)*(1+$C$10)</f>
        <v>1576162495.6285617</v>
      </c>
      <c r="V25" s="50">
        <f>NPV($C$10,K25:K$54)*(1+$C$10)</f>
        <v>-394040623.90714043</v>
      </c>
      <c r="W25" s="50">
        <f>NPV($C$10,L25:L$54)*(1+$C$10)</f>
        <v>-23642437.434428409</v>
      </c>
      <c r="X25" s="50">
        <f>NPV($C$10,M25:M$54)*(1+$C$10)</f>
        <v>-113620196.4097054</v>
      </c>
      <c r="Y25" s="50">
        <f>NPV($C$10,N25:N$54)</f>
        <v>-1215350049.4470129</v>
      </c>
      <c r="Z25" s="50">
        <f>NPV($C$10,O25:O$54)</f>
        <v>-18230250.741705187</v>
      </c>
      <c r="AA25" s="55">
        <f>Y25*Model!$AA$14</f>
        <v>66235108.286092363</v>
      </c>
      <c r="AB25" s="56">
        <f t="shared" si="12"/>
        <v>255381168.20772815</v>
      </c>
      <c r="AC25" s="44">
        <f t="shared" si="1"/>
        <v>0</v>
      </c>
      <c r="AD25" s="6"/>
      <c r="AE25" s="62">
        <f>N25*Model!$AA$14</f>
        <v>3206047.4658086472</v>
      </c>
      <c r="AF25" s="50">
        <f t="shared" si="13"/>
        <v>320231694.5058794</v>
      </c>
      <c r="AG25" s="50">
        <f>NPV($C$11,R26:R$55)</f>
        <v>38364552.078546301</v>
      </c>
      <c r="AH25" s="6">
        <f>SUM(J25:O25)+(AF24+J25+K25+L25+M25)*inv_income_pa-(AF25-AF24)</f>
        <v>4138281.1008207798</v>
      </c>
      <c r="AI25" s="25"/>
    </row>
    <row r="26" spans="1:35" ht="15" x14ac:dyDescent="0.25">
      <c r="A26" s="21">
        <f t="shared" si="19"/>
        <v>7</v>
      </c>
      <c r="B26" s="47">
        <f t="shared" si="19"/>
        <v>2021</v>
      </c>
      <c r="C26" s="49">
        <f t="shared" si="2"/>
        <v>1.5433015256347653E-3</v>
      </c>
      <c r="D26" s="42">
        <f t="shared" si="3"/>
        <v>0.05</v>
      </c>
      <c r="E26" s="42">
        <f t="shared" si="4"/>
        <v>0</v>
      </c>
      <c r="F26" s="49">
        <f t="shared" si="14"/>
        <v>0.70679689546237634</v>
      </c>
      <c r="G26" s="37"/>
      <c r="H26" s="50">
        <f t="shared" si="15"/>
        <v>74514.671813257504</v>
      </c>
      <c r="I26" s="50">
        <f t="shared" si="5"/>
        <v>40038486751.676186</v>
      </c>
      <c r="J26" s="50">
        <f t="shared" si="16"/>
        <v>165981431.4640311</v>
      </c>
      <c r="K26" s="50">
        <f t="shared" si="6"/>
        <v>-41495357.866007775</v>
      </c>
      <c r="L26" s="50">
        <f t="shared" si="7"/>
        <v>-2489721.4719604664</v>
      </c>
      <c r="M26" s="50">
        <f t="shared" si="8"/>
        <v>-10369700.935455395</v>
      </c>
      <c r="N26" s="50">
        <f t="shared" si="17"/>
        <v>-61791457.687969193</v>
      </c>
      <c r="O26" s="50">
        <f t="shared" si="9"/>
        <v>-926871.86531953781</v>
      </c>
      <c r="P26" s="50">
        <f t="shared" si="10"/>
        <v>3348799.5357182235</v>
      </c>
      <c r="Q26" s="50">
        <f t="shared" si="11"/>
        <v>0</v>
      </c>
      <c r="R26" s="50">
        <f t="shared" si="18"/>
        <v>52257121.173036955</v>
      </c>
      <c r="S26" s="6"/>
      <c r="T26" s="44"/>
      <c r="U26" s="50">
        <f>NPV($C$10,J26:J$54)*(1+$C$10)</f>
        <v>1439726844.7209058</v>
      </c>
      <c r="V26" s="50">
        <f>NPV($C$10,K26:K$54)*(1+$C$10)</f>
        <v>-359931711.18022645</v>
      </c>
      <c r="W26" s="50">
        <f>NPV($C$10,L26:L$54)*(1+$C$10)</f>
        <v>-21595902.670813583</v>
      </c>
      <c r="X26" s="50">
        <f>NPV($C$10,M26:M$54)*(1+$C$10)</f>
        <v>-105786922.65223192</v>
      </c>
      <c r="Y26" s="50">
        <f>NPV($C$10,N26:N$54)</f>
        <v>-1189944311.749125</v>
      </c>
      <c r="Z26" s="50">
        <f>NPV($C$10,O26:O$54)</f>
        <v>-17849164.676236864</v>
      </c>
      <c r="AA26" s="55">
        <f>Y26*Model!$AA$14</f>
        <v>64850526.298151262</v>
      </c>
      <c r="AB26" s="56">
        <f t="shared" si="12"/>
        <v>314382204.87850046</v>
      </c>
      <c r="AC26" s="44">
        <f t="shared" si="1"/>
        <v>0</v>
      </c>
      <c r="AD26" s="6"/>
      <c r="AE26" s="62">
        <f>N26*Model!$AA$14</f>
        <v>3367559.7355513754</v>
      </c>
      <c r="AF26" s="50">
        <f t="shared" si="13"/>
        <v>377648560.91429949</v>
      </c>
      <c r="AG26" s="50">
        <f>NPV($C$11,R27:R$55)</f>
        <v>-9097000.0846724454</v>
      </c>
      <c r="AH26" s="6">
        <f>SUM(J26:O26)+(AF25+J26+K26+L26+M26)*inv_income_pa-(AF26-AF25)</f>
        <v>4447205.5997932479</v>
      </c>
      <c r="AI26" s="25"/>
    </row>
    <row r="27" spans="1:35" ht="15" x14ac:dyDescent="0.25">
      <c r="A27" s="21">
        <f t="shared" si="19"/>
        <v>8</v>
      </c>
      <c r="B27" s="47">
        <f t="shared" si="19"/>
        <v>2022</v>
      </c>
      <c r="C27" s="49">
        <f t="shared" si="2"/>
        <v>1.6590491400573729E-3</v>
      </c>
      <c r="D27" s="42">
        <f t="shared" si="3"/>
        <v>0.05</v>
      </c>
      <c r="E27" s="42">
        <f t="shared" si="4"/>
        <v>0</v>
      </c>
      <c r="F27" s="49">
        <f t="shared" si="14"/>
        <v>0.67034307044672603</v>
      </c>
      <c r="G27" s="37"/>
      <c r="H27" s="50">
        <f t="shared" si="15"/>
        <v>70679.689546237627</v>
      </c>
      <c r="I27" s="50">
        <f t="shared" si="5"/>
        <v>39117196345.167473</v>
      </c>
      <c r="J27" s="50">
        <f t="shared" si="16"/>
        <v>157439008.46424434</v>
      </c>
      <c r="K27" s="50">
        <f t="shared" si="6"/>
        <v>-39359752.116061084</v>
      </c>
      <c r="L27" s="50">
        <f t="shared" si="7"/>
        <v>-2361585.1269636648</v>
      </c>
      <c r="M27" s="50">
        <f t="shared" si="8"/>
        <v>-10081912.80447657</v>
      </c>
      <c r="N27" s="50">
        <f t="shared" si="17"/>
        <v>-64897350.957905509</v>
      </c>
      <c r="O27" s="50">
        <f t="shared" si="9"/>
        <v>-973460.26436858263</v>
      </c>
      <c r="P27" s="50">
        <f t="shared" si="10"/>
        <v>3169072.7525022901</v>
      </c>
      <c r="Q27" s="50">
        <f t="shared" si="11"/>
        <v>0</v>
      </c>
      <c r="R27" s="50">
        <f t="shared" si="18"/>
        <v>42934019.946971208</v>
      </c>
      <c r="S27" s="6"/>
      <c r="T27" s="44"/>
      <c r="U27" s="50">
        <f>NPV($C$10,J27:J$54)*(1+$C$10)</f>
        <v>1308773412.121439</v>
      </c>
      <c r="V27" s="50">
        <f>NPV($C$10,K27:K$54)*(1+$C$10)</f>
        <v>-327193353.03035975</v>
      </c>
      <c r="W27" s="50">
        <f>NPV($C$10,L27:L$54)*(1+$C$10)</f>
        <v>-19631601.181821581</v>
      </c>
      <c r="X27" s="50">
        <f>NPV($C$10,M27:M$54)*(1+$C$10)</f>
        <v>-98041195.313987881</v>
      </c>
      <c r="Y27" s="50">
        <f>NPV($C$10,N27:N$54)</f>
        <v>-1160876322.6342566</v>
      </c>
      <c r="Z27" s="50">
        <f>NPV($C$10,O27:O$54)</f>
        <v>-17413144.839513846</v>
      </c>
      <c r="AA27" s="55">
        <f>Y27*Model!$AA$14</f>
        <v>63266356.035799034</v>
      </c>
      <c r="AB27" s="56">
        <f t="shared" si="12"/>
        <v>365697646.0635891</v>
      </c>
      <c r="AC27" s="44">
        <f t="shared" si="1"/>
        <v>0</v>
      </c>
      <c r="AD27" s="6"/>
      <c r="AE27" s="62">
        <f>N27*Model!$AA$14</f>
        <v>3536827.1636087322</v>
      </c>
      <c r="AF27" s="50">
        <f t="shared" si="13"/>
        <v>427166999.72676384</v>
      </c>
      <c r="AG27" s="50">
        <f>NPV($C$11,R28:R$55)</f>
        <v>-53168145.042227685</v>
      </c>
      <c r="AH27" s="6">
        <f>SUM(J27:O27)+(AF26+J27+K27+L27+M27)*inv_income_pa-(AF27-AF26)</f>
        <v>4745037.9619358331</v>
      </c>
      <c r="AI27" s="25"/>
    </row>
    <row r="28" spans="1:35" ht="15" x14ac:dyDescent="0.25">
      <c r="A28" s="21">
        <f t="shared" si="19"/>
        <v>9</v>
      </c>
      <c r="B28" s="47">
        <f t="shared" si="19"/>
        <v>2023</v>
      </c>
      <c r="C28" s="49">
        <f t="shared" si="2"/>
        <v>1.7834778255616758E-3</v>
      </c>
      <c r="D28" s="42">
        <f t="shared" si="3"/>
        <v>0.05</v>
      </c>
      <c r="E28" s="42">
        <f t="shared" si="4"/>
        <v>0</v>
      </c>
      <c r="F28" s="49">
        <f t="shared" si="14"/>
        <v>0.63569015202281209</v>
      </c>
      <c r="G28" s="37"/>
      <c r="H28" s="50">
        <f t="shared" si="15"/>
        <v>67034.307044672605</v>
      </c>
      <c r="I28" s="50">
        <f t="shared" si="5"/>
        <v>38212674565.834061</v>
      </c>
      <c r="J28" s="50">
        <f t="shared" si="16"/>
        <v>149318918.94200823</v>
      </c>
      <c r="K28" s="50">
        <f t="shared" si="6"/>
        <v>-37329729.735502057</v>
      </c>
      <c r="L28" s="50">
        <f t="shared" si="7"/>
        <v>-2239783.7841301234</v>
      </c>
      <c r="M28" s="50">
        <f t="shared" si="8"/>
        <v>-9800975.2722958308</v>
      </c>
      <c r="N28" s="50">
        <f t="shared" si="17"/>
        <v>-68151457.743569687</v>
      </c>
      <c r="O28" s="50">
        <f t="shared" si="9"/>
        <v>-1022271.8661535452</v>
      </c>
      <c r="P28" s="50">
        <f t="shared" si="10"/>
        <v>2998452.9045024058</v>
      </c>
      <c r="Q28" s="50">
        <f t="shared" si="11"/>
        <v>0</v>
      </c>
      <c r="R28" s="50">
        <f t="shared" si="18"/>
        <v>33773153.444859378</v>
      </c>
      <c r="S28" s="6"/>
      <c r="T28" s="44"/>
      <c r="U28" s="50">
        <f>NPV($C$10,J28:J$54)*(1+$C$10)</f>
        <v>1182996099.757767</v>
      </c>
      <c r="V28" s="50">
        <f>NPV($C$10,K28:K$54)*(1+$C$10)</f>
        <v>-295749024.93944174</v>
      </c>
      <c r="W28" s="50">
        <f>NPV($C$10,L28:L$54)*(1+$C$10)</f>
        <v>-17744941.496366508</v>
      </c>
      <c r="X28" s="50">
        <f>NPV($C$10,M28:M$54)*(1+$C$10)</f>
        <v>-90378162.778522864</v>
      </c>
      <c r="Y28" s="50">
        <f>NPV($C$10,N28:N$54)</f>
        <v>-1127903070.5487931</v>
      </c>
      <c r="Z28" s="50">
        <f>NPV($C$10,O28:O$54)</f>
        <v>-16918546.058231894</v>
      </c>
      <c r="AA28" s="55">
        <f>Y28*Model!$AA$14</f>
        <v>61469353.663174771</v>
      </c>
      <c r="AB28" s="56">
        <f t="shared" si="12"/>
        <v>409277613.69982243</v>
      </c>
      <c r="AC28" s="44">
        <f t="shared" si="1"/>
        <v>0</v>
      </c>
      <c r="AD28" s="6"/>
      <c r="AE28" s="62">
        <f>N28*Model!$AA$14</f>
        <v>3714172.0490769516</v>
      </c>
      <c r="AF28" s="50">
        <f t="shared" si="13"/>
        <v>468723202.53965759</v>
      </c>
      <c r="AG28" s="50">
        <f>NPV($C$11,R29:R$55)</f>
        <v>-93587316.617365524</v>
      </c>
      <c r="AH28" s="6">
        <f>SUM(J28:O28)+(AF27+J28+K28+L28+M28)*inv_income_pa-(AF28-AF27)</f>
        <v>5031960.6237685457</v>
      </c>
      <c r="AI28" s="25"/>
    </row>
    <row r="29" spans="1:35" ht="15" x14ac:dyDescent="0.25">
      <c r="A29" s="21">
        <f t="shared" si="19"/>
        <v>10</v>
      </c>
      <c r="B29" s="47">
        <f t="shared" si="19"/>
        <v>2024</v>
      </c>
      <c r="C29" s="49">
        <f t="shared" si="2"/>
        <v>1.9172386624788013E-3</v>
      </c>
      <c r="D29" s="42">
        <f t="shared" si="3"/>
        <v>0.05</v>
      </c>
      <c r="E29" s="42">
        <f t="shared" si="4"/>
        <v>0.05</v>
      </c>
      <c r="F29" s="49">
        <f t="shared" si="14"/>
        <v>0.57261042251311212</v>
      </c>
      <c r="G29" s="37"/>
      <c r="H29" s="50">
        <f t="shared" si="15"/>
        <v>63569.015202281211</v>
      </c>
      <c r="I29" s="50">
        <f t="shared" si="5"/>
        <v>37324415861.266541</v>
      </c>
      <c r="J29" s="50">
        <f t="shared" si="16"/>
        <v>141599981.3630814</v>
      </c>
      <c r="K29" s="50">
        <f t="shared" si="6"/>
        <v>-35399995.340770349</v>
      </c>
      <c r="L29" s="50">
        <f t="shared" si="7"/>
        <v>-2123999.7204462211</v>
      </c>
      <c r="M29" s="50">
        <f t="shared" si="8"/>
        <v>-9526678.694660306</v>
      </c>
      <c r="N29" s="50">
        <f t="shared" si="17"/>
        <v>-71559813.143657222</v>
      </c>
      <c r="O29" s="50">
        <f t="shared" si="9"/>
        <v>-1073397.1971548584</v>
      </c>
      <c r="P29" s="50">
        <f t="shared" si="10"/>
        <v>2836479.2282161359</v>
      </c>
      <c r="Q29" s="50">
        <f t="shared" si="11"/>
        <v>0</v>
      </c>
      <c r="R29" s="50">
        <f t="shared" si="18"/>
        <v>24752576.494608581</v>
      </c>
      <c r="S29" s="6"/>
      <c r="T29" s="44"/>
      <c r="U29" s="50">
        <f>NPV($C$10,J29:J$54)*(1+$C$10)</f>
        <v>1062103303.2881923</v>
      </c>
      <c r="V29" s="50">
        <f>NPV($C$10,K29:K$54)*(1+$C$10)</f>
        <v>-265525825.82204807</v>
      </c>
      <c r="W29" s="50">
        <f>NPV($C$10,L29:L$54)*(1+$C$10)</f>
        <v>-15931549.549322885</v>
      </c>
      <c r="X29" s="50">
        <f>NPV($C$10,M29:M$54)*(1+$C$10)</f>
        <v>-82793060.162648335</v>
      </c>
      <c r="Y29" s="50">
        <f>NPV($C$10,N29:N$54)</f>
        <v>-1090768947.2453158</v>
      </c>
      <c r="Z29" s="50">
        <f>NPV($C$10,O29:O$54)</f>
        <v>-16361534.208679734</v>
      </c>
      <c r="AA29" s="55">
        <f>Y29*Model!$AA$14</f>
        <v>59445588.839835159</v>
      </c>
      <c r="AB29" s="56">
        <f t="shared" si="12"/>
        <v>445048951.30215788</v>
      </c>
      <c r="AC29" s="44">
        <f t="shared" si="1"/>
        <v>0</v>
      </c>
      <c r="AD29" s="6"/>
      <c r="AE29" s="62">
        <f>N29*Model!$AA$14</f>
        <v>3899923.2975382516</v>
      </c>
      <c r="AF29" s="50">
        <f t="shared" si="13"/>
        <v>502229370.53755027</v>
      </c>
      <c r="AG29" s="50">
        <f>NPV($C$11,R30:R$55)</f>
        <v>-130038307.68914479</v>
      </c>
      <c r="AH29" s="6">
        <f>SUM(J29:O29)+(AF28+J29+K29+L29+M29)*inv_income_pa-(AF29-AF28)</f>
        <v>5308104.5729056299</v>
      </c>
      <c r="AI29" s="25"/>
    </row>
    <row r="30" spans="1:35" ht="15" x14ac:dyDescent="0.25">
      <c r="A30" s="21">
        <f t="shared" si="19"/>
        <v>11</v>
      </c>
      <c r="B30" s="47">
        <f t="shared" si="19"/>
        <v>2025</v>
      </c>
      <c r="C30" s="49">
        <f t="shared" si="2"/>
        <v>2.0610315621647111E-3</v>
      </c>
      <c r="D30" s="42">
        <f t="shared" si="3"/>
        <v>0.05</v>
      </c>
      <c r="E30" s="42">
        <f t="shared" si="4"/>
        <v>0.05</v>
      </c>
      <c r="F30" s="49">
        <f t="shared" si="14"/>
        <v>0.515715804559438</v>
      </c>
      <c r="G30" s="37"/>
      <c r="H30" s="50">
        <f t="shared" si="15"/>
        <v>57261.042251311213</v>
      </c>
      <c r="I30" s="50">
        <f t="shared" si="5"/>
        <v>34629323660.933823</v>
      </c>
      <c r="J30" s="50">
        <f t="shared" si="16"/>
        <v>127548971.61479573</v>
      </c>
      <c r="K30" s="50">
        <f t="shared" si="6"/>
        <v>-31887242.903698932</v>
      </c>
      <c r="L30" s="50">
        <f t="shared" si="7"/>
        <v>-1913234.5742219358</v>
      </c>
      <c r="M30" s="50">
        <f t="shared" si="8"/>
        <v>-8795877.0204573665</v>
      </c>
      <c r="N30" s="50">
        <f t="shared" si="17"/>
        <v>-71372129.041601822</v>
      </c>
      <c r="O30" s="50">
        <f t="shared" si="9"/>
        <v>-1070581.9356240274</v>
      </c>
      <c r="P30" s="50">
        <f t="shared" si="10"/>
        <v>2548578.5134925242</v>
      </c>
      <c r="Q30" s="50">
        <f t="shared" si="11"/>
        <v>0</v>
      </c>
      <c r="R30" s="50">
        <f t="shared" si="18"/>
        <v>15058484.652684158</v>
      </c>
      <c r="S30" s="6"/>
      <c r="T30" s="44"/>
      <c r="U30" s="50">
        <f>NPV($C$10,J30:J$54)*(1+$C$10)</f>
        <v>945817163.27805161</v>
      </c>
      <c r="V30" s="50">
        <f>NPV($C$10,K30:K$54)*(1+$C$10)</f>
        <v>-236454290.8195129</v>
      </c>
      <c r="W30" s="50">
        <f>NPV($C$10,L30:L$54)*(1+$C$10)</f>
        <v>-14187257.449170774</v>
      </c>
      <c r="X30" s="50">
        <f>NPV($C$10,M30:M$54)*(1+$C$10)</f>
        <v>-75281206.958357692</v>
      </c>
      <c r="Y30" s="50">
        <f>NPV($C$10,N30:N$54)</f>
        <v>-1049205280.1509047</v>
      </c>
      <c r="Z30" s="50">
        <f>NPV($C$10,O30:O$54)</f>
        <v>-15738079.202263568</v>
      </c>
      <c r="AA30" s="55">
        <f>Y30*Model!$AA$14</f>
        <v>57180419.235392369</v>
      </c>
      <c r="AB30" s="56">
        <f t="shared" si="12"/>
        <v>472133900.57286012</v>
      </c>
      <c r="AC30" s="44">
        <f t="shared" si="1"/>
        <v>0</v>
      </c>
      <c r="AD30" s="6"/>
      <c r="AE30" s="62">
        <f>N30*Model!$AA$14</f>
        <v>3889694.7408941197</v>
      </c>
      <c r="AF30" s="50">
        <f t="shared" si="13"/>
        <v>526997086.59633166</v>
      </c>
      <c r="AG30" s="50">
        <f>NPV($C$11,R31:R$55)</f>
        <v>-161351580.80297208</v>
      </c>
      <c r="AH30" s="6">
        <f>SUM(J30:O30)+(AF29+J30+K30+L30+M30)*inv_income_pa-(AF30-AF29)</f>
        <v>5357649.7100292817</v>
      </c>
      <c r="AI30" s="25"/>
    </row>
    <row r="31" spans="1:35" ht="15" x14ac:dyDescent="0.25">
      <c r="A31" s="21">
        <f t="shared" si="19"/>
        <v>12</v>
      </c>
      <c r="B31" s="47">
        <f t="shared" si="19"/>
        <v>2026</v>
      </c>
      <c r="C31" s="49">
        <f t="shared" si="2"/>
        <v>2.2156089293270645E-3</v>
      </c>
      <c r="D31" s="42">
        <f t="shared" si="3"/>
        <v>0.05</v>
      </c>
      <c r="E31" s="42">
        <f t="shared" si="4"/>
        <v>0.05</v>
      </c>
      <c r="F31" s="49">
        <f t="shared" si="14"/>
        <v>0.46440229496611957</v>
      </c>
      <c r="G31" s="37"/>
      <c r="H31" s="50">
        <f t="shared" si="15"/>
        <v>51571.580455943797</v>
      </c>
      <c r="I31" s="50">
        <f t="shared" si="5"/>
        <v>32124207795.258713</v>
      </c>
      <c r="J31" s="50">
        <f t="shared" si="16"/>
        <v>114875695.46561481</v>
      </c>
      <c r="K31" s="50">
        <f t="shared" si="6"/>
        <v>-28718923.866403703</v>
      </c>
      <c r="L31" s="50">
        <f t="shared" si="7"/>
        <v>-1723135.431984222</v>
      </c>
      <c r="M31" s="50">
        <f t="shared" si="8"/>
        <v>-8119965.9165562056</v>
      </c>
      <c r="N31" s="50">
        <f t="shared" si="17"/>
        <v>-71174681.638733298</v>
      </c>
      <c r="O31" s="50">
        <f t="shared" si="9"/>
        <v>-1067620.2245809995</v>
      </c>
      <c r="P31" s="50">
        <f t="shared" si="10"/>
        <v>2289410.1075201207</v>
      </c>
      <c r="Q31" s="50">
        <f t="shared" si="11"/>
        <v>0</v>
      </c>
      <c r="R31" s="50">
        <f t="shared" si="18"/>
        <v>6360778.4948765095</v>
      </c>
      <c r="S31" s="6"/>
      <c r="T31" s="44"/>
      <c r="U31" s="50">
        <f>NPV($C$10,J31:J$54)*(1+$C$10)</f>
        <v>840770566.93399537</v>
      </c>
      <c r="V31" s="50">
        <f>NPV($C$10,K31:K$54)*(1+$C$10)</f>
        <v>-210192641.73349884</v>
      </c>
      <c r="W31" s="50">
        <f>NPV($C$10,L31:L$54)*(1+$C$10)</f>
        <v>-12611558.504009934</v>
      </c>
      <c r="X31" s="50">
        <f>NPV($C$10,M31:M$54)*(1+$C$10)</f>
        <v>-68313676.51119256</v>
      </c>
      <c r="Y31" s="50">
        <f>NPV($C$10,N31:N$54)</f>
        <v>-1006686296.3134526</v>
      </c>
      <c r="Z31" s="50">
        <f>NPV($C$10,O31:O$54)</f>
        <v>-15100294.444701789</v>
      </c>
      <c r="AA31" s="55">
        <f>Y31*Model!$AA$14</f>
        <v>54863186.023471534</v>
      </c>
      <c r="AB31" s="56">
        <f t="shared" si="12"/>
        <v>491287577.15786397</v>
      </c>
      <c r="AC31" s="44">
        <f t="shared" si="1"/>
        <v>0</v>
      </c>
      <c r="AD31" s="6"/>
      <c r="AE31" s="62">
        <f>N31*Model!$AA$14</f>
        <v>3878934.0961599089</v>
      </c>
      <c r="AF31" s="50">
        <f t="shared" si="13"/>
        <v>543780566.70082104</v>
      </c>
      <c r="AG31" s="50">
        <f>NPV($C$11,R32:R$55)</f>
        <v>-187881306.89822012</v>
      </c>
      <c r="AH31" s="6">
        <f>SUM(J31:O31)+(AF30+J31+K31+L31+M31)*inv_income_pa-(AF31-AF30)</f>
        <v>5387210.9882770739</v>
      </c>
      <c r="AI31" s="25"/>
    </row>
    <row r="32" spans="1:35" ht="15" x14ac:dyDescent="0.25">
      <c r="A32" s="21">
        <f t="shared" si="19"/>
        <v>13</v>
      </c>
      <c r="B32" s="47">
        <f t="shared" si="19"/>
        <v>2027</v>
      </c>
      <c r="C32" s="49">
        <f t="shared" si="2"/>
        <v>2.3817795990265945E-3</v>
      </c>
      <c r="D32" s="42">
        <f t="shared" si="3"/>
        <v>0.05</v>
      </c>
      <c r="E32" s="42">
        <f t="shared" si="4"/>
        <v>0.05</v>
      </c>
      <c r="F32" s="49">
        <f t="shared" si="14"/>
        <v>0.41812481242644078</v>
      </c>
      <c r="G32" s="37"/>
      <c r="H32" s="50">
        <f t="shared" si="15"/>
        <v>46440.229496611959</v>
      </c>
      <c r="I32" s="50">
        <f t="shared" si="5"/>
        <v>29795698256.593285</v>
      </c>
      <c r="J32" s="50">
        <f t="shared" si="16"/>
        <v>103445611.20370314</v>
      </c>
      <c r="K32" s="50">
        <f t="shared" si="6"/>
        <v>-25861402.800925784</v>
      </c>
      <c r="L32" s="50">
        <f t="shared" si="7"/>
        <v>-1551684.1680555469</v>
      </c>
      <c r="M32" s="50">
        <f t="shared" si="8"/>
        <v>-7494833.4774512015</v>
      </c>
      <c r="N32" s="50">
        <f t="shared" si="17"/>
        <v>-70966786.246306151</v>
      </c>
      <c r="O32" s="50">
        <f t="shared" si="9"/>
        <v>-1064501.7936945923</v>
      </c>
      <c r="P32" s="50">
        <f t="shared" si="10"/>
        <v>2056130.7227181175</v>
      </c>
      <c r="Q32" s="50">
        <f t="shared" si="11"/>
        <v>0</v>
      </c>
      <c r="R32" s="50">
        <f t="shared" si="18"/>
        <v>-1437466.5600120362</v>
      </c>
      <c r="S32" s="6"/>
      <c r="T32" s="44"/>
      <c r="U32" s="50">
        <f>NPV($C$10,J32:J$54)*(1+$C$10)</f>
        <v>745856980.43376124</v>
      </c>
      <c r="V32" s="50">
        <f>NPV($C$10,K32:K$54)*(1+$C$10)</f>
        <v>-186464245.10844031</v>
      </c>
      <c r="W32" s="50">
        <f>NPV($C$10,L32:L$54)*(1+$C$10)</f>
        <v>-11187854.706506416</v>
      </c>
      <c r="X32" s="50">
        <f>NPV($C$10,M32:M$54)*(1+$C$10)</f>
        <v>-61849037.635988861</v>
      </c>
      <c r="Y32" s="50">
        <f>NPV($C$10,N32:N$54)</f>
        <v>-963195487.82333946</v>
      </c>
      <c r="Z32" s="50">
        <f>NPV($C$10,O32:O$54)</f>
        <v>-14447932.31735009</v>
      </c>
      <c r="AA32" s="55">
        <f>Y32*Model!$AA$14</f>
        <v>52492989.542957105</v>
      </c>
      <c r="AB32" s="56">
        <f t="shared" si="12"/>
        <v>503189174.74279964</v>
      </c>
      <c r="AC32" s="44">
        <f t="shared" si="1"/>
        <v>0</v>
      </c>
      <c r="AD32" s="6"/>
      <c r="AE32" s="62">
        <f>N32*Model!$AA$14</f>
        <v>3867604.0486268075</v>
      </c>
      <c r="AF32" s="50">
        <f t="shared" si="13"/>
        <v>553258117.44956124</v>
      </c>
      <c r="AG32" s="50">
        <f>NPV($C$11,R33:R$55)</f>
        <v>-209929003.70048559</v>
      </c>
      <c r="AH32" s="6">
        <f>SUM(J32:O32)+(AF31+J32+K32+L32+M32)*inv_income_pa-(AF32-AF31)</f>
        <v>5398399.6922723986</v>
      </c>
      <c r="AI32" s="25"/>
    </row>
    <row r="33" spans="1:35" ht="15" x14ac:dyDescent="0.25">
      <c r="A33" s="21">
        <f t="shared" si="19"/>
        <v>14</v>
      </c>
      <c r="B33" s="47">
        <f t="shared" si="19"/>
        <v>2028</v>
      </c>
      <c r="C33" s="49">
        <f t="shared" si="2"/>
        <v>2.560413068953589E-3</v>
      </c>
      <c r="D33" s="42">
        <f t="shared" si="3"/>
        <v>0.05</v>
      </c>
      <c r="E33" s="42">
        <f t="shared" si="4"/>
        <v>0.05</v>
      </c>
      <c r="F33" s="49">
        <f t="shared" si="14"/>
        <v>0.37639145177350591</v>
      </c>
      <c r="G33" s="37"/>
      <c r="H33" s="50">
        <f t="shared" si="15"/>
        <v>41812.481242644077</v>
      </c>
      <c r="I33" s="50">
        <f t="shared" si="5"/>
        <v>27631367256.547787</v>
      </c>
      <c r="J33" s="50">
        <f t="shared" si="16"/>
        <v>93137301.967989683</v>
      </c>
      <c r="K33" s="50">
        <f t="shared" si="6"/>
        <v>-23284325.491997421</v>
      </c>
      <c r="L33" s="50">
        <f t="shared" si="7"/>
        <v>-1397059.5295198453</v>
      </c>
      <c r="M33" s="50">
        <f t="shared" si="8"/>
        <v>-6916676.0646805139</v>
      </c>
      <c r="N33" s="50">
        <f t="shared" si="17"/>
        <v>-70747713.836721227</v>
      </c>
      <c r="O33" s="50">
        <f t="shared" si="9"/>
        <v>-1061215.7075508183</v>
      </c>
      <c r="P33" s="50">
        <f t="shared" si="10"/>
        <v>1846177.2264537571</v>
      </c>
      <c r="Q33" s="50">
        <f t="shared" si="11"/>
        <v>0</v>
      </c>
      <c r="R33" s="50">
        <f t="shared" si="18"/>
        <v>-8423511.4360263832</v>
      </c>
      <c r="S33" s="6"/>
      <c r="T33" s="44"/>
      <c r="U33" s="50">
        <f>NPV($C$10,J33:J$54)*(1+$C$10)</f>
        <v>660077681.88388503</v>
      </c>
      <c r="V33" s="50">
        <f>NPV($C$10,K33:K$54)*(1+$C$10)</f>
        <v>-165019420.47097126</v>
      </c>
      <c r="W33" s="50">
        <f>NPV($C$10,L33:L$54)*(1+$C$10)</f>
        <v>-9901165.2282582726</v>
      </c>
      <c r="X33" s="50">
        <f>NPV($C$10,M33:M$54)*(1+$C$10)</f>
        <v>-55848944.772897467</v>
      </c>
      <c r="Y33" s="50">
        <f>NPV($C$10,N33:N$54)</f>
        <v>-918716577.4921751</v>
      </c>
      <c r="Z33" s="50">
        <f>NPV($C$10,O33:O$54)</f>
        <v>-13780748.662382623</v>
      </c>
      <c r="AA33" s="55">
        <f>Y33*Model!$AA$14</f>
        <v>50068942.706761613</v>
      </c>
      <c r="AB33" s="56">
        <f t="shared" si="12"/>
        <v>508449517.50999606</v>
      </c>
      <c r="AC33" s="44">
        <f t="shared" si="1"/>
        <v>0</v>
      </c>
      <c r="AD33" s="6"/>
      <c r="AE33" s="62">
        <f>N33*Model!$AA$14</f>
        <v>3855664.8671720861</v>
      </c>
      <c r="AF33" s="50">
        <f t="shared" si="13"/>
        <v>556039691.27402151</v>
      </c>
      <c r="AG33" s="50">
        <f>NPV($C$11,R34:R$55)</f>
        <v>-227746617.72701985</v>
      </c>
      <c r="AH33" s="6">
        <f>SUM(J33:O33)+(AF32+J33+K33+L33+M33)*inv_income_pa-(AF33-AF32)</f>
        <v>5392658.2630001921</v>
      </c>
      <c r="AI33" s="25"/>
    </row>
    <row r="34" spans="1:35" ht="15" x14ac:dyDescent="0.25">
      <c r="A34" s="21">
        <f t="shared" si="19"/>
        <v>15</v>
      </c>
      <c r="B34" s="47">
        <f t="shared" si="19"/>
        <v>2029</v>
      </c>
      <c r="C34" s="49">
        <f t="shared" si="2"/>
        <v>2.7524440491251082E-3</v>
      </c>
      <c r="D34" s="42">
        <f t="shared" si="3"/>
        <v>0.05</v>
      </c>
      <c r="E34" s="42">
        <f t="shared" si="4"/>
        <v>0.05</v>
      </c>
      <c r="F34" s="49">
        <f t="shared" si="14"/>
        <v>0.33875829846414213</v>
      </c>
      <c r="G34" s="37"/>
      <c r="H34" s="50">
        <f t="shared" si="15"/>
        <v>37639.145177350591</v>
      </c>
      <c r="I34" s="50">
        <f t="shared" si="5"/>
        <v>25619662911.415638</v>
      </c>
      <c r="J34" s="50">
        <f t="shared" si="16"/>
        <v>83841195.882548437</v>
      </c>
      <c r="K34" s="50">
        <f t="shared" si="6"/>
        <v>-20960298.970637109</v>
      </c>
      <c r="L34" s="50">
        <f t="shared" si="7"/>
        <v>-1257617.9382382266</v>
      </c>
      <c r="M34" s="50">
        <f t="shared" si="8"/>
        <v>-6381975.2135312837</v>
      </c>
      <c r="N34" s="50">
        <f t="shared" si="17"/>
        <v>-70516688.721117213</v>
      </c>
      <c r="O34" s="50">
        <f t="shared" si="9"/>
        <v>-1057750.3308167581</v>
      </c>
      <c r="P34" s="50">
        <f t="shared" si="10"/>
        <v>1657239.1128042543</v>
      </c>
      <c r="Q34" s="50">
        <f t="shared" si="11"/>
        <v>0</v>
      </c>
      <c r="R34" s="50">
        <f t="shared" si="18"/>
        <v>-14675896.178987905</v>
      </c>
      <c r="S34" s="6"/>
      <c r="T34" s="44"/>
      <c r="U34" s="50">
        <f>NPV($C$10,J34:J$54)*(1+$C$10)</f>
        <v>582531240.36358225</v>
      </c>
      <c r="V34" s="50">
        <f>NPV($C$10,K34:K$54)*(1+$C$10)</f>
        <v>-145632810.09089556</v>
      </c>
      <c r="W34" s="50">
        <f>NPV($C$10,L34:L$54)*(1+$C$10)</f>
        <v>-8737968.6054537334</v>
      </c>
      <c r="X34" s="50">
        <f>NPV($C$10,M34:M$54)*(1+$C$10)</f>
        <v>-50277906.097692907</v>
      </c>
      <c r="Y34" s="50">
        <f>NPV($C$10,N34:N$54)</f>
        <v>-873233569.53648865</v>
      </c>
      <c r="Z34" s="50">
        <f>NPV($C$10,O34:O$54)</f>
        <v>-13098503.543047331</v>
      </c>
      <c r="AA34" s="55">
        <f>Y34*Model!$AA$14</f>
        <v>47590173.764025472</v>
      </c>
      <c r="AB34" s="56">
        <f t="shared" si="12"/>
        <v>507617879.80313271</v>
      </c>
      <c r="AC34" s="44">
        <f t="shared" si="1"/>
        <v>0</v>
      </c>
      <c r="AD34" s="6"/>
      <c r="AE34" s="62">
        <f>N34*Model!$AA$14</f>
        <v>3843074.277690643</v>
      </c>
      <c r="AF34" s="50">
        <f t="shared" si="13"/>
        <v>552673709.06797826</v>
      </c>
      <c r="AG34" s="50">
        <f>NPV($C$11,R35:R$55)</f>
        <v>-241539048.7639094</v>
      </c>
      <c r="AH34" s="6">
        <f>SUM(J34:O34)+(AF33+J34+K34+L34+M34)*inv_income_pa-(AF34-AF33)</f>
        <v>5371276.7652759831</v>
      </c>
      <c r="AI34" s="25"/>
    </row>
    <row r="35" spans="1:35" ht="15" x14ac:dyDescent="0.25">
      <c r="A35" s="21">
        <f t="shared" si="19"/>
        <v>16</v>
      </c>
      <c r="B35" s="47">
        <f t="shared" si="19"/>
        <v>2030</v>
      </c>
      <c r="C35" s="49">
        <f t="shared" si="2"/>
        <v>2.9588773528094912E-3</v>
      </c>
      <c r="D35" s="42">
        <f t="shared" si="3"/>
        <v>0.05</v>
      </c>
      <c r="E35" s="42">
        <f t="shared" si="4"/>
        <v>0.05</v>
      </c>
      <c r="F35" s="49">
        <f t="shared" si="14"/>
        <v>0.30482474867158305</v>
      </c>
      <c r="G35" s="37"/>
      <c r="H35" s="50">
        <f t="shared" si="15"/>
        <v>33875.829846414214</v>
      </c>
      <c r="I35" s="50">
        <f t="shared" si="5"/>
        <v>23749847599.961262</v>
      </c>
      <c r="J35" s="50">
        <f t="shared" si="16"/>
        <v>75458410.982887655</v>
      </c>
      <c r="K35" s="50">
        <f t="shared" si="6"/>
        <v>-18864602.745721914</v>
      </c>
      <c r="L35" s="50">
        <f t="shared" si="7"/>
        <v>-1131876.1647433147</v>
      </c>
      <c r="M35" s="50">
        <f t="shared" si="8"/>
        <v>-5887476.2706196411</v>
      </c>
      <c r="N35" s="50">
        <f t="shared" si="17"/>
        <v>-70272886.196202233</v>
      </c>
      <c r="O35" s="50">
        <f t="shared" si="9"/>
        <v>-1054093.2929430334</v>
      </c>
      <c r="P35" s="50">
        <f t="shared" si="10"/>
        <v>1487233.6740540836</v>
      </c>
      <c r="Q35" s="50">
        <f t="shared" si="11"/>
        <v>0</v>
      </c>
      <c r="R35" s="50">
        <f t="shared" si="18"/>
        <v>-20265290.013288394</v>
      </c>
      <c r="S35" s="6"/>
      <c r="T35" s="44"/>
      <c r="U35" s="50">
        <f>NPV($C$10,J35:J$54)*(1+$C$10)</f>
        <v>512404020.70426208</v>
      </c>
      <c r="V35" s="50">
        <f>NPV($C$10,K35:K$54)*(1+$C$10)</f>
        <v>-128101005.17606552</v>
      </c>
      <c r="W35" s="50">
        <f>NPV($C$10,L35:L$54)*(1+$C$10)</f>
        <v>-7686060.3105639322</v>
      </c>
      <c r="X35" s="50">
        <f>NPV($C$10,M35:M$54)*(1+$C$10)</f>
        <v>-45103068.983476073</v>
      </c>
      <c r="Y35" s="50">
        <f>NPV($C$10,N35:N$54)</f>
        <v>-826730803.97762489</v>
      </c>
      <c r="Z35" s="50">
        <f>NPV($C$10,O35:O$54)</f>
        <v>-12400962.059664374</v>
      </c>
      <c r="AA35" s="55">
        <f>Y35*Model!$AA$14</f>
        <v>45055829.264845528</v>
      </c>
      <c r="AB35" s="56">
        <f t="shared" si="12"/>
        <v>501188145.344926</v>
      </c>
      <c r="AC35" s="44">
        <f t="shared" si="1"/>
        <v>0</v>
      </c>
      <c r="AD35" s="6"/>
      <c r="AE35" s="62">
        <f>N35*Model!$AA$14</f>
        <v>3829787.334850172</v>
      </c>
      <c r="AF35" s="50">
        <f t="shared" si="13"/>
        <v>543653222.57970464</v>
      </c>
      <c r="AG35" s="50">
        <f>NPV($C$11,R36:R$55)</f>
        <v>-251466139.84610972</v>
      </c>
      <c r="AH35" s="6">
        <f>SUM(J35:O35)+(AF34+J35+K35+L35+M35)*inv_income_pa-(AF35-AF34)</f>
        <v>5335407.7470245734</v>
      </c>
      <c r="AI35" s="25"/>
    </row>
    <row r="36" spans="1:35" ht="15" x14ac:dyDescent="0.25">
      <c r="A36" s="21">
        <f t="shared" si="19"/>
        <v>17</v>
      </c>
      <c r="B36" s="47">
        <f t="shared" si="19"/>
        <v>2031</v>
      </c>
      <c r="C36" s="49">
        <f t="shared" si="2"/>
        <v>3.1807931542702029E-3</v>
      </c>
      <c r="D36" s="42">
        <f t="shared" si="3"/>
        <v>0.05</v>
      </c>
      <c r="E36" s="42">
        <f t="shared" si="4"/>
        <v>0.05</v>
      </c>
      <c r="F36" s="49">
        <f t="shared" si="14"/>
        <v>0.2742292856884751</v>
      </c>
      <c r="G36" s="37"/>
      <c r="H36" s="50">
        <f t="shared" si="15"/>
        <v>30482.474867158304</v>
      </c>
      <c r="I36" s="50">
        <f t="shared" si="5"/>
        <v>22011940664.548145</v>
      </c>
      <c r="J36" s="50">
        <f t="shared" si="16"/>
        <v>67899712.766595125</v>
      </c>
      <c r="K36" s="50">
        <f t="shared" si="6"/>
        <v>-16974928.191648781</v>
      </c>
      <c r="L36" s="50">
        <f t="shared" si="7"/>
        <v>-1018495.6914989268</v>
      </c>
      <c r="M36" s="50">
        <f t="shared" si="8"/>
        <v>-5430168.6326329028</v>
      </c>
      <c r="N36" s="50">
        <f t="shared" si="17"/>
        <v>-70015430.177996635</v>
      </c>
      <c r="O36" s="50">
        <f t="shared" si="9"/>
        <v>-1050231.4526699495</v>
      </c>
      <c r="P36" s="50">
        <f t="shared" si="10"/>
        <v>1334283.6075244353</v>
      </c>
      <c r="Q36" s="50">
        <f t="shared" si="11"/>
        <v>0</v>
      </c>
      <c r="R36" s="50">
        <f t="shared" si="18"/>
        <v>-25255257.772327635</v>
      </c>
      <c r="S36" s="6"/>
      <c r="T36" s="44"/>
      <c r="U36" s="50">
        <f>NPV($C$10,J36:J$54)*(1+$C$10)</f>
        <v>448961613.98871231</v>
      </c>
      <c r="V36" s="50">
        <f>NPV($C$10,K36:K$54)*(1+$C$10)</f>
        <v>-112240403.49717808</v>
      </c>
      <c r="W36" s="50">
        <f>NPV($C$10,L36:L$54)*(1+$C$10)</f>
        <v>-6734424.2098306855</v>
      </c>
      <c r="X36" s="50">
        <f>NPV($C$10,M36:M$54)*(1+$C$10)</f>
        <v>-40294021.512459993</v>
      </c>
      <c r="Y36" s="50">
        <f>NPV($C$10,N36:N$54)</f>
        <v>-779193014.89080751</v>
      </c>
      <c r="Z36" s="50">
        <f>NPV($C$10,O36:O$54)</f>
        <v>-11687895.223362112</v>
      </c>
      <c r="AA36" s="55">
        <f>Y36*Model!$AA$14</f>
        <v>42465077.23477862</v>
      </c>
      <c r="AB36" s="56">
        <f t="shared" si="12"/>
        <v>489604371.2689566</v>
      </c>
      <c r="AC36" s="44">
        <f t="shared" si="1"/>
        <v>0</v>
      </c>
      <c r="AD36" s="6"/>
      <c r="AE36" s="62">
        <f>N36*Model!$AA$14</f>
        <v>3815756.2931330032</v>
      </c>
      <c r="AF36" s="50">
        <f t="shared" si="13"/>
        <v>529421481.83455861</v>
      </c>
      <c r="AG36" s="50">
        <f>NPV($C$11,R37:R$55)</f>
        <v>-257644149.55454582</v>
      </c>
      <c r="AH36" s="6">
        <f>SUM(J36:O36)+(AF35+J36+K36+L36+M36)*inv_income_pa-(AF36-AF35)</f>
        <v>5286079.6502095386</v>
      </c>
      <c r="AI36" s="25"/>
    </row>
    <row r="37" spans="1:35" ht="15" x14ac:dyDescent="0.25">
      <c r="A37" s="21">
        <f t="shared" si="19"/>
        <v>18</v>
      </c>
      <c r="B37" s="47">
        <f t="shared" si="19"/>
        <v>2032</v>
      </c>
      <c r="C37" s="49">
        <f t="shared" si="2"/>
        <v>3.419352640840468E-3</v>
      </c>
      <c r="D37" s="42">
        <f t="shared" si="3"/>
        <v>0.05</v>
      </c>
      <c r="E37" s="42">
        <f t="shared" si="4"/>
        <v>0.05</v>
      </c>
      <c r="F37" s="49">
        <f t="shared" si="14"/>
        <v>0.24664566814827499</v>
      </c>
      <c r="G37" s="37"/>
      <c r="H37" s="50">
        <f t="shared" si="15"/>
        <v>27422.92856884751</v>
      </c>
      <c r="I37" s="50">
        <f t="shared" si="5"/>
        <v>20396665149.739628</v>
      </c>
      <c r="J37" s="50">
        <f t="shared" si="16"/>
        <v>61084573.387107827</v>
      </c>
      <c r="K37" s="50">
        <f t="shared" si="6"/>
        <v>-15271143.346776957</v>
      </c>
      <c r="L37" s="50">
        <f t="shared" si="7"/>
        <v>-916268.60080661741</v>
      </c>
      <c r="M37" s="50">
        <f t="shared" si="8"/>
        <v>-5007267.4662375525</v>
      </c>
      <c r="N37" s="50">
        <f t="shared" si="17"/>
        <v>-69743390.844100937</v>
      </c>
      <c r="O37" s="50">
        <f t="shared" si="9"/>
        <v>-1046150.862661514</v>
      </c>
      <c r="P37" s="50">
        <f t="shared" si="10"/>
        <v>1196696.8191986009</v>
      </c>
      <c r="Q37" s="50">
        <f t="shared" si="11"/>
        <v>0</v>
      </c>
      <c r="R37" s="50">
        <f t="shared" si="18"/>
        <v>-29702950.914277148</v>
      </c>
      <c r="S37" s="6"/>
      <c r="T37" s="44"/>
      <c r="U37" s="50">
        <f>NPV($C$10,J37:J$54)*(1+$C$10)</f>
        <v>391541103.50572556</v>
      </c>
      <c r="V37" s="50">
        <f>NPV($C$10,K37:K$54)*(1+$C$10)</f>
        <v>-97885275.876431391</v>
      </c>
      <c r="W37" s="50">
        <f>NPV($C$10,L37:L$54)*(1+$C$10)</f>
        <v>-5873116.5525858803</v>
      </c>
      <c r="X37" s="50">
        <f>NPV($C$10,M37:M$54)*(1+$C$10)</f>
        <v>-35822608.834022321</v>
      </c>
      <c r="Y37" s="50">
        <f>NPV($C$10,N37:N$54)</f>
        <v>-730605392.62230802</v>
      </c>
      <c r="Z37" s="50">
        <f>NPV($C$10,O37:O$54)</f>
        <v>-10959080.889334617</v>
      </c>
      <c r="AA37" s="55">
        <f>Y37*Model!$AA$14</f>
        <v>39817110.565602019</v>
      </c>
      <c r="AB37" s="56">
        <f t="shared" si="12"/>
        <v>473265815.82964283</v>
      </c>
      <c r="AC37" s="44">
        <f t="shared" si="1"/>
        <v>0</v>
      </c>
      <c r="AD37" s="6"/>
      <c r="AE37" s="62">
        <f>N37*Model!$AA$14</f>
        <v>3800930.4783425597</v>
      </c>
      <c r="AF37" s="50">
        <f t="shared" si="13"/>
        <v>510376966.45745635</v>
      </c>
      <c r="AG37" s="50">
        <f>NPV($C$11,R38:R$55)</f>
        <v>-260146717.33458683</v>
      </c>
      <c r="AH37" s="6">
        <f>SUM(J37:O37)+(AF36+J37+K37+L37+M37)*inv_income_pa-(AF37-AF36)</f>
        <v>5224208.9178618677</v>
      </c>
      <c r="AI37" s="25"/>
    </row>
    <row r="38" spans="1:35" ht="15" x14ac:dyDescent="0.25">
      <c r="A38" s="21">
        <f t="shared" ref="A38:B50" si="20">+A37+1</f>
        <v>19</v>
      </c>
      <c r="B38" s="47">
        <f t="shared" si="20"/>
        <v>2033</v>
      </c>
      <c r="C38" s="49">
        <f t="shared" si="2"/>
        <v>3.6758040889035026E-3</v>
      </c>
      <c r="D38" s="42">
        <f t="shared" si="3"/>
        <v>0.05</v>
      </c>
      <c r="E38" s="42">
        <f t="shared" si="4"/>
        <v>0.05</v>
      </c>
      <c r="F38" s="49">
        <f t="shared" si="14"/>
        <v>0.22177948991098861</v>
      </c>
      <c r="G38" s="37"/>
      <c r="H38" s="50">
        <f t="shared" si="15"/>
        <v>24664.5668148275</v>
      </c>
      <c r="I38" s="50">
        <f t="shared" si="5"/>
        <v>18895398294.025311</v>
      </c>
      <c r="J38" s="50">
        <f t="shared" si="16"/>
        <v>54940322.580028251</v>
      </c>
      <c r="K38" s="50">
        <f t="shared" si="6"/>
        <v>-13735080.645007063</v>
      </c>
      <c r="L38" s="50">
        <f t="shared" si="7"/>
        <v>-824104.83870042372</v>
      </c>
      <c r="M38" s="50">
        <f t="shared" si="8"/>
        <v>-4616196.7981440304</v>
      </c>
      <c r="N38" s="50">
        <f t="shared" si="17"/>
        <v>-69455782.310638502</v>
      </c>
      <c r="O38" s="50">
        <f t="shared" si="9"/>
        <v>-1041836.7346595775</v>
      </c>
      <c r="P38" s="50">
        <f t="shared" si="10"/>
        <v>1072948.2089453023</v>
      </c>
      <c r="Q38" s="50">
        <f t="shared" si="11"/>
        <v>0</v>
      </c>
      <c r="R38" s="50">
        <f t="shared" si="18"/>
        <v>-33659730.53817603</v>
      </c>
      <c r="S38" s="6"/>
      <c r="T38" s="44"/>
      <c r="U38" s="50">
        <f>NPV($C$10,J38:J$54)*(1+$C$10)</f>
        <v>339544084.69687968</v>
      </c>
      <c r="V38" s="50">
        <f>NPV($C$10,K38:K$54)*(1+$C$10)</f>
        <v>-84886021.174219921</v>
      </c>
      <c r="W38" s="50">
        <f>NPV($C$10,L38:L$54)*(1+$C$10)</f>
        <v>-5093161.2704531932</v>
      </c>
      <c r="X38" s="50">
        <f>NPV($C$10,M38:M$54)*(1+$C$10)</f>
        <v>-31662763.255398855</v>
      </c>
      <c r="Y38" s="50">
        <f>NPV($C$10,N38:N$54)</f>
        <v>-680953650.07532072</v>
      </c>
      <c r="Z38" s="50">
        <f>NPV($C$10,O38:O$54)</f>
        <v>-10214304.751129812</v>
      </c>
      <c r="AA38" s="55">
        <f>Y38*Model!$AA$14</f>
        <v>37111150.627813525</v>
      </c>
      <c r="AB38" s="56">
        <f t="shared" si="12"/>
        <v>452531482.87603676</v>
      </c>
      <c r="AC38" s="44">
        <f t="shared" si="1"/>
        <v>0</v>
      </c>
      <c r="AD38" s="6"/>
      <c r="AE38" s="62">
        <f>N38*Model!$AA$14</f>
        <v>3785256.1609995388</v>
      </c>
      <c r="AF38" s="50">
        <f t="shared" si="13"/>
        <v>486877933.98511565</v>
      </c>
      <c r="AG38" s="50">
        <f>NPV($C$11,R39:R$55)</f>
        <v>-259005326.46323428</v>
      </c>
      <c r="AH38" s="6">
        <f>SUM(J38:O38)+(AF37+J38+K38+L38+M38)*inv_income_pa-(AF38-AF37)</f>
        <v>5150610.9278883636</v>
      </c>
      <c r="AI38" s="25"/>
    </row>
    <row r="39" spans="1:35" ht="15" x14ac:dyDescent="0.25">
      <c r="A39" s="21">
        <f t="shared" si="20"/>
        <v>20</v>
      </c>
      <c r="B39" s="47">
        <f t="shared" si="20"/>
        <v>2034</v>
      </c>
      <c r="C39" s="49">
        <f t="shared" si="2"/>
        <v>3.9514893955712657E-3</v>
      </c>
      <c r="D39" s="42">
        <f t="shared" si="3"/>
        <v>0.05</v>
      </c>
      <c r="E39" s="42">
        <f t="shared" si="4"/>
        <v>0.05</v>
      </c>
      <c r="F39" s="49">
        <f t="shared" si="14"/>
        <v>0.19936507537412626</v>
      </c>
      <c r="G39" s="37"/>
      <c r="H39" s="50">
        <f t="shared" si="15"/>
        <v>22177.948991098863</v>
      </c>
      <c r="I39" s="50">
        <f t="shared" si="5"/>
        <v>17500125510.32716</v>
      </c>
      <c r="J39" s="50">
        <f t="shared" si="16"/>
        <v>49401381.377672717</v>
      </c>
      <c r="K39" s="50">
        <f t="shared" si="6"/>
        <v>-12350345.344418179</v>
      </c>
      <c r="L39" s="50">
        <f t="shared" si="7"/>
        <v>-741020.72066509072</v>
      </c>
      <c r="M39" s="50">
        <f t="shared" si="8"/>
        <v>-4254573.8726325538</v>
      </c>
      <c r="N39" s="50">
        <f t="shared" si="17"/>
        <v>-69151560.375223964</v>
      </c>
      <c r="O39" s="50">
        <f t="shared" si="9"/>
        <v>-1037273.4056283594</v>
      </c>
      <c r="P39" s="50">
        <f t="shared" si="10"/>
        <v>961663.24319870665</v>
      </c>
      <c r="Q39" s="50">
        <f t="shared" si="11"/>
        <v>0</v>
      </c>
      <c r="R39" s="50">
        <f t="shared" si="18"/>
        <v>-37171729.097696729</v>
      </c>
      <c r="S39" s="6"/>
      <c r="T39" s="44"/>
      <c r="U39" s="50">
        <f>NPV($C$10,J39:J$54)*(1+$C$10)</f>
        <v>292430365.57506478</v>
      </c>
      <c r="V39" s="50">
        <f>NPV($C$10,K39:K$54)*(1+$C$10)</f>
        <v>-73107591.393766195</v>
      </c>
      <c r="W39" s="50">
        <f>NPV($C$10,L39:L$54)*(1+$C$10)</f>
        <v>-4386455.4836259736</v>
      </c>
      <c r="X39" s="50">
        <f>NPV($C$10,M39:M$54)*(1+$C$10)</f>
        <v>-27790347.034829341</v>
      </c>
      <c r="Y39" s="50">
        <f>NPV($C$10,N39:N$54)</f>
        <v>-630224093.14175367</v>
      </c>
      <c r="Z39" s="50">
        <f>NPV($C$10,O39:O$54)</f>
        <v>-9453361.3971263058</v>
      </c>
      <c r="AA39" s="55">
        <f>Y39*Model!$AA$14</f>
        <v>34346451.109078869</v>
      </c>
      <c r="AB39" s="56">
        <f t="shared" si="12"/>
        <v>427724230.95383108</v>
      </c>
      <c r="AC39" s="44">
        <f t="shared" si="1"/>
        <v>0</v>
      </c>
      <c r="AD39" s="6"/>
      <c r="AE39" s="62">
        <f>N39*Model!$AA$14</f>
        <v>3768676.4333364223</v>
      </c>
      <c r="AF39" s="50">
        <f t="shared" si="13"/>
        <v>459246533.03507316</v>
      </c>
      <c r="AG39" s="50">
        <f>NPV($C$11,R40:R$55)</f>
        <v>-254209263.17344177</v>
      </c>
      <c r="AH39" s="6">
        <f>SUM(J39:O39)+(AF38+J39+K39+L39+M39)*inv_income_pa-(AF39-AF38)</f>
        <v>5066009.8718992248</v>
      </c>
      <c r="AI39" s="25"/>
    </row>
    <row r="40" spans="1:35" ht="15" x14ac:dyDescent="0.25">
      <c r="A40" s="21">
        <f t="shared" si="20"/>
        <v>21</v>
      </c>
      <c r="B40" s="47">
        <f t="shared" si="20"/>
        <v>2035</v>
      </c>
      <c r="C40" s="49">
        <f t="shared" si="2"/>
        <v>4.24785110023911E-3</v>
      </c>
      <c r="D40" s="42">
        <f t="shared" si="3"/>
        <v>0.05</v>
      </c>
      <c r="E40" s="42">
        <f t="shared" si="4"/>
        <v>0.06</v>
      </c>
      <c r="F40" s="49">
        <f t="shared" si="14"/>
        <v>0.17727675458187866</v>
      </c>
      <c r="G40" s="37"/>
      <c r="H40" s="50">
        <f t="shared" si="15"/>
        <v>19936.507537412625</v>
      </c>
      <c r="I40" s="50">
        <f t="shared" si="5"/>
        <v>16203397609.526571</v>
      </c>
      <c r="J40" s="50">
        <f t="shared" si="16"/>
        <v>44408570.539586626</v>
      </c>
      <c r="K40" s="50">
        <f t="shared" si="6"/>
        <v>-11102142.634896656</v>
      </c>
      <c r="L40" s="50">
        <f t="shared" si="7"/>
        <v>-666128.55809379939</v>
      </c>
      <c r="M40" s="50">
        <f t="shared" si="8"/>
        <v>-3920194.6815333255</v>
      </c>
      <c r="N40" s="50">
        <f t="shared" si="17"/>
        <v>-68829620.363239214</v>
      </c>
      <c r="O40" s="50">
        <f t="shared" si="9"/>
        <v>-1032444.3054485882</v>
      </c>
      <c r="P40" s="50">
        <f t="shared" si="10"/>
        <v>861603.13995188521</v>
      </c>
      <c r="Q40" s="50">
        <f t="shared" si="11"/>
        <v>0</v>
      </c>
      <c r="R40" s="50">
        <f t="shared" si="18"/>
        <v>-40280356.863673076</v>
      </c>
      <c r="S40" s="6"/>
      <c r="T40" s="44"/>
      <c r="U40" s="50">
        <f>NPV($C$10,J40:J$54)*(1+$C$10)</f>
        <v>249712281.26282036</v>
      </c>
      <c r="V40" s="50">
        <f>NPV($C$10,K40:K$54)*(1+$C$10)</f>
        <v>-62428070.315705091</v>
      </c>
      <c r="W40" s="50">
        <f>NPV($C$10,L40:L$54)*(1+$C$10)</f>
        <v>-3745684.218942306</v>
      </c>
      <c r="X40" s="50">
        <f>NPV($C$10,M40:M$54)*(1+$C$10)</f>
        <v>-24183006.924157206</v>
      </c>
      <c r="Y40" s="50">
        <f>NPV($C$10,N40:N$54)</f>
        <v>-578403695.32792795</v>
      </c>
      <c r="Z40" s="50">
        <f>NPV($C$10,O40:O$54)</f>
        <v>-8676055.4299189188</v>
      </c>
      <c r="AA40" s="55">
        <f>Y40*Model!$AA$14</f>
        <v>31522302.081242114</v>
      </c>
      <c r="AB40" s="56">
        <f t="shared" si="12"/>
        <v>399134490.17972571</v>
      </c>
      <c r="AC40" s="44">
        <f t="shared" si="1"/>
        <v>0</v>
      </c>
      <c r="AD40" s="6"/>
      <c r="AE40" s="62">
        <f>N40*Model!$AA$14</f>
        <v>3751131.0919221211</v>
      </c>
      <c r="AF40" s="50">
        <f t="shared" si="13"/>
        <v>427772524.47627985</v>
      </c>
      <c r="AG40" s="50">
        <f>NPV($C$11,R41:R$55)</f>
        <v>-245705064.20644891</v>
      </c>
      <c r="AH40" s="6">
        <f>SUM(J40:O40)+(AF39+J40+K40+L40+M40)*inv_income_pa-(AF40-AF39)</f>
        <v>4971047.6861724257</v>
      </c>
      <c r="AI40" s="25"/>
    </row>
    <row r="41" spans="1:35" ht="15" x14ac:dyDescent="0.25">
      <c r="A41" s="21">
        <f t="shared" si="20"/>
        <v>22</v>
      </c>
      <c r="B41" s="47">
        <f t="shared" si="20"/>
        <v>2036</v>
      </c>
      <c r="C41" s="49">
        <f t="shared" si="2"/>
        <v>4.5664399327570437E-3</v>
      </c>
      <c r="D41" s="42">
        <f t="shared" si="3"/>
        <v>0.05</v>
      </c>
      <c r="E41" s="42">
        <f t="shared" si="4"/>
        <v>7.0000000000000007E-2</v>
      </c>
      <c r="F41" s="49">
        <f t="shared" si="14"/>
        <v>0.15590879852719075</v>
      </c>
      <c r="G41" s="37"/>
      <c r="H41" s="50">
        <f t="shared" si="15"/>
        <v>17727.675458187867</v>
      </c>
      <c r="I41" s="50">
        <f t="shared" si="5"/>
        <v>14840414290.752539</v>
      </c>
      <c r="J41" s="50">
        <f t="shared" si="16"/>
        <v>39488397.083113469</v>
      </c>
      <c r="K41" s="50">
        <f t="shared" si="6"/>
        <v>-9872099.2707783673</v>
      </c>
      <c r="L41" s="50">
        <f t="shared" si="7"/>
        <v>-592325.956246702</v>
      </c>
      <c r="M41" s="50">
        <f t="shared" si="8"/>
        <v>-3573009.8358320622</v>
      </c>
      <c r="N41" s="50">
        <f t="shared" si="17"/>
        <v>-67767860.435950696</v>
      </c>
      <c r="O41" s="50">
        <f t="shared" si="9"/>
        <v>-1016517.9065392604</v>
      </c>
      <c r="P41" s="50">
        <f t="shared" si="10"/>
        <v>763528.86060769006</v>
      </c>
      <c r="Q41" s="50">
        <f t="shared" si="11"/>
        <v>0</v>
      </c>
      <c r="R41" s="50">
        <f t="shared" si="18"/>
        <v>-42569887.461625926</v>
      </c>
      <c r="S41" s="6"/>
      <c r="T41" s="44"/>
      <c r="U41" s="50">
        <f>NPV($C$10,J41:J$54)*(1+$C$10)</f>
        <v>210949562.76812273</v>
      </c>
      <c r="V41" s="50">
        <f>NPV($C$10,K41:K$54)*(1+$C$10)</f>
        <v>-52737390.692030683</v>
      </c>
      <c r="W41" s="50">
        <f>NPV($C$10,L41:L$54)*(1+$C$10)</f>
        <v>-3164243.4415218402</v>
      </c>
      <c r="X41" s="50">
        <f>NPV($C$10,M41:M$54)*(1+$C$10)</f>
        <v>-20820039.579296026</v>
      </c>
      <c r="Y41" s="50">
        <f>NPV($C$10,N41:N$54)</f>
        <v>-525480176.58620679</v>
      </c>
      <c r="Z41" s="50">
        <f>NPV($C$10,O41:O$54)</f>
        <v>-7882202.6487931013</v>
      </c>
      <c r="AA41" s="55">
        <f>Y41*Model!$AA$14</f>
        <v>28638034.296554156</v>
      </c>
      <c r="AB41" s="56">
        <f t="shared" si="12"/>
        <v>367477173.79299152</v>
      </c>
      <c r="AC41" s="44">
        <f t="shared" si="1"/>
        <v>0</v>
      </c>
      <c r="AD41" s="6"/>
      <c r="AE41" s="62">
        <f>N41*Model!$AA$14</f>
        <v>3693266.4595968192</v>
      </c>
      <c r="AF41" s="50">
        <f t="shared" si="13"/>
        <v>393209487.57310408</v>
      </c>
      <c r="AG41" s="50">
        <f>NPV($C$11,R42:R$55)</f>
        <v>-233848309.77062908</v>
      </c>
      <c r="AH41" s="6">
        <f>SUM(J41:O41)+(AF40+J41+K41+L41+M41)*inv_income_pa-(AF41-AF40)</f>
        <v>4826325.1758382395</v>
      </c>
      <c r="AI41" s="25"/>
    </row>
    <row r="42" spans="1:35" ht="15" x14ac:dyDescent="0.25">
      <c r="A42" s="21">
        <f t="shared" si="20"/>
        <v>23</v>
      </c>
      <c r="B42" s="47">
        <f t="shared" si="20"/>
        <v>2037</v>
      </c>
      <c r="C42" s="49">
        <f t="shared" si="2"/>
        <v>4.908922927713822E-3</v>
      </c>
      <c r="D42" s="42">
        <f t="shared" si="3"/>
        <v>0.05</v>
      </c>
      <c r="E42" s="42">
        <f t="shared" si="4"/>
        <v>0.08</v>
      </c>
      <c r="F42" s="49">
        <f t="shared" si="14"/>
        <v>0.13559537901578331</v>
      </c>
      <c r="G42" s="37"/>
      <c r="H42" s="50">
        <f t="shared" si="15"/>
        <v>15590.879852719076</v>
      </c>
      <c r="I42" s="50">
        <f t="shared" si="5"/>
        <v>13443182114.820248</v>
      </c>
      <c r="J42" s="50">
        <f t="shared" si="16"/>
        <v>34728684.871931739</v>
      </c>
      <c r="K42" s="50">
        <f t="shared" si="6"/>
        <v>-8682171.2179829348</v>
      </c>
      <c r="L42" s="50">
        <f t="shared" si="7"/>
        <v>-520930.27307897608</v>
      </c>
      <c r="M42" s="50">
        <f t="shared" si="8"/>
        <v>-3220897.5381058739</v>
      </c>
      <c r="N42" s="50">
        <f t="shared" si="17"/>
        <v>-65991544.904873498</v>
      </c>
      <c r="O42" s="50">
        <f t="shared" si="9"/>
        <v>-989873.17357310245</v>
      </c>
      <c r="P42" s="50">
        <f t="shared" si="10"/>
        <v>669140.57528291864</v>
      </c>
      <c r="Q42" s="50">
        <f t="shared" si="11"/>
        <v>0</v>
      </c>
      <c r="R42" s="50">
        <f t="shared" si="18"/>
        <v>-44007591.660399728</v>
      </c>
      <c r="S42" s="6"/>
      <c r="T42" s="44"/>
      <c r="U42" s="50">
        <f>NPV($C$10,J42:J$54)*(1+$C$10)</f>
        <v>176176347.74134704</v>
      </c>
      <c r="V42" s="50">
        <f>NPV($C$10,K42:K$54)*(1+$C$10)</f>
        <v>-44044086.935336761</v>
      </c>
      <c r="W42" s="50">
        <f>NPV($C$10,L42:L$54)*(1+$C$10)</f>
        <v>-2642645.2161202054</v>
      </c>
      <c r="X42" s="50">
        <f>NPV($C$10,M42:M$54)*(1+$C$10)</f>
        <v>-17721323.061409228</v>
      </c>
      <c r="Y42" s="50">
        <f>NPV($C$10,N42:N$54)</f>
        <v>-472163021.0063768</v>
      </c>
      <c r="Z42" s="50">
        <f>NPV($C$10,O42:O$54)</f>
        <v>-7082445.3150956491</v>
      </c>
      <c r="AA42" s="55">
        <f>Y42*Model!$AA$14</f>
        <v>25732313.780112576</v>
      </c>
      <c r="AB42" s="56">
        <f t="shared" si="12"/>
        <v>333519442.69729215</v>
      </c>
      <c r="AC42" s="44">
        <f t="shared" si="1"/>
        <v>0</v>
      </c>
      <c r="AD42" s="6"/>
      <c r="AE42" s="62">
        <f>N42*Model!$AA$14</f>
        <v>3596459.4107924863</v>
      </c>
      <c r="AF42" s="50">
        <f t="shared" si="13"/>
        <v>356362935.69556534</v>
      </c>
      <c r="AG42" s="50">
        <f>NPV($C$11,R43:R$55)</f>
        <v>-219071756.83155796</v>
      </c>
      <c r="AH42" s="6">
        <f>SUM(J42:O42)+(AF41+J42+K42+L42+M42)*inv_income_pa-(AF42-AF41)</f>
        <v>4635244.8443321362</v>
      </c>
      <c r="AI42" s="25"/>
    </row>
    <row r="43" spans="1:35" ht="15" x14ac:dyDescent="0.25">
      <c r="A43" s="21">
        <f t="shared" si="20"/>
        <v>24</v>
      </c>
      <c r="B43" s="47">
        <f t="shared" si="20"/>
        <v>2038</v>
      </c>
      <c r="C43" s="49">
        <f t="shared" si="2"/>
        <v>5.2770921472923586E-3</v>
      </c>
      <c r="D43" s="42">
        <f t="shared" si="3"/>
        <v>0.05</v>
      </c>
      <c r="E43" s="42">
        <f t="shared" si="4"/>
        <v>0.09</v>
      </c>
      <c r="F43" s="49">
        <f t="shared" si="14"/>
        <v>0.11660361278081105</v>
      </c>
      <c r="G43" s="37"/>
      <c r="H43" s="50">
        <f t="shared" si="15"/>
        <v>13559.537901578331</v>
      </c>
      <c r="I43" s="50">
        <f t="shared" si="5"/>
        <v>12042414494.849218</v>
      </c>
      <c r="J43" s="50">
        <f t="shared" si="16"/>
        <v>30203870.67576573</v>
      </c>
      <c r="K43" s="50">
        <f t="shared" si="6"/>
        <v>-7550967.6689414326</v>
      </c>
      <c r="L43" s="50">
        <f t="shared" si="7"/>
        <v>-453058.06013648596</v>
      </c>
      <c r="M43" s="50">
        <f t="shared" si="8"/>
        <v>-2871276.6517385412</v>
      </c>
      <c r="N43" s="50">
        <f t="shared" si="17"/>
        <v>-63548930.965208486</v>
      </c>
      <c r="O43" s="50">
        <f t="shared" si="9"/>
        <v>-953233.96447812719</v>
      </c>
      <c r="P43" s="50">
        <f t="shared" si="10"/>
        <v>579857.04884847812</v>
      </c>
      <c r="Q43" s="50">
        <f t="shared" si="11"/>
        <v>0</v>
      </c>
      <c r="R43" s="50">
        <f t="shared" si="18"/>
        <v>-44593739.585888863</v>
      </c>
      <c r="S43" s="6"/>
      <c r="T43" s="44"/>
      <c r="U43" s="50">
        <f>NPV($C$10,J43:J$54)*(1+$C$10)</f>
        <v>145337473.59832424</v>
      </c>
      <c r="V43" s="50">
        <f>NPV($C$10,K43:K$54)*(1+$C$10)</f>
        <v>-36334368.39958106</v>
      </c>
      <c r="W43" s="50">
        <f>NPV($C$10,L43:L$54)*(1+$C$10)</f>
        <v>-2180062.103974863</v>
      </c>
      <c r="X43" s="50">
        <f>NPV($C$10,M43:M$54)*(1+$C$10)</f>
        <v>-14899187.225194199</v>
      </c>
      <c r="Y43" s="50">
        <f>NPV($C$10,N43:N$54)</f>
        <v>-419155959.1791786</v>
      </c>
      <c r="Z43" s="50">
        <f>NPV($C$10,O43:O$54)</f>
        <v>-6287339.3876876794</v>
      </c>
      <c r="AA43" s="55">
        <f>Y43*Model!$AA$14</f>
        <v>22843492.998273183</v>
      </c>
      <c r="AB43" s="56">
        <f t="shared" si="12"/>
        <v>298049166.36484152</v>
      </c>
      <c r="AC43" s="44">
        <f t="shared" si="1"/>
        <v>0</v>
      </c>
      <c r="AD43" s="6"/>
      <c r="AE43" s="62">
        <f>N43*Model!$AA$14</f>
        <v>3463339.9043026119</v>
      </c>
      <c r="AF43" s="50">
        <f t="shared" si="13"/>
        <v>318057515.51626462</v>
      </c>
      <c r="AG43" s="50">
        <f>NPV($C$11,R44:R$55)</f>
        <v>-201861986.8496139</v>
      </c>
      <c r="AH43" s="6">
        <f>SUM(J43:O43)+(AF42+J43+K43+L43+M43)*inv_income_pa-(AF43-AF42)</f>
        <v>4402568.6642788202</v>
      </c>
      <c r="AI43" s="25"/>
    </row>
    <row r="44" spans="1:35" ht="15" x14ac:dyDescent="0.25">
      <c r="A44" s="21">
        <f t="shared" si="20"/>
        <v>25</v>
      </c>
      <c r="B44" s="47">
        <f t="shared" si="20"/>
        <v>2039</v>
      </c>
      <c r="C44" s="49">
        <f t="shared" si="2"/>
        <v>5.6728740583392844E-3</v>
      </c>
      <c r="D44" s="42">
        <f t="shared" si="3"/>
        <v>0.05</v>
      </c>
      <c r="E44" s="42">
        <f t="shared" si="4"/>
        <v>0.1</v>
      </c>
      <c r="F44" s="49">
        <f t="shared" si="14"/>
        <v>9.9130525570998218E-2</v>
      </c>
      <c r="G44" s="37"/>
      <c r="H44" s="50">
        <f t="shared" si="15"/>
        <v>11660.361278081105</v>
      </c>
      <c r="I44" s="50">
        <f t="shared" si="5"/>
        <v>10666401158.377058</v>
      </c>
      <c r="J44" s="50">
        <f t="shared" si="16"/>
        <v>25973454.746925663</v>
      </c>
      <c r="K44" s="50">
        <f t="shared" si="6"/>
        <v>-6493363.6867314158</v>
      </c>
      <c r="L44" s="50">
        <f t="shared" si="7"/>
        <v>-389601.82120388496</v>
      </c>
      <c r="M44" s="50">
        <f t="shared" si="8"/>
        <v>-2530847.7630207958</v>
      </c>
      <c r="N44" s="50">
        <f t="shared" si="17"/>
        <v>-60509150.427197307</v>
      </c>
      <c r="O44" s="50">
        <f t="shared" si="9"/>
        <v>-907637.25640795962</v>
      </c>
      <c r="P44" s="50">
        <f t="shared" si="10"/>
        <v>496789.244279087</v>
      </c>
      <c r="Q44" s="50">
        <f t="shared" si="11"/>
        <v>0</v>
      </c>
      <c r="R44" s="50">
        <f t="shared" si="18"/>
        <v>-44360356.963356614</v>
      </c>
      <c r="S44" s="6"/>
      <c r="T44" s="44"/>
      <c r="U44" s="50">
        <f>NPV($C$10,J44:J$54)*(1+$C$10)</f>
        <v>118299777.00292884</v>
      </c>
      <c r="V44" s="50">
        <f>NPV($C$10,K44:K$54)*(1+$C$10)</f>
        <v>-29574944.25073221</v>
      </c>
      <c r="W44" s="50">
        <f>NPV($C$10,L44:L$54)*(1+$C$10)</f>
        <v>-1774496.6550439324</v>
      </c>
      <c r="X44" s="50">
        <f>NPV($C$10,M44:M$54)*(1+$C$10)</f>
        <v>-12358678.114225687</v>
      </c>
      <c r="Y44" s="50">
        <f>NPV($C$10,N44:N$54)</f>
        <v>-367133817.09139758</v>
      </c>
      <c r="Z44" s="50">
        <f>NPV($C$10,O44:O$54)</f>
        <v>-5507007.2563709626</v>
      </c>
      <c r="AA44" s="55">
        <f>Y44*Model!$AA$14</f>
        <v>20008349.151423085</v>
      </c>
      <c r="AB44" s="56">
        <f t="shared" si="12"/>
        <v>261843762.37282816</v>
      </c>
      <c r="AC44" s="44">
        <f t="shared" si="1"/>
        <v>0</v>
      </c>
      <c r="AD44" s="6"/>
      <c r="AE44" s="62">
        <f>N44*Model!$AA$14</f>
        <v>3297675.5402021315</v>
      </c>
      <c r="AF44" s="50">
        <f t="shared" si="13"/>
        <v>279104665.58571327</v>
      </c>
      <c r="AG44" s="50">
        <f>NPV($C$11,R45:R$55)</f>
        <v>-182734378.242459</v>
      </c>
      <c r="AH44" s="6">
        <f>SUM(J44:O44)+(AF43+J44+K44+L44+M44)*inv_income_pa-(AF44-AF43)</f>
        <v>4134218.4326826781</v>
      </c>
      <c r="AI44" s="25"/>
    </row>
    <row r="45" spans="1:35" ht="15" x14ac:dyDescent="0.25">
      <c r="A45" s="21">
        <f t="shared" si="20"/>
        <v>26</v>
      </c>
      <c r="B45" s="47">
        <f t="shared" si="20"/>
        <v>2040</v>
      </c>
      <c r="C45" s="49">
        <f t="shared" si="2"/>
        <v>6.0983396127147317E-3</v>
      </c>
      <c r="D45" s="42">
        <f t="shared" si="3"/>
        <v>0.05</v>
      </c>
      <c r="E45" s="42">
        <f t="shared" si="4"/>
        <v>0.11</v>
      </c>
      <c r="F45" s="49">
        <f t="shared" si="14"/>
        <v>8.3303727893247109E-2</v>
      </c>
      <c r="G45" s="37"/>
      <c r="H45" s="50">
        <f t="shared" si="15"/>
        <v>9913.0525570998216</v>
      </c>
      <c r="I45" s="50">
        <f t="shared" si="5"/>
        <v>9340078796.8010426</v>
      </c>
      <c r="J45" s="50">
        <f t="shared" si="16"/>
        <v>22081324.570939854</v>
      </c>
      <c r="K45" s="50">
        <f t="shared" si="6"/>
        <v>-5520331.1427349634</v>
      </c>
      <c r="L45" s="50">
        <f t="shared" si="7"/>
        <v>-331219.86856409779</v>
      </c>
      <c r="M45" s="50">
        <f t="shared" si="8"/>
        <v>-2205389.4341511056</v>
      </c>
      <c r="N45" s="50">
        <f t="shared" si="17"/>
        <v>-56958972.512408748</v>
      </c>
      <c r="O45" s="50">
        <f t="shared" si="9"/>
        <v>-854384.58768613124</v>
      </c>
      <c r="P45" s="50">
        <f t="shared" si="10"/>
        <v>420731.52376469062</v>
      </c>
      <c r="Q45" s="50">
        <f t="shared" si="11"/>
        <v>0</v>
      </c>
      <c r="R45" s="50">
        <f t="shared" si="18"/>
        <v>-43368241.450840496</v>
      </c>
      <c r="S45" s="6"/>
      <c r="T45" s="44"/>
      <c r="U45" s="50">
        <f>NPV($C$10,J45:J$54)*(1+$C$10)</f>
        <v>94865296.118043274</v>
      </c>
      <c r="V45" s="50">
        <f>NPV($C$10,K45:K$54)*(1+$C$10)</f>
        <v>-23716324.029510818</v>
      </c>
      <c r="W45" s="50">
        <f>NPV($C$10,L45:L$54)*(1+$C$10)</f>
        <v>-1422979.4417706493</v>
      </c>
      <c r="X45" s="50">
        <f>NPV($C$10,M45:M$54)*(1+$C$10)</f>
        <v>-10098095.685863027</v>
      </c>
      <c r="Y45" s="50">
        <f>NPV($C$10,N45:N$54)</f>
        <v>-316720846.63421375</v>
      </c>
      <c r="Z45" s="50">
        <f>NPV($C$10,O45:O$54)</f>
        <v>-4750812.6995132053</v>
      </c>
      <c r="AA45" s="55">
        <f>Y45*Model!$AA$14</f>
        <v>17260903.212885089</v>
      </c>
      <c r="AB45" s="56">
        <f t="shared" si="12"/>
        <v>225641163.42692676</v>
      </c>
      <c r="AC45" s="44">
        <f t="shared" si="1"/>
        <v>0</v>
      </c>
      <c r="AD45" s="6"/>
      <c r="AE45" s="62">
        <f>N45*Model!$AA$14</f>
        <v>3104195.136158946</v>
      </c>
      <c r="AF45" s="50">
        <f t="shared" si="13"/>
        <v>240272546.34200725</v>
      </c>
      <c r="AG45" s="50">
        <f>NPV($C$11,R46:R$55)</f>
        <v>-162207934.07192591</v>
      </c>
      <c r="AH45" s="6">
        <f>SUM(J45:O45)+(AF44+J45+K45+L45+M45)*inv_income_pa-(AF45-AF44)</f>
        <v>3837017.7604369223</v>
      </c>
      <c r="AI45" s="25"/>
    </row>
    <row r="46" spans="1:35" ht="15" x14ac:dyDescent="0.25">
      <c r="A46" s="21">
        <f t="shared" si="20"/>
        <v>27</v>
      </c>
      <c r="B46" s="47">
        <f t="shared" si="20"/>
        <v>2041</v>
      </c>
      <c r="C46" s="49">
        <f t="shared" si="2"/>
        <v>6.5557150836683346E-3</v>
      </c>
      <c r="D46" s="42">
        <f t="shared" si="3"/>
        <v>0.05</v>
      </c>
      <c r="E46" s="42">
        <f t="shared" si="4"/>
        <v>0.12</v>
      </c>
      <c r="F46" s="49">
        <f t="shared" si="14"/>
        <v>6.9185363956177012E-2</v>
      </c>
      <c r="G46" s="37"/>
      <c r="H46" s="50">
        <f t="shared" si="15"/>
        <v>8330.3727893247105</v>
      </c>
      <c r="I46" s="50">
        <f t="shared" si="5"/>
        <v>8084344145.7791233</v>
      </c>
      <c r="J46" s="50">
        <f t="shared" si="16"/>
        <v>18555905.388220794</v>
      </c>
      <c r="K46" s="50">
        <f t="shared" si="6"/>
        <v>-4638976.3470551986</v>
      </c>
      <c r="L46" s="50">
        <f t="shared" si="7"/>
        <v>-278338.58082331193</v>
      </c>
      <c r="M46" s="50">
        <f t="shared" si="8"/>
        <v>-1899617.5927598162</v>
      </c>
      <c r="N46" s="50">
        <f t="shared" si="17"/>
        <v>-52998656.858049996</v>
      </c>
      <c r="O46" s="50">
        <f t="shared" si="9"/>
        <v>-794979.85287074989</v>
      </c>
      <c r="P46" s="50">
        <f t="shared" si="10"/>
        <v>352169.18602747406</v>
      </c>
      <c r="Q46" s="50">
        <f t="shared" si="11"/>
        <v>0</v>
      </c>
      <c r="R46" s="50">
        <f t="shared" si="18"/>
        <v>-41702494.657310799</v>
      </c>
      <c r="S46" s="6"/>
      <c r="T46" s="44"/>
      <c r="U46" s="50">
        <f>NPV($C$10,J46:J$54)*(1+$C$10)</f>
        <v>74785530.764648765</v>
      </c>
      <c r="V46" s="50">
        <f>NPV($C$10,K46:K$54)*(1+$C$10)</f>
        <v>-18696382.691162191</v>
      </c>
      <c r="W46" s="50">
        <f>NPV($C$10,L46:L$54)*(1+$C$10)</f>
        <v>-1121782.9614697313</v>
      </c>
      <c r="X46" s="50">
        <f>NPV($C$10,M46:M$54)*(1+$C$10)</f>
        <v>-8109755.673634002</v>
      </c>
      <c r="Y46" s="50">
        <f>NPV($C$10,N46:N$54)</f>
        <v>-268471697.40424591</v>
      </c>
      <c r="Z46" s="50">
        <f>NPV($C$10,O46:O$54)</f>
        <v>-4027075.4610636882</v>
      </c>
      <c r="AA46" s="55">
        <f>Y46*Model!$AA$14</f>
        <v>14631382.915080488</v>
      </c>
      <c r="AB46" s="56">
        <f t="shared" si="12"/>
        <v>190114453.33168745</v>
      </c>
      <c r="AC46" s="44">
        <f t="shared" si="1"/>
        <v>0</v>
      </c>
      <c r="AD46" s="6"/>
      <c r="AE46" s="62">
        <f>N46*Model!$AA$14</f>
        <v>2888362.7211827738</v>
      </c>
      <c r="AF46" s="50">
        <f t="shared" si="13"/>
        <v>202259836.55574986</v>
      </c>
      <c r="AG46" s="50">
        <f>NPV($C$11,R47:R$55)</f>
        <v>-140781431.17360586</v>
      </c>
      <c r="AH46" s="6">
        <f>SUM(J46:O46)+(AF45+J46+K46+L46+M46)*inv_income_pa-(AF46-AF45)</f>
        <v>3518391.519206807</v>
      </c>
      <c r="AI46" s="25"/>
    </row>
    <row r="47" spans="1:35" ht="15" x14ac:dyDescent="0.25">
      <c r="A47" s="21">
        <f t="shared" si="20"/>
        <v>28</v>
      </c>
      <c r="B47" s="47">
        <f t="shared" si="20"/>
        <v>2042</v>
      </c>
      <c r="C47" s="49">
        <f t="shared" si="2"/>
        <v>7.0473937149434602E-3</v>
      </c>
      <c r="D47" s="42">
        <f t="shared" si="3"/>
        <v>0.05</v>
      </c>
      <c r="E47" s="42">
        <f t="shared" si="4"/>
        <v>0.13</v>
      </c>
      <c r="F47" s="49">
        <f t="shared" si="14"/>
        <v>5.6778721333265184E-2</v>
      </c>
      <c r="G47" s="37"/>
      <c r="H47" s="50">
        <f t="shared" si="15"/>
        <v>6918.5363956177016</v>
      </c>
      <c r="I47" s="50">
        <f t="shared" si="5"/>
        <v>6915630973.6001568</v>
      </c>
      <c r="J47" s="50">
        <f t="shared" si="16"/>
        <v>15411039.82123843</v>
      </c>
      <c r="K47" s="50">
        <f t="shared" si="6"/>
        <v>-3852759.9553096076</v>
      </c>
      <c r="L47" s="50">
        <f t="shared" si="7"/>
        <v>-231165.59731857645</v>
      </c>
      <c r="M47" s="50">
        <f t="shared" si="8"/>
        <v>-1617111.038158966</v>
      </c>
      <c r="N47" s="50">
        <f t="shared" si="17"/>
        <v>-48737174.258218065</v>
      </c>
      <c r="O47" s="50">
        <f t="shared" si="9"/>
        <v>-731057.61387327092</v>
      </c>
      <c r="P47" s="50">
        <f t="shared" si="10"/>
        <v>291300.09691353841</v>
      </c>
      <c r="Q47" s="50">
        <f t="shared" si="11"/>
        <v>0</v>
      </c>
      <c r="R47" s="50">
        <f t="shared" si="18"/>
        <v>-39466928.544726521</v>
      </c>
      <c r="S47" s="6"/>
      <c r="T47" s="44"/>
      <c r="U47" s="50">
        <f>NPV($C$10,J47:J$54)*(1+$C$10)</f>
        <v>57775940.074279748</v>
      </c>
      <c r="V47" s="50">
        <f>NPV($C$10,K47:K$54)*(1+$C$10)</f>
        <v>-14443985.018569937</v>
      </c>
      <c r="W47" s="50">
        <f>NPV($C$10,L47:L$54)*(1+$C$10)</f>
        <v>-866639.101114196</v>
      </c>
      <c r="X47" s="50">
        <f>NPV($C$10,M47:M$54)*(1+$C$10)</f>
        <v>-6380916.8780982234</v>
      </c>
      <c r="Y47" s="50">
        <f>NPV($C$10,N47:N$54)</f>
        <v>-222856012.22481266</v>
      </c>
      <c r="Z47" s="50">
        <f>NPV($C$10,O47:O$54)</f>
        <v>-3342840.1833721898</v>
      </c>
      <c r="AA47" s="55">
        <f>Y47*Model!$AA$14</f>
        <v>12145383.224062426</v>
      </c>
      <c r="AB47" s="56">
        <f t="shared" si="12"/>
        <v>155851397.24550623</v>
      </c>
      <c r="AC47" s="44">
        <f t="shared" si="1"/>
        <v>0</v>
      </c>
      <c r="AD47" s="6"/>
      <c r="AE47" s="62">
        <f>N47*Model!$AA$14</f>
        <v>2656117.0718016797</v>
      </c>
      <c r="AF47" s="50">
        <f t="shared" si="13"/>
        <v>165674661.4364287</v>
      </c>
      <c r="AG47" s="50">
        <f>NPV($C$11,R48:R$55)</f>
        <v>-118912181.52558005</v>
      </c>
      <c r="AH47" s="6">
        <f>SUM(J47:O47)+(AF46+J47+K47+L47+M47)*inv_income_pa-(AF47-AF46)</f>
        <v>3186041.6712671444</v>
      </c>
      <c r="AI47" s="25"/>
    </row>
    <row r="48" spans="1:35" ht="15" x14ac:dyDescent="0.25">
      <c r="A48" s="21">
        <f t="shared" si="20"/>
        <v>29</v>
      </c>
      <c r="B48" s="47">
        <f t="shared" si="20"/>
        <v>2043</v>
      </c>
      <c r="C48" s="49">
        <f t="shared" si="2"/>
        <v>7.5759482435642199E-3</v>
      </c>
      <c r="D48" s="42">
        <f t="shared" si="3"/>
        <v>0.05</v>
      </c>
      <c r="E48" s="42">
        <f t="shared" si="4"/>
        <v>0.14000000000000001</v>
      </c>
      <c r="F48" s="49">
        <f t="shared" si="14"/>
        <v>4.6036780610831732E-2</v>
      </c>
      <c r="G48" s="37"/>
      <c r="H48" s="50">
        <f t="shared" si="15"/>
        <v>5677.8721333265185</v>
      </c>
      <c r="I48" s="50">
        <f t="shared" si="5"/>
        <v>5845752356.9107952</v>
      </c>
      <c r="J48" s="50">
        <f t="shared" si="16"/>
        <v>12647460.176984821</v>
      </c>
      <c r="K48" s="50">
        <f t="shared" si="6"/>
        <v>-3161865.0442462051</v>
      </c>
      <c r="L48" s="50">
        <f t="shared" si="7"/>
        <v>-189711.9026547723</v>
      </c>
      <c r="M48" s="50">
        <f t="shared" si="8"/>
        <v>-1360301.2117592087</v>
      </c>
      <c r="N48" s="50">
        <f t="shared" si="17"/>
        <v>-44287117.30064974</v>
      </c>
      <c r="O48" s="50">
        <f t="shared" si="9"/>
        <v>-664306.7595097461</v>
      </c>
      <c r="P48" s="50">
        <f t="shared" si="10"/>
        <v>238067.46054973904</v>
      </c>
      <c r="Q48" s="50">
        <f t="shared" si="11"/>
        <v>0</v>
      </c>
      <c r="R48" s="50">
        <f t="shared" si="18"/>
        <v>-36777774.581285112</v>
      </c>
      <c r="S48" s="6"/>
      <c r="T48" s="44"/>
      <c r="U48" s="50">
        <f>NPV($C$10,J48:J$54)*(1+$C$10)</f>
        <v>43529935.009999953</v>
      </c>
      <c r="V48" s="50">
        <f>NPV($C$10,K48:K$54)*(1+$C$10)</f>
        <v>-10882483.752499988</v>
      </c>
      <c r="W48" s="50">
        <f>NPV($C$10,L48:L$54)*(1+$C$10)</f>
        <v>-652949.0251499993</v>
      </c>
      <c r="X48" s="50">
        <f>NPV($C$10,M48:M$54)*(1+$C$10)</f>
        <v>-4894810.5005375892</v>
      </c>
      <c r="Y48" s="50">
        <f>NPV($C$10,N48:N$54)</f>
        <v>-180247378.30277696</v>
      </c>
      <c r="Z48" s="50">
        <f>NPV($C$10,O48:O$54)</f>
        <v>-2703710.6745416545</v>
      </c>
      <c r="AA48" s="55">
        <f>Y48*Model!$AA$14</f>
        <v>9823264.1909224633</v>
      </c>
      <c r="AB48" s="56">
        <f t="shared" si="12"/>
        <v>123339697.13342676</v>
      </c>
      <c r="AC48" s="44">
        <f t="shared" si="1"/>
        <v>0</v>
      </c>
      <c r="AD48" s="6"/>
      <c r="AE48" s="62">
        <f>N48*Model!$AA$14</f>
        <v>2413594.3479181956</v>
      </c>
      <c r="AF48" s="50">
        <f t="shared" si="13"/>
        <v>131019506.7416814</v>
      </c>
      <c r="AG48" s="50">
        <f>NPV($C$11,R49:R$55)</f>
        <v>-96998429.63499245</v>
      </c>
      <c r="AH48" s="6">
        <f>SUM(J48:O48)+(AF47+J48+K48+L48+M48)*inv_income_pa-(AF48-AF47)</f>
        <v>2847619.9565550461</v>
      </c>
      <c r="AI48" s="25"/>
    </row>
    <row r="49" spans="1:35" ht="15" x14ac:dyDescent="0.25">
      <c r="A49" s="21">
        <f t="shared" si="20"/>
        <v>30</v>
      </c>
      <c r="B49" s="47">
        <f t="shared" si="20"/>
        <v>2044</v>
      </c>
      <c r="C49" s="49">
        <f t="shared" si="2"/>
        <v>8.1441443618315377E-3</v>
      </c>
      <c r="D49" s="42">
        <f t="shared" si="3"/>
        <v>0.05</v>
      </c>
      <c r="E49" s="42">
        <f t="shared" si="4"/>
        <v>0.15</v>
      </c>
      <c r="F49" s="49">
        <f t="shared" si="14"/>
        <v>3.6871944217043387E-2</v>
      </c>
      <c r="G49" s="37"/>
      <c r="H49" s="50">
        <f t="shared" si="15"/>
        <v>4603.6780610831729</v>
      </c>
      <c r="I49" s="50">
        <f t="shared" si="5"/>
        <v>4881991013.7843323</v>
      </c>
      <c r="J49" s="50">
        <f t="shared" si="16"/>
        <v>10254692.881062768</v>
      </c>
      <c r="K49" s="50">
        <f t="shared" si="6"/>
        <v>-2563673.2202656921</v>
      </c>
      <c r="L49" s="50">
        <f t="shared" si="7"/>
        <v>-153820.39321594153</v>
      </c>
      <c r="M49" s="50">
        <f t="shared" si="8"/>
        <v>-1130520.0989804689</v>
      </c>
      <c r="N49" s="50">
        <f t="shared" si="17"/>
        <v>-39759639.589423902</v>
      </c>
      <c r="O49" s="50">
        <f t="shared" si="9"/>
        <v>-596394.59384135855</v>
      </c>
      <c r="P49" s="50">
        <f t="shared" si="10"/>
        <v>192200.37505801997</v>
      </c>
      <c r="Q49" s="50">
        <f t="shared" si="11"/>
        <v>0</v>
      </c>
      <c r="R49" s="50">
        <f t="shared" si="18"/>
        <v>-33757154.639606573</v>
      </c>
      <c r="S49" s="6"/>
      <c r="T49" s="44"/>
      <c r="U49" s="50">
        <f>NPV($C$10,J49:J$54)*(1+$C$10)</f>
        <v>31731742.890923053</v>
      </c>
      <c r="V49" s="50">
        <f>NPV($C$10,K49:K$54)*(1+$C$10)</f>
        <v>-7932935.7227307633</v>
      </c>
      <c r="W49" s="50">
        <f>NPV($C$10,L49:L$54)*(1+$C$10)</f>
        <v>-475976.14336384577</v>
      </c>
      <c r="X49" s="50">
        <f>NPV($C$10,M49:M$54)*(1+$C$10)</f>
        <v>-3631708.2942197863</v>
      </c>
      <c r="Y49" s="50">
        <f>NPV($C$10,N49:N$54)</f>
        <v>-140917063.90545359</v>
      </c>
      <c r="Z49" s="50">
        <f>NPV($C$10,O49:O$54)</f>
        <v>-2113755.9585818034</v>
      </c>
      <c r="AA49" s="55">
        <f>Y49*Model!$AA$14</f>
        <v>7679809.6082546357</v>
      </c>
      <c r="AB49" s="56">
        <f t="shared" si="12"/>
        <v>92958367.467067897</v>
      </c>
      <c r="AC49" s="44">
        <f t="shared" si="1"/>
        <v>0</v>
      </c>
      <c r="AD49" s="6"/>
      <c r="AE49" s="62">
        <f>N49*Model!$AA$14</f>
        <v>2166852.2865652889</v>
      </c>
      <c r="AF49" s="50">
        <f t="shared" si="13"/>
        <v>98682519.552984253</v>
      </c>
      <c r="AG49" s="50">
        <f>NPV($C$11,R50:R$55)</f>
        <v>-75366078.69975993</v>
      </c>
      <c r="AH49" s="6">
        <f>SUM(J49:O49)+(AF48+J49+K49+L49+M49)*inv_income_pa-(AF49-AF48)</f>
        <v>2510417.7513410151</v>
      </c>
      <c r="AI49" s="25"/>
    </row>
    <row r="50" spans="1:35" ht="15" x14ac:dyDescent="0.25">
      <c r="A50" s="21">
        <f t="shared" si="20"/>
        <v>31</v>
      </c>
      <c r="B50" s="47">
        <f t="shared" si="20"/>
        <v>2045</v>
      </c>
      <c r="C50" s="49">
        <f t="shared" si="2"/>
        <v>8.7549551889689013E-3</v>
      </c>
      <c r="D50" s="42">
        <f t="shared" si="3"/>
        <v>0.05</v>
      </c>
      <c r="E50" s="42">
        <f t="shared" si="4"/>
        <v>0.2</v>
      </c>
      <c r="F50" s="49">
        <f t="shared" si="14"/>
        <v>2.7777340318246687E-2</v>
      </c>
      <c r="G50" s="37"/>
      <c r="H50" s="50">
        <f t="shared" si="15"/>
        <v>3687.1944217043388</v>
      </c>
      <c r="I50" s="50">
        <f t="shared" si="5"/>
        <v>4027404889.70226</v>
      </c>
      <c r="J50" s="50">
        <f t="shared" si="16"/>
        <v>8213225.5743464148</v>
      </c>
      <c r="K50" s="50">
        <f t="shared" si="6"/>
        <v>-2053306.3935866037</v>
      </c>
      <c r="L50" s="50">
        <f t="shared" si="7"/>
        <v>-123198.38361519622</v>
      </c>
      <c r="M50" s="50">
        <f t="shared" si="8"/>
        <v>-928096.7372085891</v>
      </c>
      <c r="N50" s="50">
        <f t="shared" si="17"/>
        <v>-35259749.33717753</v>
      </c>
      <c r="O50" s="50">
        <f t="shared" si="9"/>
        <v>-528896.24005766294</v>
      </c>
      <c r="P50" s="50">
        <f t="shared" si="10"/>
        <v>153258.72179808075</v>
      </c>
      <c r="Q50" s="50">
        <f t="shared" si="11"/>
        <v>0</v>
      </c>
      <c r="R50" s="50">
        <f t="shared" si="18"/>
        <v>-30526762.795501087</v>
      </c>
      <c r="S50" s="6"/>
      <c r="T50" s="44"/>
      <c r="U50" s="50">
        <f>NPV($C$10,J50:J$54)*(1+$C$10)</f>
        <v>22067668.885131441</v>
      </c>
      <c r="V50" s="50">
        <f>NPV($C$10,K50:K$54)*(1+$C$10)</f>
        <v>-5516917.2212828603</v>
      </c>
      <c r="W50" s="50">
        <f>NPV($C$10,L50:L$54)*(1+$C$10)</f>
        <v>-331015.03327697155</v>
      </c>
      <c r="X50" s="50">
        <f>NPV($C$10,M50:M$54)*(1+$C$10)</f>
        <v>-2569970.8706083987</v>
      </c>
      <c r="Y50" s="50">
        <f>NPV($C$10,N50:N$54)</f>
        <v>-105032643.57342967</v>
      </c>
      <c r="Z50" s="50">
        <f>NPV($C$10,O50:O$54)</f>
        <v>-1575489.6536014453</v>
      </c>
      <c r="AA50" s="55">
        <f>Y50*Model!$AA$14</f>
        <v>5724152.0859163497</v>
      </c>
      <c r="AB50" s="56">
        <f t="shared" si="12"/>
        <v>64975188.216761343</v>
      </c>
      <c r="AC50" s="44">
        <f t="shared" si="1"/>
        <v>0</v>
      </c>
      <c r="AD50" s="6"/>
      <c r="AE50" s="62">
        <f>N50*Model!$AA$14</f>
        <v>1921613.7083723778</v>
      </c>
      <c r="AF50" s="50">
        <f t="shared" si="13"/>
        <v>68935140.776668012</v>
      </c>
      <c r="AG50" s="50">
        <f>NPV($C$11,R51:R$55)</f>
        <v>-54260075.741728842</v>
      </c>
      <c r="AH50" s="6">
        <f>SUM(J50:O50)+(AF49+J50+K50+L50+M50)*inv_income_pa-(AF50-AF49)</f>
        <v>2181091.56740468</v>
      </c>
      <c r="AI50" s="25"/>
    </row>
    <row r="51" spans="1:35" ht="15" x14ac:dyDescent="0.25">
      <c r="A51" s="21">
        <f>+A50+1</f>
        <v>32</v>
      </c>
      <c r="B51" s="47">
        <f>+B50+1</f>
        <v>2046</v>
      </c>
      <c r="C51" s="49">
        <f t="shared" si="2"/>
        <v>9.4115768281415706E-3</v>
      </c>
      <c r="D51" s="42">
        <f t="shared" si="3"/>
        <v>0.05</v>
      </c>
      <c r="E51" s="42">
        <f t="shared" si="4"/>
        <v>0.25</v>
      </c>
      <c r="F51" s="49">
        <f>F50*(1-C51)*(1-D51)*(1-E51)</f>
        <v>1.9605087118854052E-2</v>
      </c>
      <c r="G51" s="37"/>
      <c r="H51" s="50">
        <f t="shared" si="15"/>
        <v>2777.7340318246688</v>
      </c>
      <c r="I51" s="50">
        <f t="shared" si="5"/>
        <v>3125051215.8777866</v>
      </c>
      <c r="J51" s="50">
        <f t="shared" si="16"/>
        <v>6187402.5558894491</v>
      </c>
      <c r="K51" s="50">
        <f t="shared" si="6"/>
        <v>-1546850.6389723623</v>
      </c>
      <c r="L51" s="50">
        <f t="shared" si="7"/>
        <v>-92811.038338341736</v>
      </c>
      <c r="M51" s="50">
        <f t="shared" si="8"/>
        <v>-716657.63636151061</v>
      </c>
      <c r="N51" s="50">
        <f t="shared" si="17"/>
        <v>-29411659.610111017</v>
      </c>
      <c r="O51" s="50">
        <f t="shared" si="9"/>
        <v>-441174.89415166521</v>
      </c>
      <c r="P51" s="50">
        <f t="shared" si="10"/>
        <v>114932.49726651702</v>
      </c>
      <c r="Q51" s="50">
        <f t="shared" si="11"/>
        <v>0</v>
      </c>
      <c r="R51" s="50">
        <f t="shared" si="18"/>
        <v>-25906818.764778931</v>
      </c>
      <c r="S51" s="6"/>
      <c r="T51" s="44"/>
      <c r="U51" s="50">
        <f>NPV($C$10,J51:J$54)*(1+$C$10)</f>
        <v>14235440.501831615</v>
      </c>
      <c r="V51" s="50">
        <f>NPV($C$10,K51:K$54)*(1+$C$10)</f>
        <v>-3558860.1254579038</v>
      </c>
      <c r="W51" s="50">
        <f>NPV($C$10,L51:L$54)*(1+$C$10)</f>
        <v>-213531.6075274742</v>
      </c>
      <c r="X51" s="50">
        <f>NPV($C$10,M51:M$54)*(1+$C$10)</f>
        <v>-1687025.6720683044</v>
      </c>
      <c r="Y51" s="50">
        <f>NPV($C$10,N51:N$54)</f>
        <v>-72661291.934521466</v>
      </c>
      <c r="Z51" s="50">
        <f>NPV($C$10,O51:O$54)</f>
        <v>-1089919.379017822</v>
      </c>
      <c r="AA51" s="55">
        <f>Y51*Model!$AA$14</f>
        <v>3959952.5599066718</v>
      </c>
      <c r="AB51" s="56">
        <f t="shared" si="12"/>
        <v>40845609.41983784</v>
      </c>
      <c r="AC51" s="44">
        <f t="shared" si="1"/>
        <v>0</v>
      </c>
      <c r="AD51" s="6"/>
      <c r="AE51" s="62">
        <f>N51*Model!$AA$14</f>
        <v>1602899.8888310206</v>
      </c>
      <c r="AF51" s="50">
        <f t="shared" si="13"/>
        <v>43311560.786310926</v>
      </c>
      <c r="AG51" s="50">
        <f>NPV($C$11,R52:R$55)</f>
        <v>-35135766.444666013</v>
      </c>
      <c r="AH51" s="6">
        <f>SUM(J51:O51)+(AF50+J51+K51+L51+M51)*inv_income_pa-(AF51-AF50)</f>
        <v>1784815.4488781951</v>
      </c>
      <c r="AI51" s="25"/>
    </row>
    <row r="52" spans="1:35" ht="15" x14ac:dyDescent="0.25">
      <c r="A52" s="21">
        <f t="shared" ref="A52:B54" si="21">+A51+1</f>
        <v>33</v>
      </c>
      <c r="B52" s="47">
        <f t="shared" si="21"/>
        <v>2047</v>
      </c>
      <c r="C52" s="49">
        <f t="shared" si="2"/>
        <v>1.0117445090252187E-2</v>
      </c>
      <c r="D52" s="42">
        <f t="shared" si="3"/>
        <v>0.05</v>
      </c>
      <c r="E52" s="42">
        <f t="shared" si="4"/>
        <v>0.33</v>
      </c>
      <c r="F52" s="49">
        <f>F51*(1-C52)*(1-D52)*(1-E52)</f>
        <v>1.2352386016878698E-2</v>
      </c>
      <c r="G52" s="37"/>
      <c r="H52" s="50">
        <f t="shared" si="15"/>
        <v>1960.5087118854051</v>
      </c>
      <c r="I52" s="50">
        <f t="shared" si="5"/>
        <v>2271812479.3559399</v>
      </c>
      <c r="J52" s="50">
        <f t="shared" si="16"/>
        <v>4367033.1557247397</v>
      </c>
      <c r="K52" s="50">
        <f t="shared" si="6"/>
        <v>-1091758.2889311849</v>
      </c>
      <c r="L52" s="50">
        <f t="shared" si="7"/>
        <v>-65505.497335871092</v>
      </c>
      <c r="M52" s="50">
        <f t="shared" si="8"/>
        <v>-518458.16104577808</v>
      </c>
      <c r="N52" s="50">
        <f t="shared" si="17"/>
        <v>-22984938.015233401</v>
      </c>
      <c r="O52" s="50">
        <f t="shared" si="9"/>
        <v>-344774.07022850099</v>
      </c>
      <c r="P52" s="50">
        <f t="shared" si="10"/>
        <v>80739.336252357156</v>
      </c>
      <c r="Q52" s="50">
        <f t="shared" si="11"/>
        <v>0</v>
      </c>
      <c r="R52" s="50">
        <f t="shared" si="18"/>
        <v>-20557661.54079764</v>
      </c>
      <c r="S52" s="6"/>
      <c r="T52" s="44"/>
      <c r="U52" s="50">
        <f>NPV($C$10,J52:J$54)*(1+$C$10)</f>
        <v>8269358.9894555761</v>
      </c>
      <c r="V52" s="50">
        <f>NPV($C$10,K52:K$54)*(1+$C$10)</f>
        <v>-2067339.747363894</v>
      </c>
      <c r="W52" s="50">
        <f>NPV($C$10,L52:L$54)*(1+$C$10)</f>
        <v>-124040.38484183364</v>
      </c>
      <c r="X52" s="50">
        <f>NPV($C$10,M52:M$54)*(1+$C$10)</f>
        <v>-997053.15668873058</v>
      </c>
      <c r="Y52" s="50">
        <f>NPV($C$10,N52:N$54)</f>
        <v>-45247817.852609806</v>
      </c>
      <c r="Z52" s="50">
        <f>NPV($C$10,O52:O$54)</f>
        <v>-678717.26778914698</v>
      </c>
      <c r="AA52" s="55">
        <f>Y52*Model!$AA$14</f>
        <v>2465951.3664730857</v>
      </c>
      <c r="AB52" s="56">
        <f t="shared" si="12"/>
        <v>21404473.860064708</v>
      </c>
      <c r="AC52" s="44">
        <f t="shared" si="1"/>
        <v>0</v>
      </c>
      <c r="AD52" s="6"/>
      <c r="AE52" s="62">
        <f>N52*Model!$AA$14</f>
        <v>1252651.3320839582</v>
      </c>
      <c r="AF52" s="50">
        <f t="shared" si="13"/>
        <v>22685587.557031844</v>
      </c>
      <c r="AG52" s="50">
        <f>NPV($C$11,R53:R$55)</f>
        <v>-18970075.709451627</v>
      </c>
      <c r="AH52" s="6">
        <f>SUM(J52:O52)+(AF51+J52+K52+L52+M52)*inv_income_pa-(AF52-AF51)</f>
        <v>1367658.5120707713</v>
      </c>
      <c r="AI52" s="25"/>
    </row>
    <row r="53" spans="1:35" ht="15" x14ac:dyDescent="0.25">
      <c r="A53" s="21">
        <f t="shared" si="21"/>
        <v>34</v>
      </c>
      <c r="B53" s="47">
        <f t="shared" si="21"/>
        <v>2048</v>
      </c>
      <c r="C53" s="49">
        <f t="shared" si="2"/>
        <v>1.08762534720211E-2</v>
      </c>
      <c r="D53" s="42">
        <f t="shared" si="3"/>
        <v>0.05</v>
      </c>
      <c r="E53" s="42">
        <f t="shared" si="4"/>
        <v>0.5</v>
      </c>
      <c r="F53" s="49">
        <f>F52*(1-C53)*(1-D53)*(1-E53)</f>
        <v>5.803568209398066E-3</v>
      </c>
      <c r="G53" s="37"/>
      <c r="H53" s="50">
        <f t="shared" si="15"/>
        <v>1235.2386016878697</v>
      </c>
      <c r="I53" s="50">
        <f t="shared" si="5"/>
        <v>1474320091.9652603</v>
      </c>
      <c r="J53" s="50">
        <f t="shared" si="16"/>
        <v>2751493.9852597299</v>
      </c>
      <c r="K53" s="50">
        <f t="shared" si="6"/>
        <v>-687873.49631493248</v>
      </c>
      <c r="L53" s="50">
        <f t="shared" si="7"/>
        <v>-41272.409778895948</v>
      </c>
      <c r="M53" s="50">
        <f t="shared" si="8"/>
        <v>-334826.3735077536</v>
      </c>
      <c r="N53" s="50">
        <f t="shared" si="17"/>
        <v>-16035079.019107629</v>
      </c>
      <c r="O53" s="50">
        <f t="shared" si="9"/>
        <v>-240526.18528661443</v>
      </c>
      <c r="P53" s="50">
        <f t="shared" si="10"/>
        <v>50625.651169744422</v>
      </c>
      <c r="Q53" s="50">
        <f t="shared" si="11"/>
        <v>0</v>
      </c>
      <c r="R53" s="50">
        <f t="shared" si="18"/>
        <v>-14537457.847566351</v>
      </c>
      <c r="S53" s="6"/>
      <c r="T53" s="44"/>
      <c r="U53" s="50">
        <f>NPV($C$10,J53:J$54)*(1+$C$10)</f>
        <v>4009639.7941584345</v>
      </c>
      <c r="V53" s="50">
        <f>NPV($C$10,K53:K$54)*(1+$C$10)</f>
        <v>-1002409.9485396086</v>
      </c>
      <c r="W53" s="50">
        <f>NPV($C$10,L53:L$54)*(1+$C$10)</f>
        <v>-60144.596912376517</v>
      </c>
      <c r="X53" s="50">
        <f>NPV($C$10,M53:M$54)*(1+$C$10)</f>
        <v>-491756.35802313371</v>
      </c>
      <c r="Y53" s="50">
        <f>NPV($C$10,N53:N$54)</f>
        <v>-23507194.828323171</v>
      </c>
      <c r="Z53" s="50">
        <f>NPV($C$10,O53:O$54)</f>
        <v>-352607.92242484755</v>
      </c>
      <c r="AA53" s="55">
        <f>Y53*Model!$AA$14</f>
        <v>1281113.696967137</v>
      </c>
      <c r="AB53" s="56">
        <f t="shared" si="12"/>
        <v>7451420.2393859867</v>
      </c>
      <c r="AC53" s="44">
        <f t="shared" si="1"/>
        <v>0</v>
      </c>
      <c r="AD53" s="6"/>
      <c r="AE53" s="62">
        <f>N53*Model!$AA$14</f>
        <v>873892.41946375265</v>
      </c>
      <c r="AF53" s="50">
        <f t="shared" si="13"/>
        <v>7893872.1435559671</v>
      </c>
      <c r="AG53" s="50">
        <f>NPV($C$11,R54:R$55)</f>
        <v>-6803877.3255667277</v>
      </c>
      <c r="AH53" s="6">
        <f>SUM(J53:O53)+(AF52+J53+K53+L53+M53)*inv_income_pa-(AF53-AF52)</f>
        <v>934825.19262048043</v>
      </c>
      <c r="AI53" s="25"/>
    </row>
    <row r="54" spans="1:35" ht="15" x14ac:dyDescent="0.25">
      <c r="A54" s="21">
        <f t="shared" si="21"/>
        <v>35</v>
      </c>
      <c r="B54" s="47">
        <f t="shared" si="21"/>
        <v>2049</v>
      </c>
      <c r="C54" s="49">
        <f t="shared" si="2"/>
        <v>1.1691972482422682E-2</v>
      </c>
      <c r="D54" s="42">
        <f t="shared" si="3"/>
        <v>0</v>
      </c>
      <c r="E54" s="42">
        <f t="shared" si="4"/>
        <v>1</v>
      </c>
      <c r="F54" s="49">
        <f>F53*(1-C54)*(1-D54)*(1-E54)</f>
        <v>0</v>
      </c>
      <c r="G54" s="37"/>
      <c r="H54" s="50">
        <f t="shared" si="15"/>
        <v>580.35682093980665</v>
      </c>
      <c r="I54" s="50">
        <f t="shared" si="5"/>
        <v>713465942.58390498</v>
      </c>
      <c r="J54" s="50">
        <f t="shared" si="16"/>
        <v>1292744.8186434193</v>
      </c>
      <c r="K54" s="50">
        <f t="shared" si="6"/>
        <v>-323186.20466085483</v>
      </c>
      <c r="L54" s="50">
        <f t="shared" si="7"/>
        <v>-19391.172279651288</v>
      </c>
      <c r="M54" s="50">
        <f t="shared" si="8"/>
        <v>-161245.55908955305</v>
      </c>
      <c r="N54" s="50">
        <f t="shared" si="17"/>
        <v>-8341824.1678367779</v>
      </c>
      <c r="O54" s="50">
        <f t="shared" si="9"/>
        <v>-125127.36251755166</v>
      </c>
      <c r="P54" s="50">
        <f t="shared" si="10"/>
        <v>23667.656478400804</v>
      </c>
      <c r="Q54" s="50">
        <f t="shared" si="11"/>
        <v>0</v>
      </c>
      <c r="R54" s="50">
        <f t="shared" si="18"/>
        <v>-7654361.9912625691</v>
      </c>
      <c r="S54" s="6"/>
      <c r="T54" s="44"/>
      <c r="U54" s="50">
        <f>NPV($C$10,J54:J$54)*(1+$C$10)</f>
        <v>1292744.8186434193</v>
      </c>
      <c r="V54" s="50">
        <f>NPV($C$10,K54:K$54)*(1+$C$10)</f>
        <v>-323186.20466085483</v>
      </c>
      <c r="W54" s="50">
        <f>NPV($C$10,L54:L$54)*(1+$C$10)</f>
        <v>-19391.172279651288</v>
      </c>
      <c r="X54" s="50">
        <f>NPV($C$10,M54:M$54)*(1+$C$10)</f>
        <v>-161245.55908955305</v>
      </c>
      <c r="Y54" s="50">
        <f>NPV($C$10,N54:N$54)</f>
        <v>-8118563.6669944301</v>
      </c>
      <c r="Z54" s="50">
        <f>NPV($C$10,O54:O$54)</f>
        <v>-121778.45500491645</v>
      </c>
      <c r="AA54" s="55">
        <f>Y54*Model!$AA$14</f>
        <v>442451.90416998079</v>
      </c>
      <c r="AB54" s="56">
        <f t="shared" si="12"/>
        <v>0</v>
      </c>
      <c r="AC54" s="44">
        <f t="shared" si="1"/>
        <v>0</v>
      </c>
      <c r="AD54" s="6"/>
      <c r="AE54" s="62">
        <f>N54*Model!$AA$14</f>
        <v>454619.3315346553</v>
      </c>
      <c r="AF54" s="50">
        <f t="shared" si="13"/>
        <v>0</v>
      </c>
      <c r="AG54" s="50">
        <f>NPV($C$11,R55:R$55)</f>
        <v>0</v>
      </c>
      <c r="AH54" s="6">
        <f>SUM(J54:O54)+(AF53+J54+K54+L54+M54)*inv_income_pa-(AF54-AF53)</f>
        <v>476326.31660007779</v>
      </c>
      <c r="AI54" s="25"/>
    </row>
    <row r="55" spans="1:35" ht="15" x14ac:dyDescent="0.25">
      <c r="A55" s="21"/>
      <c r="C55" s="37"/>
      <c r="D55" s="38"/>
      <c r="E55" s="38"/>
      <c r="F55" s="37"/>
      <c r="G55" s="37"/>
      <c r="U55" s="44"/>
      <c r="V55" s="44"/>
      <c r="W55" s="44"/>
      <c r="X55" s="44"/>
      <c r="AB55"/>
      <c r="AE55" s="50"/>
    </row>
    <row r="56" spans="1:35" ht="15" x14ac:dyDescent="0.25">
      <c r="A56" s="21"/>
      <c r="C56" s="37"/>
      <c r="D56" s="38"/>
      <c r="E56" s="38"/>
      <c r="F56" s="37"/>
      <c r="G56" s="37"/>
      <c r="AB56"/>
      <c r="AE56" s="50"/>
    </row>
    <row r="57" spans="1:35" ht="15" x14ac:dyDescent="0.25">
      <c r="A57" s="21"/>
      <c r="C57" s="37"/>
      <c r="D57" s="38"/>
      <c r="E57" s="38"/>
      <c r="F57" s="37"/>
      <c r="G57" s="37"/>
      <c r="AB57"/>
      <c r="AE57" s="50"/>
    </row>
    <row r="58" spans="1:35" ht="15" x14ac:dyDescent="0.25">
      <c r="AB58"/>
      <c r="AE58" s="50"/>
    </row>
    <row r="59" spans="1:35" ht="15" x14ac:dyDescent="0.25">
      <c r="AB59"/>
      <c r="AE59" s="50"/>
    </row>
    <row r="60" spans="1:35" x14ac:dyDescent="0.2">
      <c r="AE60" s="50"/>
    </row>
    <row r="61" spans="1:35" x14ac:dyDescent="0.2">
      <c r="AE61" s="50"/>
    </row>
    <row r="62" spans="1:35" x14ac:dyDescent="0.2">
      <c r="AE62" s="50"/>
    </row>
    <row r="63" spans="1:35" x14ac:dyDescent="0.2">
      <c r="AE63" s="50"/>
    </row>
    <row r="64" spans="1:35" x14ac:dyDescent="0.2">
      <c r="AE64" s="50"/>
    </row>
    <row r="65" spans="31:31" x14ac:dyDescent="0.2">
      <c r="AE65" s="50"/>
    </row>
    <row r="66" spans="31:31" x14ac:dyDescent="0.2">
      <c r="AE66" s="50"/>
    </row>
    <row r="67" spans="31:31" x14ac:dyDescent="0.2">
      <c r="AE67" s="50"/>
    </row>
    <row r="68" spans="31:31" x14ac:dyDescent="0.2">
      <c r="AE68" s="50"/>
    </row>
    <row r="69" spans="31:31" x14ac:dyDescent="0.2">
      <c r="AE69" s="50"/>
    </row>
    <row r="70" spans="31:31" x14ac:dyDescent="0.2">
      <c r="AE70" s="50"/>
    </row>
    <row r="71" spans="31:31" x14ac:dyDescent="0.2">
      <c r="AE71" s="50"/>
    </row>
  </sheetData>
  <mergeCells count="3">
    <mergeCell ref="H16:R16"/>
    <mergeCell ref="U16:AA16"/>
    <mergeCell ref="AE16:A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Assumptions</vt:lpstr>
      <vt:lpstr>Model</vt:lpstr>
      <vt:lpstr>Lapse Stress</vt:lpstr>
      <vt:lpstr>claim_exp_pc</vt:lpstr>
      <vt:lpstr>clm_exp_margin</vt:lpstr>
      <vt:lpstr>clm_margin</vt:lpstr>
      <vt:lpstr>clm_rate_inc</vt:lpstr>
      <vt:lpstr>exp_index</vt:lpstr>
      <vt:lpstr>exp_rate</vt:lpstr>
      <vt:lpstr>inv_income_pa</vt:lpstr>
      <vt:lpstr>lapse_rate</vt:lpstr>
      <vt:lpstr>num_pol_if</vt:lpstr>
      <vt:lpstr>pp_exp_margin</vt:lpstr>
      <vt:lpstr>pp_expense</vt:lpstr>
      <vt:lpstr>prem_exp</vt:lpstr>
      <vt:lpstr>prem_if</vt:lpstr>
      <vt:lpstr>qx</vt:lpstr>
      <vt:lpstr>ren_comm</vt:lpstr>
      <vt:lpstr>risk_disc_rate</vt:lpstr>
      <vt:lpstr>risk_free_rate</vt:lpstr>
      <vt:lpstr>si_if</vt:lpstr>
      <vt:lpstr>si_index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Zhu, Vincent</cp:lastModifiedBy>
  <dcterms:created xsi:type="dcterms:W3CDTF">2015-01-26T05:56:17Z</dcterms:created>
  <dcterms:modified xsi:type="dcterms:W3CDTF">2020-03-11T08:46:14Z</dcterms:modified>
</cp:coreProperties>
</file>