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direction session\Desktop\PHD - Pot Haute Définition\Experiment 1\FIgures and tables\"/>
    </mc:Choice>
  </mc:AlternateContent>
  <xr:revisionPtr revIDLastSave="0" documentId="13_ncr:1_{9963A1A3-A868-4017-B522-F6DB82F05037}" xr6:coauthVersionLast="47" xr6:coauthVersionMax="47" xr10:uidLastSave="{00000000-0000-0000-0000-000000000000}"/>
  <bookViews>
    <workbookView xWindow="-120" yWindow="-120" windowWidth="29040" windowHeight="15840" xr2:uid="{3999DE21-7F8A-4967-AA65-3C03C4A7BC82}"/>
  </bookViews>
  <sheets>
    <sheet name="S1 Data source" sheetId="8" r:id="rId1"/>
    <sheet name="S1 calculations" sheetId="1" r:id="rId2"/>
    <sheet name="Drying" sheetId="7" r:id="rId3"/>
    <sheet name="Emission factors" sheetId="3" r:id="rId4"/>
    <sheet name="Tractor &amp; Steamer" sheetId="6" r:id="rId5"/>
    <sheet name="Trans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8" l="1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C35" i="8"/>
  <c r="D35" i="8"/>
  <c r="E35" i="8"/>
  <c r="B35" i="8"/>
  <c r="B31" i="8"/>
  <c r="C31" i="8"/>
  <c r="D31" i="8"/>
  <c r="E31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C5" i="8"/>
  <c r="D5" i="8"/>
  <c r="E5" i="8"/>
  <c r="B5" i="8"/>
  <c r="J37" i="1" l="1"/>
  <c r="B3" i="3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C60" i="1"/>
  <c r="D60" i="1"/>
  <c r="E60" i="1"/>
  <c r="F60" i="1"/>
  <c r="C61" i="1"/>
  <c r="D61" i="1"/>
  <c r="E61" i="1"/>
  <c r="F61" i="1"/>
  <c r="D59" i="1"/>
  <c r="E59" i="1"/>
  <c r="F59" i="1"/>
  <c r="C59" i="1"/>
  <c r="D56" i="1"/>
  <c r="E56" i="1"/>
  <c r="F56" i="1"/>
  <c r="C56" i="1"/>
  <c r="C50" i="1"/>
  <c r="F46" i="1"/>
  <c r="D46" i="1"/>
  <c r="E46" i="1"/>
  <c r="C46" i="1"/>
  <c r="C15" i="1"/>
  <c r="B47" i="4"/>
  <c r="B46" i="4"/>
  <c r="B45" i="4"/>
  <c r="B34" i="4"/>
  <c r="C29" i="4"/>
  <c r="D29" i="4"/>
  <c r="E29" i="4"/>
  <c r="B29" i="4"/>
  <c r="C24" i="4"/>
  <c r="D24" i="4"/>
  <c r="E24" i="4"/>
  <c r="B24" i="4"/>
  <c r="B4" i="4"/>
  <c r="C43" i="4"/>
  <c r="D43" i="4"/>
  <c r="E43" i="4"/>
  <c r="B43" i="4"/>
  <c r="B21" i="4"/>
  <c r="E6" i="4"/>
  <c r="D6" i="4"/>
  <c r="C6" i="4"/>
  <c r="B6" i="4"/>
  <c r="E47" i="4"/>
  <c r="D47" i="4"/>
  <c r="C47" i="4"/>
  <c r="C26" i="1"/>
  <c r="D26" i="1"/>
  <c r="E26" i="1"/>
  <c r="F26" i="1"/>
  <c r="C27" i="1"/>
  <c r="D27" i="1"/>
  <c r="E27" i="1"/>
  <c r="F27" i="1"/>
  <c r="D25" i="1"/>
  <c r="E25" i="1"/>
  <c r="F25" i="1"/>
  <c r="C25" i="1"/>
  <c r="C10" i="6"/>
  <c r="D10" i="6"/>
  <c r="E10" i="6"/>
  <c r="B10" i="6"/>
  <c r="C8" i="6"/>
  <c r="D8" i="6"/>
  <c r="E8" i="6"/>
  <c r="B8" i="6"/>
  <c r="E16" i="6"/>
  <c r="D16" i="6"/>
  <c r="C16" i="6"/>
  <c r="B16" i="6"/>
  <c r="E7" i="6"/>
  <c r="D7" i="6"/>
  <c r="C7" i="6"/>
  <c r="B7" i="6"/>
  <c r="F55" i="1"/>
  <c r="E55" i="1"/>
  <c r="D55" i="1"/>
  <c r="C55" i="1"/>
  <c r="F54" i="1"/>
  <c r="E54" i="1"/>
  <c r="D54" i="1"/>
  <c r="C54" i="1"/>
  <c r="F53" i="1"/>
  <c r="E53" i="1"/>
  <c r="D53" i="1"/>
  <c r="C53" i="1"/>
  <c r="F51" i="1"/>
  <c r="E51" i="1"/>
  <c r="D51" i="1"/>
  <c r="C51" i="1"/>
  <c r="F50" i="1"/>
  <c r="E50" i="1"/>
  <c r="D50" i="1"/>
  <c r="D49" i="1"/>
  <c r="C49" i="1"/>
  <c r="D48" i="1"/>
  <c r="C48" i="1"/>
  <c r="F24" i="1"/>
  <c r="E24" i="1"/>
  <c r="D24" i="1"/>
  <c r="C24" i="1"/>
  <c r="F23" i="1"/>
  <c r="E23" i="1"/>
  <c r="D23" i="1"/>
  <c r="C23" i="1"/>
  <c r="F22" i="1"/>
  <c r="E22" i="1"/>
  <c r="D22" i="1"/>
  <c r="C22" i="1"/>
  <c r="F20" i="1"/>
  <c r="E20" i="1"/>
  <c r="D20" i="1"/>
  <c r="C20" i="1"/>
  <c r="F19" i="1"/>
  <c r="E19" i="1"/>
  <c r="D19" i="1"/>
  <c r="C19" i="1"/>
  <c r="D18" i="1"/>
  <c r="C18" i="1"/>
  <c r="D17" i="1"/>
  <c r="C17" i="1"/>
  <c r="J26" i="1"/>
  <c r="J23" i="1" l="1"/>
  <c r="D20" i="7"/>
  <c r="C20" i="7"/>
  <c r="D4" i="6"/>
  <c r="J27" i="1"/>
  <c r="B8" i="3"/>
  <c r="B7" i="3"/>
  <c r="B6" i="3"/>
  <c r="B4" i="3"/>
  <c r="D18" i="6" l="1"/>
  <c r="E58" i="1" s="1"/>
  <c r="D17" i="6"/>
  <c r="C22" i="7"/>
  <c r="C21" i="7"/>
  <c r="B38" i="6"/>
  <c r="B37" i="6"/>
  <c r="B39" i="6" s="1"/>
  <c r="B40" i="6" s="1"/>
  <c r="B36" i="6"/>
  <c r="D22" i="7"/>
  <c r="B41" i="6"/>
  <c r="D5" i="6"/>
  <c r="E5" i="6"/>
  <c r="C4" i="6"/>
  <c r="E4" i="6"/>
  <c r="B4" i="6"/>
  <c r="C18" i="7"/>
  <c r="B6" i="7"/>
  <c r="C6" i="7"/>
  <c r="B7" i="7"/>
  <c r="C7" i="7"/>
  <c r="C12" i="7"/>
  <c r="B13" i="7"/>
  <c r="C13" i="7" s="1"/>
  <c r="B12" i="7"/>
  <c r="B11" i="7"/>
  <c r="C11" i="7" s="1"/>
  <c r="K11" i="1"/>
  <c r="J11" i="1"/>
  <c r="J10" i="1"/>
  <c r="J4" i="6"/>
  <c r="N10" i="3" s="1"/>
  <c r="J6" i="6"/>
  <c r="J7" i="6" s="1"/>
  <c r="L6" i="3"/>
  <c r="K6" i="3"/>
  <c r="O11" i="3"/>
  <c r="N11" i="3"/>
  <c r="O12" i="3"/>
  <c r="N12" i="3"/>
  <c r="O9" i="3"/>
  <c r="L11" i="3" s="1"/>
  <c r="N9" i="3"/>
  <c r="K11" i="3" s="1"/>
  <c r="O8" i="3"/>
  <c r="J11" i="3" s="1"/>
  <c r="N8" i="3"/>
  <c r="I10" i="3" s="1"/>
  <c r="J6" i="3"/>
  <c r="L9" i="3" s="1"/>
  <c r="E6" i="3" s="1"/>
  <c r="I6" i="3"/>
  <c r="K9" i="3" s="1"/>
  <c r="D8" i="3" s="1"/>
  <c r="B26" i="6"/>
  <c r="B28" i="6" s="1"/>
  <c r="D19" i="6" l="1"/>
  <c r="E57" i="1"/>
  <c r="C18" i="6"/>
  <c r="D58" i="1" s="1"/>
  <c r="C17" i="6"/>
  <c r="B18" i="6"/>
  <c r="C58" i="1" s="1"/>
  <c r="B17" i="6"/>
  <c r="E18" i="6"/>
  <c r="F58" i="1" s="1"/>
  <c r="G58" i="1" s="1"/>
  <c r="E17" i="6"/>
  <c r="B29" i="6"/>
  <c r="B31" i="6" s="1"/>
  <c r="B32" i="6"/>
  <c r="F36" i="1"/>
  <c r="F5" i="1"/>
  <c r="E36" i="1"/>
  <c r="E5" i="1"/>
  <c r="C36" i="1"/>
  <c r="C5" i="1"/>
  <c r="J16" i="1"/>
  <c r="C41" i="1"/>
  <c r="C16" i="1"/>
  <c r="C11" i="1"/>
  <c r="C7" i="1"/>
  <c r="B17" i="4" s="1"/>
  <c r="B39" i="4" s="1"/>
  <c r="C8" i="1"/>
  <c r="B18" i="4" s="1"/>
  <c r="B40" i="4" s="1"/>
  <c r="C38" i="1"/>
  <c r="C37" i="1"/>
  <c r="C10" i="1"/>
  <c r="C6" i="1"/>
  <c r="C39" i="1"/>
  <c r="C42" i="1"/>
  <c r="C47" i="1"/>
  <c r="L16" i="1"/>
  <c r="E37" i="1"/>
  <c r="E10" i="1"/>
  <c r="E6" i="1"/>
  <c r="E47" i="1"/>
  <c r="E8" i="1"/>
  <c r="E39" i="1"/>
  <c r="E42" i="1"/>
  <c r="E38" i="1"/>
  <c r="E41" i="1"/>
  <c r="E16" i="1"/>
  <c r="E11" i="1"/>
  <c r="E7" i="1"/>
  <c r="M16" i="1"/>
  <c r="F47" i="1"/>
  <c r="F37" i="1"/>
  <c r="F10" i="1"/>
  <c r="F6" i="1"/>
  <c r="F41" i="1"/>
  <c r="F11" i="1"/>
  <c r="F38" i="1"/>
  <c r="F8" i="1"/>
  <c r="F39" i="1"/>
  <c r="F42" i="1"/>
  <c r="F16" i="1"/>
  <c r="F7" i="1"/>
  <c r="E17" i="4" s="1"/>
  <c r="E39" i="4" s="1"/>
  <c r="E20" i="7"/>
  <c r="E9" i="4"/>
  <c r="D17" i="4"/>
  <c r="D39" i="4" s="1"/>
  <c r="D6" i="3"/>
  <c r="D3" i="3"/>
  <c r="D4" i="3" s="1"/>
  <c r="C14" i="7"/>
  <c r="C15" i="7" s="1"/>
  <c r="O10" i="3"/>
  <c r="J12" i="1"/>
  <c r="K13" i="1"/>
  <c r="K12" i="1"/>
  <c r="E8" i="3"/>
  <c r="E3" i="3"/>
  <c r="E4" i="3" s="1"/>
  <c r="I11" i="3"/>
  <c r="J10" i="3"/>
  <c r="C7" i="3" s="1"/>
  <c r="K10" i="3"/>
  <c r="D7" i="3" s="1"/>
  <c r="L10" i="3"/>
  <c r="E7" i="3" s="1"/>
  <c r="J9" i="3"/>
  <c r="C6" i="3" s="1"/>
  <c r="I9" i="3"/>
  <c r="C19" i="6" l="1"/>
  <c r="D57" i="1"/>
  <c r="G37" i="1"/>
  <c r="B19" i="6"/>
  <c r="C57" i="1"/>
  <c r="G36" i="1"/>
  <c r="E19" i="6"/>
  <c r="F57" i="1"/>
  <c r="G57" i="1" s="1"/>
  <c r="E62" i="1"/>
  <c r="E31" i="1"/>
  <c r="F62" i="1"/>
  <c r="F31" i="1"/>
  <c r="J40" i="1"/>
  <c r="O43" i="1" s="1"/>
  <c r="C44" i="1"/>
  <c r="C13" i="1"/>
  <c r="C62" i="1"/>
  <c r="C31" i="1"/>
  <c r="B8" i="4"/>
  <c r="B36" i="4" s="1"/>
  <c r="D8" i="4"/>
  <c r="D36" i="4" s="1"/>
  <c r="C8" i="3"/>
  <c r="C3" i="3"/>
  <c r="C4" i="3" s="1"/>
  <c r="E18" i="7" l="1"/>
  <c r="E22" i="7" s="1"/>
  <c r="D18" i="7"/>
  <c r="E21" i="7"/>
  <c r="C31" i="4"/>
  <c r="D31" i="4"/>
  <c r="E31" i="4"/>
  <c r="B31" i="4"/>
  <c r="C26" i="4"/>
  <c r="D26" i="4"/>
  <c r="E26" i="4"/>
  <c r="B26" i="4"/>
  <c r="E46" i="4" l="1"/>
  <c r="E5" i="4"/>
  <c r="D46" i="4"/>
  <c r="D5" i="4"/>
  <c r="C5" i="4"/>
  <c r="C46" i="4"/>
  <c r="B5" i="4"/>
  <c r="E48" i="1"/>
  <c r="E17" i="1"/>
  <c r="E49" i="1"/>
  <c r="E18" i="1"/>
  <c r="D21" i="7"/>
  <c r="E29" i="1" l="1"/>
  <c r="D29" i="1"/>
  <c r="F29" i="1"/>
  <c r="C29" i="1"/>
  <c r="J30" i="1"/>
  <c r="J21" i="1"/>
  <c r="J22" i="1"/>
  <c r="K14" i="1"/>
  <c r="J14" i="1"/>
  <c r="J28" i="1" l="1"/>
  <c r="B5" i="3"/>
  <c r="D5" i="3"/>
  <c r="E5" i="3"/>
  <c r="J25" i="1"/>
  <c r="B9" i="4"/>
  <c r="B11" i="4" s="1"/>
  <c r="K10" i="1"/>
  <c r="K16" i="1" l="1"/>
  <c r="D47" i="1"/>
  <c r="D7" i="1"/>
  <c r="D38" i="1"/>
  <c r="D37" i="1"/>
  <c r="D10" i="1"/>
  <c r="D6" i="1"/>
  <c r="D42" i="1"/>
  <c r="D8" i="1"/>
  <c r="D11" i="1"/>
  <c r="D40" i="1"/>
  <c r="D43" i="1"/>
  <c r="D9" i="1"/>
  <c r="D12" i="1"/>
  <c r="D16" i="1"/>
  <c r="D39" i="1"/>
  <c r="D41" i="1"/>
  <c r="D5" i="1"/>
  <c r="D36" i="1"/>
  <c r="E40" i="1"/>
  <c r="E9" i="1"/>
  <c r="E15" i="1" s="1"/>
  <c r="F40" i="1"/>
  <c r="C40" i="1"/>
  <c r="F9" i="1"/>
  <c r="F15" i="1" s="1"/>
  <c r="C9" i="1"/>
  <c r="E12" i="1"/>
  <c r="E43" i="1"/>
  <c r="F43" i="1"/>
  <c r="C12" i="1"/>
  <c r="C43" i="1"/>
  <c r="F12" i="1"/>
  <c r="E13" i="4" s="1"/>
  <c r="E15" i="4" s="1"/>
  <c r="C52" i="1"/>
  <c r="C21" i="1"/>
  <c r="F21" i="1"/>
  <c r="F52" i="1"/>
  <c r="E21" i="1"/>
  <c r="E52" i="1"/>
  <c r="F20" i="7"/>
  <c r="F21" i="7" s="1"/>
  <c r="B13" i="4"/>
  <c r="C17" i="4"/>
  <c r="C39" i="4" s="1"/>
  <c r="F18" i="7"/>
  <c r="F22" i="7" s="1"/>
  <c r="C5" i="3"/>
  <c r="C9" i="4"/>
  <c r="D13" i="4"/>
  <c r="M38" i="1"/>
  <c r="M37" i="1"/>
  <c r="E8" i="4"/>
  <c r="C8" i="4"/>
  <c r="C19" i="4"/>
  <c r="C41" i="4" s="1"/>
  <c r="C18" i="4"/>
  <c r="C40" i="4" s="1"/>
  <c r="K38" i="1"/>
  <c r="K37" i="1"/>
  <c r="J38" i="1"/>
  <c r="L38" i="1"/>
  <c r="L37" i="1"/>
  <c r="J13" i="1"/>
  <c r="D14" i="1" l="1"/>
  <c r="D45" i="1"/>
  <c r="E14" i="1"/>
  <c r="E45" i="1"/>
  <c r="C45" i="1"/>
  <c r="C14" i="1"/>
  <c r="D15" i="1"/>
  <c r="D31" i="1"/>
  <c r="D62" i="1"/>
  <c r="D44" i="1"/>
  <c r="D13" i="1"/>
  <c r="F44" i="1"/>
  <c r="F13" i="1"/>
  <c r="E19" i="4"/>
  <c r="E41" i="4" s="1"/>
  <c r="F45" i="1"/>
  <c r="F14" i="1"/>
  <c r="B19" i="4"/>
  <c r="B41" i="4" s="1"/>
  <c r="E44" i="1"/>
  <c r="E13" i="1"/>
  <c r="D19" i="4"/>
  <c r="D41" i="4" s="1"/>
  <c r="D52" i="1"/>
  <c r="D21" i="1"/>
  <c r="F18" i="1"/>
  <c r="F49" i="1"/>
  <c r="F48" i="1"/>
  <c r="F17" i="1"/>
  <c r="D9" i="4"/>
  <c r="D11" i="4" s="1"/>
  <c r="E18" i="4"/>
  <c r="E40" i="4" s="1"/>
  <c r="E34" i="4"/>
  <c r="D18" i="4"/>
  <c r="D40" i="4" s="1"/>
  <c r="E11" i="4"/>
  <c r="E36" i="4"/>
  <c r="D15" i="4"/>
  <c r="C21" i="4"/>
  <c r="C11" i="4"/>
  <c r="C36" i="4"/>
  <c r="B15" i="4"/>
  <c r="C13" i="4"/>
  <c r="L41" i="1"/>
  <c r="J41" i="1"/>
  <c r="M40" i="1"/>
  <c r="L40" i="1"/>
  <c r="K41" i="1"/>
  <c r="K40" i="1"/>
  <c r="M41" i="1"/>
  <c r="E4" i="4" l="1"/>
  <c r="E45" i="4"/>
  <c r="D34" i="4"/>
  <c r="D4" i="4" s="1"/>
  <c r="E30" i="1"/>
  <c r="C28" i="1"/>
  <c r="C30" i="1"/>
  <c r="F30" i="1"/>
  <c r="E21" i="4"/>
  <c r="D21" i="4"/>
  <c r="C15" i="4"/>
  <c r="C34" i="4"/>
  <c r="E28" i="1" l="1"/>
  <c r="D45" i="4"/>
  <c r="C45" i="4"/>
  <c r="C4" i="4"/>
  <c r="D28" i="1"/>
  <c r="D30" i="1"/>
  <c r="F28" i="1"/>
</calcChain>
</file>

<file path=xl/sharedStrings.xml><?xml version="1.0" encoding="utf-8"?>
<sst xmlns="http://schemas.openxmlformats.org/spreadsheetml/2006/main" count="549" uniqueCount="266">
  <si>
    <t>H-</t>
  </si>
  <si>
    <t>L+</t>
  </si>
  <si>
    <t>Field parameters</t>
  </si>
  <si>
    <t>size (ha)</t>
  </si>
  <si>
    <t>size (m2)</t>
  </si>
  <si>
    <t>plant density (plant/m2)</t>
  </si>
  <si>
    <t>plant density (plant/ha)</t>
  </si>
  <si>
    <t>ref</t>
  </si>
  <si>
    <t>manuscript</t>
  </si>
  <si>
    <t>Yield parameters</t>
  </si>
  <si>
    <t>avg g flower/plant</t>
  </si>
  <si>
    <t>se g flower/plant</t>
  </si>
  <si>
    <t>avg g thc/plant</t>
  </si>
  <si>
    <t>se g thc/plant</t>
  </si>
  <si>
    <t>plants/kg flower</t>
  </si>
  <si>
    <t>plants/100g thc</t>
  </si>
  <si>
    <t>Manuscript</t>
  </si>
  <si>
    <t>Fertilizer input/FU</t>
  </si>
  <si>
    <t>kg bud/ha</t>
  </si>
  <si>
    <t>g THC/ha</t>
  </si>
  <si>
    <t>Emission/FU</t>
  </si>
  <si>
    <t>comment</t>
  </si>
  <si>
    <t>water/plant (L)</t>
  </si>
  <si>
    <t>water/plant (gal)</t>
  </si>
  <si>
    <t>4 GPM * 15 minutes*23days (every three days for 70 days)/36 plants</t>
  </si>
  <si>
    <t>kg flower</t>
  </si>
  <si>
    <t>100g THC</t>
  </si>
  <si>
    <t>phosphate to water (12% total P)</t>
  </si>
  <si>
    <t>Dry biomas/plant</t>
  </si>
  <si>
    <t>Kirby</t>
  </si>
  <si>
    <t>g N-Nitrate to water (1% total N)</t>
  </si>
  <si>
    <t>carbon fixation (50% of dry mass)</t>
  </si>
  <si>
    <t>(80% water content)</t>
  </si>
  <si>
    <t>FU</t>
  </si>
  <si>
    <t>Treatment</t>
  </si>
  <si>
    <t>cm3 poting mix/plant</t>
  </si>
  <si>
    <t>Tech sheet</t>
  </si>
  <si>
    <t>g potting mix/plant</t>
  </si>
  <si>
    <t>g peat/plant</t>
  </si>
  <si>
    <t>g limestone/plant</t>
  </si>
  <si>
    <t>g perlite/plant</t>
  </si>
  <si>
    <t>assumed</t>
  </si>
  <si>
    <t>g NPKfert/plant</t>
  </si>
  <si>
    <t>g KCL fert/plant</t>
  </si>
  <si>
    <t>g NPK fert/FU</t>
  </si>
  <si>
    <t>1kg bud</t>
  </si>
  <si>
    <t>g KCl fert/FU</t>
  </si>
  <si>
    <t>Manuscript (14-14-14)</t>
  </si>
  <si>
    <t>EcoInvent 3.8 NPK (15-15-15) fertiliser production | NPK (15-15-15) fertiliser | Cutoff, U</t>
  </si>
  <si>
    <t>Manuscript (0-0-60)</t>
  </si>
  <si>
    <t>EcoInvent 3.8 potassium mining and benefication | potassium chloride | Cutoff, U</t>
  </si>
  <si>
    <t>LCA source</t>
  </si>
  <si>
    <t>peat moss production, horticultural use | peat moss | Cutoff, U</t>
  </si>
  <si>
    <t>https://www.buyrope.co.uk/1-8mm-white-twisted-nylon-twine-3kg/</t>
  </si>
  <si>
    <t>weight of 1 m long  1.5 mm nylon (g/m)</t>
  </si>
  <si>
    <t>g of 1.5mm nylon /plant</t>
  </si>
  <si>
    <t>water use (L/FU)</t>
  </si>
  <si>
    <t>Land use (m2/FU)</t>
  </si>
  <si>
    <t>Limestone (g/FU)</t>
  </si>
  <si>
    <t>Perlite (g/FU)</t>
  </si>
  <si>
    <t>Nylon (g/FU)</t>
  </si>
  <si>
    <t>NPK fert (g /FU)</t>
  </si>
  <si>
    <t>KCl fert (g /FU)</t>
  </si>
  <si>
    <t>fu</t>
  </si>
  <si>
    <t xml:space="preserve"> 0.556 kg of LDPE plastic packaging per peat m³</t>
  </si>
  <si>
    <t>g plastic pot/plant</t>
  </si>
  <si>
    <t>Plastic pots (g/FU)</t>
  </si>
  <si>
    <t>Plastic wrap (g/FU)</t>
  </si>
  <si>
    <t>g plastic wrap/plant</t>
  </si>
  <si>
    <t>input/plant</t>
  </si>
  <si>
    <t>potting mix density g/cm3</t>
  </si>
  <si>
    <t>per FU</t>
  </si>
  <si>
    <t>Harvest waste/plant</t>
  </si>
  <si>
    <t>Harvest waste (g/FU)</t>
  </si>
  <si>
    <t>In process market for perlite | perlite | Cutoff, U</t>
  </si>
  <si>
    <t>polyethylene production, low density, granulate | polyethylene, low density, granulate | Cutoff, U</t>
  </si>
  <si>
    <t>transport, freight, sea, container ship | transport, freight, sea, container ship | Cutoff, U</t>
  </si>
  <si>
    <t>transport, freight, light commercial vehicle | transport, freight, light commercial vehicle | Cutoff, U</t>
  </si>
  <si>
    <t>t*km (boat)</t>
  </si>
  <si>
    <t>From China to MTL (km)</t>
  </si>
  <si>
    <t>From EU to MTL (km)</t>
  </si>
  <si>
    <t>nylon 6 production | nylon 6 | Cutoff, U</t>
  </si>
  <si>
    <t>limestone production, crushed, washed | limestone, crushed, washed | Cutoff, U</t>
  </si>
  <si>
    <t>NPK (15-15-15) fertiliser production | NPK (15-15-15) fertiliser | Cutoff, U</t>
  </si>
  <si>
    <t>potassium mining and benefication | potassium chloride | Cutoff, U</t>
  </si>
  <si>
    <t>https://www.worldfertilizer.com/project-news/02072021/northern-nutrients-to-build-urea-fertilizer-manufacturing-facility-in-saskatchewan/</t>
  </si>
  <si>
    <t>https://www.statista.com/statistics/1281524/urea-plant-production-capacity-united-states/</t>
  </si>
  <si>
    <t>t*km (train)</t>
  </si>
  <si>
    <t>t*km (light vehicule)</t>
  </si>
  <si>
    <t>market for transport, freight train | transport, freight train | Cutoff, U</t>
  </si>
  <si>
    <t>Total t*km (boat)</t>
  </si>
  <si>
    <t>Total t*km (train)</t>
  </si>
  <si>
    <t>Total t*km (light vehicule)</t>
  </si>
  <si>
    <t>one plot</t>
  </si>
  <si>
    <t>1m each</t>
  </si>
  <si>
    <t>speed</t>
  </si>
  <si>
    <t>2.75 mph</t>
  </si>
  <si>
    <t>time for one 100mpass</t>
  </si>
  <si>
    <t>average fuel consumption</t>
  </si>
  <si>
    <t>22 l/h</t>
  </si>
  <si>
    <t>MJ to litre diesel</t>
  </si>
  <si>
    <t>100x100m</t>
  </si>
  <si>
    <t>tractor useful lfe (h)</t>
  </si>
  <si>
    <t>Total number of passes for setting up and harvesting</t>
  </si>
  <si>
    <t>Setup and harvest needs 20 tractor pass</t>
  </si>
  <si>
    <t>Diesel need for Harvest and setup</t>
  </si>
  <si>
    <t>h</t>
  </si>
  <si>
    <t>https://www.jstor.org/stable/44717890?seq=12#metadata_info_tab_contents</t>
  </si>
  <si>
    <t>tractor</t>
  </si>
  <si>
    <t>https://tractortestlab.unl.edu/John%20Deere%206195M.pdf</t>
  </si>
  <si>
    <t>l</t>
  </si>
  <si>
    <t>MJ/L</t>
  </si>
  <si>
    <t>MJ</t>
  </si>
  <si>
    <t>g N2O to air (1% total N)</t>
  </si>
  <si>
    <t>g Ntotal/plant</t>
  </si>
  <si>
    <t>g Nfert/plant</t>
  </si>
  <si>
    <t>kg bud</t>
  </si>
  <si>
    <t>g Ntotal/FU</t>
  </si>
  <si>
    <t>g K2Ofert/plant</t>
  </si>
  <si>
    <t>g P2O5fert/plant</t>
  </si>
  <si>
    <t>g P2O5fert/FU</t>
  </si>
  <si>
    <t>g K2Ofert/FU</t>
  </si>
  <si>
    <t>FU/ha</t>
  </si>
  <si>
    <t>diesel for 1ha</t>
  </si>
  <si>
    <t>plants/kg flower (FU)</t>
  </si>
  <si>
    <t>plants/100g thc (FU)</t>
  </si>
  <si>
    <t>waste (g/FU)</t>
  </si>
  <si>
    <t>diesel, burned in agricultural machinery | diesel, burned in agricultural machinery | Cutoff, U - GLO</t>
  </si>
  <si>
    <t>market for tractor, 4-wheel, agricultural | tractor, 4-wheel, agricultural | Cutoff, U - GLO</t>
  </si>
  <si>
    <t>market for NPK (15-15-15) fertiliser | NPK (15-15-15) fertiliser | Cutoff, U - RNA</t>
  </si>
  <si>
    <t>potassium mining and benefication | potassium chloride | Cutoff, U - CA-SK</t>
  </si>
  <si>
    <t>EcoSpold 2 elementary exchange, ID = 20185046-64bb-4c09-a8e7-e8a9e144ca98</t>
  </si>
  <si>
    <t>EcoSpold 2 elementary exchange, ID = c1b91234-6f24-417b-8309-46111d09c457</t>
  </si>
  <si>
    <t>EcoSpold 2 elementary exchange, ID = 87883a4e-1e3e-4c9d-90c0-f1bea36f8014</t>
  </si>
  <si>
    <t>EcoSpold 2 elementary exchange, ID = c8791f3c-3c4a-4278-91c0-483797d14da2</t>
  </si>
  <si>
    <t>EcoSpold 2 elementary exchange, ID = 5189de76-6bbb-44ba-8c42-5714f1b4371f</t>
  </si>
  <si>
    <t>From literature, Wilson et al 2019, summers et al 2021</t>
  </si>
  <si>
    <t>out</t>
  </si>
  <si>
    <t>ind</t>
  </si>
  <si>
    <t>density (plants/m2)</t>
  </si>
  <si>
    <t>yield (kg/m2)</t>
  </si>
  <si>
    <t>Yield (kg/plant)</t>
  </si>
  <si>
    <t>plant/kg</t>
  </si>
  <si>
    <t>m2/kg</t>
  </si>
  <si>
    <t>area needed</t>
  </si>
  <si>
    <t>sq ft</t>
  </si>
  <si>
    <t>m2</t>
  </si>
  <si>
    <t>drying</t>
  </si>
  <si>
    <t>From ''Indoor Backup Calcs'' tab in " indoor cannabis model.xlsx" Summers et al. (2021)</t>
  </si>
  <si>
    <t>vegetative</t>
  </si>
  <si>
    <t>Flowering</t>
  </si>
  <si>
    <t>Plants per flowering room</t>
  </si>
  <si>
    <t>plants/room</t>
  </si>
  <si>
    <t>Summers et al. (2021)</t>
  </si>
  <si>
    <t>Yield per flowering room (kg)</t>
  </si>
  <si>
    <t>kg/room</t>
  </si>
  <si>
    <t>kWh /m2</t>
  </si>
  <si>
    <t>drying space (m2/FU)</t>
  </si>
  <si>
    <t>kg</t>
  </si>
  <si>
    <t>100 g THC</t>
  </si>
  <si>
    <t>kWh</t>
  </si>
  <si>
    <t>Drying is 1 week out of 12 week</t>
  </si>
  <si>
    <t>drying kWh/FU</t>
  </si>
  <si>
    <t>market for shed | shed | Cutoff, U - GLO</t>
  </si>
  <si>
    <t>electricity voltage transformation from medium to low voltage | electricity, low voltage | Cutoff, U - CA-QC</t>
  </si>
  <si>
    <t>market for expanded perlite | expanded perlite | Cutoff, U - GLO</t>
  </si>
  <si>
    <t>cm3 peat/plant</t>
  </si>
  <si>
    <t>Peat (cm3/FU)</t>
  </si>
  <si>
    <t>peat moss production, horticultural use | peat moss | Cutoff, U - CA-QC</t>
  </si>
  <si>
    <t>irrigation, sprinkler | irrigation | Cutoff, U - CA-QC</t>
  </si>
  <si>
    <t>tomato seedling production, in unheated greenhouse, for planting | tomato seedling, for planting | Cutoff, U - RoW</t>
  </si>
  <si>
    <t>market for process-specific burdens, sanitary landfill | process-specific burdens, sanitary landfill | Cutoff, U - RoW</t>
  </si>
  <si>
    <t>market for polyethylene, low density, granulate | polyethylene, low density, granulate | Cutoff, U - GLO</t>
  </si>
  <si>
    <t>seedlings (#/FU)</t>
  </si>
  <si>
    <t>https://ipm.missouri.edu/MPG/2020/11/steaming-RA/#:~:text=Soil%20steaming%20in%20agriculture%20is,to%20kill%20resistant%20weed%20seeds.</t>
  </si>
  <si>
    <t>300 sqft*2 in deep</t>
  </si>
  <si>
    <t>Diesel (gal/ft3)</t>
  </si>
  <si>
    <t>Diesel (L/cm3)</t>
  </si>
  <si>
    <t>diesel to fuel oil have same E</t>
  </si>
  <si>
    <t>https://www.eia.gov/energyexplained/units-and-calculators/</t>
  </si>
  <si>
    <t>Tractor (kg/FU)</t>
  </si>
  <si>
    <t>Tractor mass (kg)</t>
  </si>
  <si>
    <t>steamer useful life</t>
  </si>
  <si>
    <t>steamer mass</t>
  </si>
  <si>
    <t>steam treatment (h)</t>
  </si>
  <si>
    <t>volume treated (ft3)</t>
  </si>
  <si>
    <t>plants/FU</t>
  </si>
  <si>
    <t>Potting mix cm3/fu</t>
  </si>
  <si>
    <t>market for agricultural machinery, unspecified | agricultural machinery, unspecified | Cutoff, U - GLO</t>
  </si>
  <si>
    <t>Volume treated (cm3)</t>
  </si>
  <si>
    <t>Diesel needed (gal)</t>
  </si>
  <si>
    <t>Steamer assumptions</t>
  </si>
  <si>
    <t>Operating time (h/cm3)</t>
  </si>
  <si>
    <t>Steamer (kg/FU)</t>
  </si>
  <si>
    <t>50 year life shed (m2*a/FU)</t>
  </si>
  <si>
    <t>Peat ( cm3/FU)</t>
  </si>
  <si>
    <t>Tractor assumptions</t>
  </si>
  <si>
    <t>Fraction of tractor/ha*yr</t>
  </si>
  <si>
    <t>Diesel (MJ/FU)</t>
  </si>
  <si>
    <t>Molding</t>
  </si>
  <si>
    <t>injection moulding | injection moulding | Cutoff, U</t>
  </si>
  <si>
    <t>Diesel (MJ/cm3)</t>
  </si>
  <si>
    <t>Nemecek &amp; Kagi (2007)</t>
  </si>
  <si>
    <t>L. Bouwman et al. (2013)</t>
  </si>
  <si>
    <t>31a</t>
  </si>
  <si>
    <t>Lun et al. (2017)</t>
  </si>
  <si>
    <t>20.4b</t>
  </si>
  <si>
    <t>MacDonald et al. (2011)</t>
  </si>
  <si>
    <t>23.8b</t>
  </si>
  <si>
    <t>Mekonnen and Hoekstra (2017)</t>
  </si>
  <si>
    <t>24b</t>
  </si>
  <si>
    <t>2002–2010</t>
  </si>
  <si>
    <t>Penuelas et al. (2013)</t>
  </si>
  <si>
    <t>21.8–26.8c</t>
  </si>
  <si>
    <t>2000–2010</t>
  </si>
  <si>
    <t>Sattari et al. (2012)</t>
  </si>
  <si>
    <t>16.6b</t>
  </si>
  <si>
    <t>Current study</t>
  </si>
  <si>
    <t>10.8d</t>
  </si>
  <si>
    <t>g Nox to air (21% of N2O)</t>
  </si>
  <si>
    <t>limestone production, crushed, washed | limestone, crushed, washed | Cutoff, U - CA-QC</t>
  </si>
  <si>
    <t>Table S1. Modeled transport</t>
  </si>
  <si>
    <t>EcoInvent Process</t>
  </si>
  <si>
    <t>From Lima Ohio to MTL (kM)</t>
  </si>
  <si>
    <t>From Saskatoon To MTL (km)</t>
  </si>
  <si>
    <t>From MTL to Thetford MInes (km)</t>
  </si>
  <si>
    <t xml:space="preserve"> from Trois rivieres To Thetford Mines(km)</t>
  </si>
  <si>
    <t xml:space="preserve"> (IPCC, 2014b)</t>
  </si>
  <si>
    <t>g NH4 to air (4% total N)</t>
  </si>
  <si>
    <t>Liu et al 2018</t>
  </si>
  <si>
    <t>Hasler et al 2015</t>
  </si>
  <si>
    <t>Assumed</t>
  </si>
  <si>
    <t>H- thc</t>
  </si>
  <si>
    <t>L+ thc</t>
  </si>
  <si>
    <t>No on site reuse</t>
  </si>
  <si>
    <t>From Manuscript, tech sheet or most educated reference</t>
  </si>
  <si>
    <t>Values from each cell are calcualted from manuscript, tech sheet or most educated reference, click on cell to see value source</t>
  </si>
  <si>
    <t>This tab</t>
  </si>
  <si>
    <t>Drying tab</t>
  </si>
  <si>
    <t>Emission factor tab</t>
  </si>
  <si>
    <t>Tractor and steamer tab</t>
  </si>
  <si>
    <t>Transport tab</t>
  </si>
  <si>
    <t>m nylon/plant</t>
  </si>
  <si>
    <t>Manuscript, weight of 12L pots (110g) renewed every 20 years with an initial acquisition of 20 yr stock (Initial stock/20 years + 5% yearly top off)</t>
  </si>
  <si>
    <t>Manuscript, 3m of 1.5mm nylon per plant at 3.07 g/m renewed every 20 years like pots</t>
  </si>
  <si>
    <t>ON site potting media reuse modeling</t>
  </si>
  <si>
    <t>Diesel MJ/FU</t>
  </si>
  <si>
    <t>Diesel (L/FU)</t>
  </si>
  <si>
    <t>H- flo</t>
  </si>
  <si>
    <t>L+ flo</t>
  </si>
  <si>
    <t>g N2O to air (1= total N)</t>
  </si>
  <si>
    <t>g Nox to air (21= of N2O)</t>
  </si>
  <si>
    <t>carbon fixation (50= of dry mass)</t>
  </si>
  <si>
    <t>g NH4 to air (0.2= total N)</t>
  </si>
  <si>
    <t>phosphate to water (12= total P)</t>
  </si>
  <si>
    <t>g N-Nitrate to water (1= total N)</t>
  </si>
  <si>
    <t>ON site potting media reuse modeling
(potting media*0.05+potting media/20 = potting media/10)</t>
  </si>
  <si>
    <t>With on site reuse via steaming</t>
  </si>
  <si>
    <t>Without on site steaming</t>
  </si>
  <si>
    <t>Functional Unit (FU)</t>
  </si>
  <si>
    <t>g NH4 to air (0.2% total N)</t>
  </si>
  <si>
    <t>Table S1. LCI and data source for model with and without on-site potting media reuse via steaming</t>
  </si>
  <si>
    <t>No on-site reuse of potting media</t>
  </si>
  <si>
    <t>Difference between both scenarios validation</t>
  </si>
  <si>
    <t>Molding (g/FU)</t>
  </si>
  <si>
    <t>With on-site reuse of potting media via steaming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</si>
</sst>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0.000000"/>
    <numFmt numFmtId="166" formatCode="0.00000"/>
  </numFmts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Manrope"/>
    </font>
    <font>
      <sz val="12"/>
      <color rgb="FF000000"/>
      <name val="Manrope"/>
    </font>
    <font>
      <sz val="9"/>
      <color rgb="FF000000"/>
      <name val="Open Sans"/>
      <family val="2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D264"/>
        <bgColor indexed="64"/>
      </patternFill>
    </fill>
    <fill>
      <patternFill patternType="solid">
        <fgColor rgb="FFF7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9E9E9E"/>
      </left>
      <right/>
      <top style="medium">
        <color rgb="FF9E9E9E"/>
      </top>
      <bottom/>
      <diagonal/>
    </border>
    <border>
      <left/>
      <right/>
      <top style="medium">
        <color rgb="FF9E9E9E"/>
      </top>
      <bottom/>
      <diagonal/>
    </border>
    <border>
      <left/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/>
      <top/>
      <bottom/>
      <diagonal/>
    </border>
    <border>
      <left/>
      <right style="medium">
        <color rgb="FF9E9E9E"/>
      </right>
      <top/>
      <bottom/>
      <diagonal/>
    </border>
    <border>
      <left style="medium">
        <color rgb="FF9E9E9E"/>
      </left>
      <right/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/>
      <right style="medium">
        <color rgb="FF9E9E9E"/>
      </right>
      <top/>
      <bottom style="medium">
        <color rgb="FF9E9E9E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2" xfId="0" applyBorder="1"/>
    <xf numFmtId="0" fontId="4" fillId="0" borderId="12" xfId="0" applyFont="1" applyBorder="1"/>
    <xf numFmtId="0" fontId="4" fillId="0" borderId="12" xfId="0" applyFont="1" applyBorder="1" applyAlignment="1">
      <alignment horizontal="right"/>
    </xf>
    <xf numFmtId="0" fontId="0" fillId="0" borderId="10" xfId="0" applyBorder="1"/>
    <xf numFmtId="0" fontId="3" fillId="0" borderId="9" xfId="4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2" borderId="12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0" fillId="2" borderId="20" xfId="0" applyFill="1" applyBorder="1"/>
    <xf numFmtId="0" fontId="0" fillId="0" borderId="21" xfId="0" applyBorder="1"/>
    <xf numFmtId="0" fontId="0" fillId="0" borderId="22" xfId="0" applyBorder="1"/>
    <xf numFmtId="0" fontId="3" fillId="0" borderId="0" xfId="4" applyAlignment="1"/>
    <xf numFmtId="0" fontId="0" fillId="0" borderId="15" xfId="0" applyBorder="1"/>
    <xf numFmtId="0" fontId="0" fillId="0" borderId="18" xfId="0" applyBorder="1"/>
    <xf numFmtId="0" fontId="0" fillId="2" borderId="18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2" xfId="0" applyFill="1" applyBorder="1"/>
    <xf numFmtId="0" fontId="5" fillId="0" borderId="26" xfId="0" applyFont="1" applyBorder="1" applyAlignment="1">
      <alignment horizontal="center" wrapText="1" readingOrder="1"/>
    </xf>
    <xf numFmtId="0" fontId="6" fillId="0" borderId="26" xfId="0" applyFont="1" applyBorder="1" applyAlignment="1">
      <alignment horizontal="center" wrapText="1" readingOrder="1"/>
    </xf>
    <xf numFmtId="0" fontId="5" fillId="0" borderId="0" xfId="0" applyFont="1" applyAlignment="1">
      <alignment readingOrder="1"/>
    </xf>
    <xf numFmtId="0" fontId="6" fillId="5" borderId="26" xfId="0" applyFont="1" applyFill="1" applyBorder="1" applyAlignment="1">
      <alignment horizontal="center" readingOrder="1"/>
    </xf>
    <xf numFmtId="0" fontId="5" fillId="5" borderId="26" xfId="0" applyFont="1" applyFill="1" applyBorder="1" applyAlignment="1">
      <alignment horizontal="center" readingOrder="1"/>
    </xf>
    <xf numFmtId="0" fontId="6" fillId="6" borderId="26" xfId="0" applyFont="1" applyFill="1" applyBorder="1" applyAlignment="1">
      <alignment horizontal="center" readingOrder="1"/>
    </xf>
    <xf numFmtId="0" fontId="6" fillId="6" borderId="23" xfId="0" applyFont="1" applyFill="1" applyBorder="1" applyAlignment="1">
      <alignment horizontal="center" readingOrder="1"/>
    </xf>
    <xf numFmtId="0" fontId="6" fillId="6" borderId="24" xfId="0" applyFont="1" applyFill="1" applyBorder="1" applyAlignment="1">
      <alignment horizontal="center" readingOrder="1"/>
    </xf>
    <xf numFmtId="0" fontId="5" fillId="0" borderId="7" xfId="0" applyFont="1" applyBorder="1" applyAlignment="1">
      <alignment readingOrder="1"/>
    </xf>
    <xf numFmtId="165" fontId="0" fillId="2" borderId="12" xfId="0" applyNumberFormat="1" applyFill="1" applyBorder="1"/>
    <xf numFmtId="165" fontId="0" fillId="2" borderId="21" xfId="0" applyNumberForma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15" xfId="0" applyFill="1" applyBorder="1"/>
    <xf numFmtId="165" fontId="0" fillId="2" borderId="16" xfId="0" applyNumberFormat="1" applyFill="1" applyBorder="1"/>
    <xf numFmtId="165" fontId="0" fillId="2" borderId="17" xfId="0" applyNumberFormat="1" applyFill="1" applyBorder="1"/>
    <xf numFmtId="165" fontId="0" fillId="2" borderId="22" xfId="0" applyNumberFormat="1" applyFill="1" applyBorder="1"/>
    <xf numFmtId="0" fontId="0" fillId="2" borderId="16" xfId="0" applyFill="1" applyBorder="1"/>
    <xf numFmtId="0" fontId="0" fillId="2" borderId="17" xfId="0" applyFill="1" applyBorder="1"/>
    <xf numFmtId="165" fontId="0" fillId="0" borderId="0" xfId="0" applyNumberFormat="1"/>
    <xf numFmtId="11" fontId="0" fillId="0" borderId="0" xfId="0" applyNumberFormat="1"/>
    <xf numFmtId="0" fontId="3" fillId="0" borderId="5" xfId="4" applyBorder="1"/>
    <xf numFmtId="0" fontId="7" fillId="7" borderId="0" xfId="0" applyFont="1" applyFill="1" applyAlignment="1">
      <alignment horizontal="center" vertical="top" wrapText="1"/>
    </xf>
    <xf numFmtId="0" fontId="3" fillId="7" borderId="0" xfId="4" applyFill="1" applyAlignment="1">
      <alignment horizontal="center" vertical="top" wrapText="1"/>
    </xf>
    <xf numFmtId="0" fontId="7" fillId="7" borderId="31" xfId="0" applyFont="1" applyFill="1" applyBorder="1" applyAlignment="1">
      <alignment horizontal="center" vertical="top" wrapText="1"/>
    </xf>
    <xf numFmtId="0" fontId="7" fillId="7" borderId="32" xfId="0" applyFont="1" applyFill="1" applyBorder="1" applyAlignment="1">
      <alignment horizontal="center" vertical="top" wrapText="1"/>
    </xf>
    <xf numFmtId="0" fontId="0" fillId="7" borderId="32" xfId="0" applyFill="1" applyBorder="1"/>
    <xf numFmtId="0" fontId="0" fillId="7" borderId="33" xfId="0" applyFill="1" applyBorder="1"/>
    <xf numFmtId="0" fontId="3" fillId="7" borderId="34" xfId="4" applyFill="1" applyBorder="1" applyAlignment="1">
      <alignment horizontal="left" vertical="top" wrapText="1" indent="1"/>
    </xf>
    <xf numFmtId="0" fontId="7" fillId="7" borderId="35" xfId="0" applyFont="1" applyFill="1" applyBorder="1" applyAlignment="1">
      <alignment horizontal="center" vertical="top" wrapText="1"/>
    </xf>
    <xf numFmtId="0" fontId="7" fillId="7" borderId="36" xfId="0" applyFont="1" applyFill="1" applyBorder="1" applyAlignment="1">
      <alignment horizontal="left" vertical="top" wrapText="1" indent="1"/>
    </xf>
    <xf numFmtId="0" fontId="3" fillId="7" borderId="37" xfId="4" applyFill="1" applyBorder="1" applyAlignment="1">
      <alignment horizontal="center" vertical="top" wrapText="1"/>
    </xf>
    <xf numFmtId="0" fontId="7" fillId="7" borderId="37" xfId="0" applyFont="1" applyFill="1" applyBorder="1" applyAlignment="1">
      <alignment horizontal="center" vertical="top" wrapText="1"/>
    </xf>
    <xf numFmtId="0" fontId="0" fillId="7" borderId="38" xfId="0" applyFill="1" applyBorder="1"/>
    <xf numFmtId="0" fontId="9" fillId="0" borderId="0" xfId="0" applyFont="1"/>
    <xf numFmtId="0" fontId="10" fillId="0" borderId="0" xfId="4" applyFont="1" applyAlignment="1"/>
    <xf numFmtId="0" fontId="8" fillId="0" borderId="0" xfId="0" applyFont="1"/>
    <xf numFmtId="0" fontId="8" fillId="2" borderId="1" xfId="0" applyFont="1" applyFill="1" applyBorder="1"/>
    <xf numFmtId="0" fontId="0" fillId="3" borderId="4" xfId="0" applyFill="1" applyBorder="1"/>
    <xf numFmtId="0" fontId="0" fillId="0" borderId="0" xfId="0" applyAlignment="1">
      <alignment wrapText="1"/>
    </xf>
    <xf numFmtId="166" fontId="0" fillId="0" borderId="0" xfId="0" applyNumberFormat="1"/>
    <xf numFmtId="0" fontId="0" fillId="8" borderId="11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8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  <xf numFmtId="0" fontId="5" fillId="5" borderId="23" xfId="0" applyFont="1" applyFill="1" applyBorder="1" applyAlignment="1">
      <alignment horizontal="center" readingOrder="1"/>
    </xf>
    <xf numFmtId="0" fontId="5" fillId="5" borderId="24" xfId="0" applyFont="1" applyFill="1" applyBorder="1" applyAlignment="1">
      <alignment horizontal="center" readingOrder="1"/>
    </xf>
    <xf numFmtId="0" fontId="5" fillId="5" borderId="25" xfId="0" applyFont="1" applyFill="1" applyBorder="1" applyAlignment="1">
      <alignment horizontal="center" readingOrder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</cellXfs>
  <cellStyles count="5">
    <cellStyle name="Comma [0] 2" xfId="2" xr:uid="{1AA073DD-EEE1-4CAE-87B5-508D185F8292}"/>
    <cellStyle name="Hyperlink" xfId="4" builtinId="8"/>
    <cellStyle name="Normal" xfId="0" builtinId="0"/>
    <cellStyle name="Normal 2" xfId="1" xr:uid="{F62DADA3-86F6-4A0D-BEE3-AEBB1E8A516B}"/>
    <cellStyle name="Percent 2" xfId="3" xr:uid="{EB4956F5-DC05-47AB-85F0-CE68086D7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203947</xdr:colOff>
      <xdr:row>2</xdr:row>
      <xdr:rowOff>68036</xdr:rowOff>
    </xdr:from>
    <xdr:to>
      <xdr:col>22</xdr:col>
      <xdr:colOff>431185</xdr:colOff>
      <xdr:row>33</xdr:row>
      <xdr:rowOff>74519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5CAE4B-C20F-4EDA-09AD-4424EF4B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947" y="68036"/>
          <a:ext cx="4676774" cy="6469876"/>
        </a:xfrm>
        <a:prstGeom prst="rect">
          <a:avLst/>
        </a:prstGeom>
      </xdr:spPr>
    </xdr:pic>
    <xdr:clientData/>
  </xdr:twoCellAnchor>
  <xdr:twoCellAnchor editAs="oneCell">
    <xdr:from>
      <xdr:col>15</xdr:col>
      <xdr:colOff>563336</xdr:colOff>
      <xdr:row>35</xdr:row>
      <xdr:rowOff>206827</xdr:rowOff>
    </xdr:from>
    <xdr:to>
      <xdr:col>31</xdr:col>
      <xdr:colOff>35380</xdr:colOff>
      <xdr:row>46</xdr:row>
      <xdr:rowOff>71396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E19442-14F6-EC0E-84B1-D0A6B5B52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204" t="59487" r="54422" b="21551"/>
        <a:stretch/>
      </xdr:blipFill>
      <xdr:spPr>
        <a:xfrm>
          <a:off x="15054943" y="6670220"/>
          <a:ext cx="10180865" cy="1992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full/10.1029/2017GB005849" TargetMode="External"/><Relationship Id="rId13" Type="http://schemas.openxmlformats.org/officeDocument/2006/relationships/hyperlink" Target="https://agupubs.onlinelibrary.wiley.com/doi/full/10.1029/2017GB005849" TargetMode="External"/><Relationship Id="rId3" Type="http://schemas.openxmlformats.org/officeDocument/2006/relationships/hyperlink" Target="https://agupubs.onlinelibrary.wiley.com/doi/full/10.1029/2017GB005849" TargetMode="External"/><Relationship Id="rId7" Type="http://schemas.openxmlformats.org/officeDocument/2006/relationships/hyperlink" Target="https://agupubs.onlinelibrary.wiley.com/doi/full/10.1029/2017GB005849" TargetMode="External"/><Relationship Id="rId12" Type="http://schemas.openxmlformats.org/officeDocument/2006/relationships/hyperlink" Target="https://agupubs.onlinelibrary.wiley.com/doi/full/10.1029/2017GB005849" TargetMode="External"/><Relationship Id="rId2" Type="http://schemas.openxmlformats.org/officeDocument/2006/relationships/hyperlink" Target="https://agupubs.onlinelibrary.wiley.com/doi/full/10.1029/2017GB005849" TargetMode="External"/><Relationship Id="rId1" Type="http://schemas.openxmlformats.org/officeDocument/2006/relationships/hyperlink" Target="https://agupubs.onlinelibrary.wiley.com/doi/full/10.1029/2017GB005849" TargetMode="External"/><Relationship Id="rId6" Type="http://schemas.openxmlformats.org/officeDocument/2006/relationships/hyperlink" Target="https://agupubs.onlinelibrary.wiley.com/doi/full/10.1029/2017GB005849" TargetMode="External"/><Relationship Id="rId11" Type="http://schemas.openxmlformats.org/officeDocument/2006/relationships/hyperlink" Target="https://agupubs.onlinelibrary.wiley.com/doi/full/10.1029/2017GB005849" TargetMode="External"/><Relationship Id="rId5" Type="http://schemas.openxmlformats.org/officeDocument/2006/relationships/hyperlink" Target="https://agupubs.onlinelibrary.wiley.com/doi/full/10.1029/2017GB005849" TargetMode="External"/><Relationship Id="rId10" Type="http://schemas.openxmlformats.org/officeDocument/2006/relationships/hyperlink" Target="https://agupubs.onlinelibrary.wiley.com/doi/full/10.1029/2017GB005849" TargetMode="External"/><Relationship Id="rId4" Type="http://schemas.openxmlformats.org/officeDocument/2006/relationships/hyperlink" Target="https://agupubs.onlinelibrary.wiley.com/doi/full/10.1029/2017GB005849" TargetMode="External"/><Relationship Id="rId9" Type="http://schemas.openxmlformats.org/officeDocument/2006/relationships/hyperlink" Target="https://agupubs.onlinelibrary.wiley.com/doi/full/10.1029/2017GB005849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ractortestlab.unl.edu/John%20Deere%206195M.pdf" TargetMode="External"/><Relationship Id="rId1" Type="http://schemas.openxmlformats.org/officeDocument/2006/relationships/hyperlink" Target="https://www.jstor.org/stable/44717890?seq=1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worldfertilizer.com/project-news/02072021/northern-nutrients-to-build-urea-fertilizer-manufacturing-facility-in-saskatchewan/" TargetMode="External"/><Relationship Id="rId1" Type="http://schemas.openxmlformats.org/officeDocument/2006/relationships/hyperlink" Target="https://www.statista.com/statistics/1281524/urea-plant-production-capacity-united-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B87F-B42A-46EE-A4FA-4716DB358AE1}">
  <dimension ref="A1:G66"/>
  <sheetViews>
    <sheetView tabSelected="1" zoomScale="85" zoomScaleNormal="85" workbookViewId="0">
      <selection activeCell="W17" sqref="W17"/>
    </sheetView>
  </sheetViews>
  <sheetFormatPr defaultRowHeight="15"/>
  <cols>
    <col min="1" max="1" width="36.140625" customWidth="1"/>
    <col min="2" max="4" width="9.7109375" bestFit="1" customWidth="1"/>
    <col min="5" max="5" width="10.42578125" customWidth="1"/>
  </cols>
  <sheetData>
    <row r="1" spans="1:7">
      <c r="A1" s="72" t="s">
        <v>261</v>
      </c>
    </row>
    <row r="2" spans="1:7">
      <c r="A2" s="81" t="s">
        <v>262</v>
      </c>
      <c r="B2" s="81"/>
      <c r="C2" s="81"/>
      <c r="D2" s="81"/>
      <c r="E2" s="81"/>
    </row>
    <row r="3" spans="1:7">
      <c r="A3" s="72" t="s">
        <v>259</v>
      </c>
      <c r="B3" s="81" t="s">
        <v>25</v>
      </c>
      <c r="C3" s="81"/>
      <c r="D3" s="81" t="s">
        <v>26</v>
      </c>
      <c r="E3" s="81"/>
      <c r="F3" s="82" t="s">
        <v>222</v>
      </c>
      <c r="G3" s="72"/>
    </row>
    <row r="4" spans="1:7">
      <c r="A4" s="79" t="s">
        <v>34</v>
      </c>
      <c r="B4" s="72" t="s">
        <v>0</v>
      </c>
      <c r="C4" s="72" t="s">
        <v>1</v>
      </c>
      <c r="D4" s="72" t="s">
        <v>0</v>
      </c>
      <c r="E4" s="72" t="s">
        <v>1</v>
      </c>
      <c r="F4" s="82"/>
    </row>
    <row r="5" spans="1:7">
      <c r="A5" s="75" t="s">
        <v>56</v>
      </c>
      <c r="B5" s="56">
        <f>'S1 calculations'!C5</f>
        <v>3771.8264533321108</v>
      </c>
      <c r="C5" s="56">
        <f>'S1 calculations'!D5</f>
        <v>7457.3034150997473</v>
      </c>
      <c r="D5" s="56">
        <f>'S1 calculations'!E5</f>
        <v>3709.4513799414653</v>
      </c>
      <c r="E5" s="56">
        <f>'S1 calculations'!F5</f>
        <v>6173.5302137032913</v>
      </c>
      <c r="F5" t="s">
        <v>169</v>
      </c>
    </row>
    <row r="6" spans="1:7">
      <c r="A6" s="75" t="s">
        <v>57</v>
      </c>
      <c r="B6" s="56">
        <f>'S1 calculations'!C6</f>
        <v>145.57850649814361</v>
      </c>
      <c r="C6" s="56">
        <f>'S1 calculations'!D6</f>
        <v>287.82424300425191</v>
      </c>
      <c r="D6" s="56">
        <f>'S1 calculations'!E6</f>
        <v>143.1710600953802</v>
      </c>
      <c r="E6" s="56">
        <f>'S1 calculations'!F6</f>
        <v>238.27536061160251</v>
      </c>
    </row>
    <row r="7" spans="1:7">
      <c r="A7" s="75" t="s">
        <v>195</v>
      </c>
      <c r="B7" s="56">
        <f>'S1 calculations'!C7</f>
        <v>218367.75974721543</v>
      </c>
      <c r="C7" s="56">
        <f>'S1 calculations'!D7</f>
        <v>431736.36450637784</v>
      </c>
      <c r="D7" s="56">
        <f>'S1 calculations'!E7</f>
        <v>214756.59014307029</v>
      </c>
      <c r="E7" s="56">
        <f>'S1 calculations'!F7</f>
        <v>357413.04091740376</v>
      </c>
      <c r="F7" t="s">
        <v>168</v>
      </c>
    </row>
    <row r="8" spans="1:7">
      <c r="A8" s="75" t="s">
        <v>58</v>
      </c>
      <c r="B8" s="56">
        <f>'S1 calculations'!C8</f>
        <v>1299.808093733425</v>
      </c>
      <c r="C8" s="56">
        <f>'S1 calculations'!D8</f>
        <v>2569.8593125379634</v>
      </c>
      <c r="D8" s="56">
        <f>'S1 calculations'!E8</f>
        <v>1278.3130365658947</v>
      </c>
      <c r="E8" s="56">
        <f>'S1 calculations'!F8</f>
        <v>2127.4585768893085</v>
      </c>
      <c r="F8" t="s">
        <v>220</v>
      </c>
    </row>
    <row r="9" spans="1:7">
      <c r="A9" s="75" t="s">
        <v>59</v>
      </c>
      <c r="B9" s="56">
        <f>'S1 calculations'!C9</f>
        <v>12270.188404843528</v>
      </c>
      <c r="C9" s="56">
        <f>'S1 calculations'!D9</f>
        <v>24259.471910358363</v>
      </c>
      <c r="D9" s="56">
        <f>'S1 calculations'!E9</f>
        <v>12067.275065182041</v>
      </c>
      <c r="E9" s="56">
        <f>'S1 calculations'!F9</f>
        <v>20083.20896583506</v>
      </c>
      <c r="F9" t="s">
        <v>165</v>
      </c>
    </row>
    <row r="10" spans="1:7">
      <c r="A10" s="75" t="s">
        <v>66</v>
      </c>
      <c r="B10" s="56">
        <f>'S1 calculations'!C10</f>
        <v>272.95969968401926</v>
      </c>
      <c r="C10" s="56">
        <f>'S1 calculations'!D10</f>
        <v>539.67045563297233</v>
      </c>
      <c r="D10" s="56">
        <f>'S1 calculations'!E10</f>
        <v>268.44573767883787</v>
      </c>
      <c r="E10" s="56">
        <f>'S1 calculations'!F10</f>
        <v>446.76630114675476</v>
      </c>
      <c r="F10" t="s">
        <v>172</v>
      </c>
    </row>
    <row r="11" spans="1:7">
      <c r="A11" s="75" t="s">
        <v>67</v>
      </c>
      <c r="B11" s="56">
        <f>'S1 calculations'!C11</f>
        <v>173.44639202778825</v>
      </c>
      <c r="C11" s="56">
        <f>'S1 calculations'!D11</f>
        <v>342.9220266650658</v>
      </c>
      <c r="D11" s="56">
        <f>'S1 calculations'!E11</f>
        <v>170.57809159935297</v>
      </c>
      <c r="E11" s="56">
        <f>'S1 calculations'!F11</f>
        <v>283.88807250010927</v>
      </c>
      <c r="F11" t="s">
        <v>172</v>
      </c>
    </row>
    <row r="12" spans="1:7">
      <c r="A12" s="75" t="s">
        <v>60</v>
      </c>
      <c r="B12" s="56">
        <f>'S1 calculations'!C12</f>
        <v>23.99645711507862</v>
      </c>
      <c r="C12" s="56">
        <f>'S1 calculations'!D12</f>
        <v>47.443556539162408</v>
      </c>
      <c r="D12" s="56">
        <f>'S1 calculations'!E12</f>
        <v>23.599625290447289</v>
      </c>
      <c r="E12" s="56">
        <f>'S1 calculations'!F12</f>
        <v>39.276158342571847</v>
      </c>
      <c r="F12" t="s">
        <v>81</v>
      </c>
    </row>
    <row r="13" spans="1:7">
      <c r="A13" s="75" t="s">
        <v>61</v>
      </c>
      <c r="B13" s="56">
        <f>'S1 calculations'!C13</f>
        <v>2339.6545687201651</v>
      </c>
      <c r="C13" s="56">
        <f>'S1 calculations'!D13</f>
        <v>1266.5735183222819</v>
      </c>
      <c r="D13" s="56">
        <f>'S1 calculations'!E13</f>
        <v>2300.9634658186101</v>
      </c>
      <c r="E13" s="56">
        <f>'S1 calculations'!F13</f>
        <v>1048.5331557525876</v>
      </c>
      <c r="F13" t="s">
        <v>129</v>
      </c>
    </row>
    <row r="14" spans="1:7">
      <c r="A14" t="s">
        <v>62</v>
      </c>
      <c r="B14" s="56">
        <f>'S1 calculations'!C14</f>
        <v>0</v>
      </c>
      <c r="C14" s="56">
        <f>'S1 calculations'!D14</f>
        <v>297.36943473653577</v>
      </c>
      <c r="D14" s="56">
        <f>'S1 calculations'!E14</f>
        <v>0</v>
      </c>
      <c r="E14" s="56">
        <f>'S1 calculations'!F14</f>
        <v>246.1773496114771</v>
      </c>
      <c r="F14" t="s">
        <v>130</v>
      </c>
    </row>
    <row r="15" spans="1:7">
      <c r="A15" s="75" t="s">
        <v>126</v>
      </c>
      <c r="B15" s="56">
        <f>'S1 calculations'!C15</f>
        <v>238773.49900306022</v>
      </c>
      <c r="C15" s="56">
        <f>'S1 calculations'!D15</f>
        <v>463583.19184544578</v>
      </c>
      <c r="D15" s="56">
        <f>'S1 calculations'!E15</f>
        <v>234824.87763663975</v>
      </c>
      <c r="E15" s="56">
        <f>'S1 calculations'!F15</f>
        <v>383777.44368398987</v>
      </c>
      <c r="F15" t="s">
        <v>171</v>
      </c>
    </row>
    <row r="16" spans="1:7">
      <c r="A16" s="75" t="s">
        <v>173</v>
      </c>
      <c r="B16" s="56">
        <f>'S1 calculations'!C16</f>
        <v>25.996161874668502</v>
      </c>
      <c r="C16" s="56">
        <f>'S1 calculations'!D16</f>
        <v>51.397186250759269</v>
      </c>
      <c r="D16" s="56">
        <f>'S1 calculations'!E16</f>
        <v>25.566260731317893</v>
      </c>
      <c r="E16" s="56">
        <f>'S1 calculations'!F16</f>
        <v>42.549171537786165</v>
      </c>
      <c r="F16" t="s">
        <v>170</v>
      </c>
    </row>
    <row r="17" spans="1:6">
      <c r="A17" t="s">
        <v>162</v>
      </c>
      <c r="B17" s="56">
        <f>'S1 calculations'!C17</f>
        <v>118.15221463358405</v>
      </c>
      <c r="C17" s="56">
        <f>'S1 calculations'!D17</f>
        <v>118.15221463358405</v>
      </c>
      <c r="D17" s="56">
        <f>'S1 calculations'!E17</f>
        <v>116.198319577642</v>
      </c>
      <c r="E17" s="56">
        <f>'S1 calculations'!F17</f>
        <v>97.812335941628149</v>
      </c>
      <c r="F17" t="s">
        <v>164</v>
      </c>
    </row>
    <row r="18" spans="1:6">
      <c r="A18" t="s">
        <v>194</v>
      </c>
      <c r="B18" s="56">
        <f>'S1 calculations'!C18</f>
        <v>1.152704533010576E-2</v>
      </c>
      <c r="C18" s="56">
        <f>'S1 calculations'!D18</f>
        <v>1.152704533010576E-2</v>
      </c>
      <c r="D18" s="56">
        <f>'S1 calculations'!E18</f>
        <v>1.1336421422208974E-2</v>
      </c>
      <c r="E18" s="56">
        <f>'S1 calculations'!F18</f>
        <v>9.5426669211344534E-3</v>
      </c>
      <c r="F18" t="s">
        <v>163</v>
      </c>
    </row>
    <row r="19" spans="1:6" ht="15.75">
      <c r="A19" t="s">
        <v>113</v>
      </c>
      <c r="B19" s="56">
        <f>'S1 calculations'!C19</f>
        <v>3.0571486364610161</v>
      </c>
      <c r="C19" s="56">
        <f>'S1 calculations'!D19</f>
        <v>1.6549893972744485</v>
      </c>
      <c r="D19" s="56">
        <f>'S1 calculations'!E19</f>
        <v>3.0065922620029841</v>
      </c>
      <c r="E19" s="56">
        <f>'S1 calculations'!F19</f>
        <v>1.3700833235167147</v>
      </c>
      <c r="F19" s="70" t="s">
        <v>227</v>
      </c>
    </row>
    <row r="20" spans="1:6">
      <c r="A20" t="s">
        <v>219</v>
      </c>
      <c r="B20" s="56">
        <f>'S1 calculations'!C20</f>
        <v>0.6420012136568134</v>
      </c>
      <c r="C20" s="56">
        <f>'S1 calculations'!D20</f>
        <v>0.34754777342763415</v>
      </c>
      <c r="D20" s="56">
        <f>'S1 calculations'!E20</f>
        <v>0.63138437502062661</v>
      </c>
      <c r="E20" s="56">
        <f>'S1 calculations'!F20</f>
        <v>0.28771749793851009</v>
      </c>
      <c r="F20" t="s">
        <v>202</v>
      </c>
    </row>
    <row r="21" spans="1:6">
      <c r="A21" t="s">
        <v>31</v>
      </c>
      <c r="B21" s="56">
        <f>'S1 calculations'!C21</f>
        <v>1117.3150373732524</v>
      </c>
      <c r="C21" s="56">
        <f>'S1 calculations'!D21</f>
        <v>916.20624210603478</v>
      </c>
      <c r="D21" s="56">
        <f>'S1 calculations'!E21</f>
        <v>1098.837886232043</v>
      </c>
      <c r="E21" s="56">
        <f>'S1 calculations'!F21</f>
        <v>758.48153183257625</v>
      </c>
      <c r="F21" t="s">
        <v>231</v>
      </c>
    </row>
    <row r="22" spans="1:6">
      <c r="A22" t="s">
        <v>260</v>
      </c>
      <c r="B22" s="56">
        <f>'S1 calculations'!C22</f>
        <v>12.228594545844064</v>
      </c>
      <c r="C22" s="56">
        <f>'S1 calculations'!D22</f>
        <v>6.619957589097794</v>
      </c>
      <c r="D22" s="56">
        <f>'S1 calculations'!E22</f>
        <v>12.026369048011937</v>
      </c>
      <c r="E22" s="56">
        <f>'S1 calculations'!F22</f>
        <v>5.4803332940668588</v>
      </c>
      <c r="F22" t="s">
        <v>202</v>
      </c>
    </row>
    <row r="23" spans="1:6" ht="15.75">
      <c r="A23" t="s">
        <v>27</v>
      </c>
      <c r="B23" s="56">
        <f>'S1 calculations'!C23</f>
        <v>36.68578363753219</v>
      </c>
      <c r="C23" s="56">
        <f>'S1 calculations'!D23</f>
        <v>19.859872767293382</v>
      </c>
      <c r="D23" s="56">
        <f>'S1 calculations'!E23</f>
        <v>36.07910714403581</v>
      </c>
      <c r="E23" s="56">
        <f>'S1 calculations'!F23</f>
        <v>16.440999882200575</v>
      </c>
      <c r="F23" s="71" t="s">
        <v>229</v>
      </c>
    </row>
    <row r="24" spans="1:6">
      <c r="A24" t="s">
        <v>30</v>
      </c>
      <c r="B24" s="56">
        <f>'S1 calculations'!C24</f>
        <v>3.0571486364610161</v>
      </c>
      <c r="C24" s="56">
        <f>'S1 calculations'!D24</f>
        <v>1.6549893972744485</v>
      </c>
      <c r="D24" s="56">
        <f>'S1 calculations'!E24</f>
        <v>3.0065922620029841</v>
      </c>
      <c r="E24" s="56">
        <f>'S1 calculations'!F24</f>
        <v>1.3700833235167147</v>
      </c>
      <c r="F24" t="s">
        <v>230</v>
      </c>
    </row>
    <row r="25" spans="1:6">
      <c r="A25" t="s">
        <v>180</v>
      </c>
      <c r="B25" s="56">
        <f>'S1 calculations'!C25</f>
        <v>9.0022723270853162E-5</v>
      </c>
      <c r="C25" s="56">
        <f>'S1 calculations'!D25</f>
        <v>1.7798453083419269E-4</v>
      </c>
      <c r="D25" s="56">
        <f>'S1 calculations'!E25</f>
        <v>8.8534008442554425E-5</v>
      </c>
      <c r="E25" s="56">
        <f>'S1 calculations'!F25</f>
        <v>1.4734453159728335E-4</v>
      </c>
      <c r="F25" t="s">
        <v>128</v>
      </c>
    </row>
    <row r="26" spans="1:6">
      <c r="A26" t="s">
        <v>198</v>
      </c>
      <c r="B26" s="56">
        <f>'S1 calculations'!C26</f>
        <v>0.16174082614329949</v>
      </c>
      <c r="C26" s="56">
        <f>'S1 calculations'!D26</f>
        <v>0.31977887373209951</v>
      </c>
      <c r="D26" s="56">
        <f>'S1 calculations'!E26</f>
        <v>0.15906610183512279</v>
      </c>
      <c r="E26" s="56">
        <f>'S1 calculations'!F26</f>
        <v>0.26472900843645242</v>
      </c>
      <c r="F26" t="s">
        <v>127</v>
      </c>
    </row>
    <row r="27" spans="1:6">
      <c r="A27" t="s">
        <v>193</v>
      </c>
      <c r="B27" s="56">
        <f>'S1 calculations'!C27</f>
        <v>0</v>
      </c>
      <c r="C27" s="56">
        <f>'S1 calculations'!D27</f>
        <v>0</v>
      </c>
      <c r="D27" s="56">
        <f>'S1 calculations'!E27</f>
        <v>0</v>
      </c>
      <c r="E27" s="56">
        <f>'S1 calculations'!F27</f>
        <v>0</v>
      </c>
      <c r="F27" t="s">
        <v>188</v>
      </c>
    </row>
    <row r="28" spans="1:6">
      <c r="A28" t="s">
        <v>92</v>
      </c>
      <c r="B28" s="56">
        <f>'S1 calculations'!C28</f>
        <v>35.424937791334614</v>
      </c>
      <c r="C28" s="56">
        <f>'S1 calculations'!D28</f>
        <v>69.273431493456883</v>
      </c>
      <c r="D28" s="56">
        <f>'S1 calculations'!E28</f>
        <v>34.839112032399839</v>
      </c>
      <c r="E28" s="56">
        <f>'S1 calculations'!F28</f>
        <v>57.348024953070905</v>
      </c>
      <c r="F28" t="s">
        <v>77</v>
      </c>
    </row>
    <row r="29" spans="1:6">
      <c r="A29" t="s">
        <v>91</v>
      </c>
      <c r="B29" s="56">
        <f>'S1 calculations'!C29</f>
        <v>2.5736200255921817</v>
      </c>
      <c r="C29" s="56">
        <f>'S1 calculations'!D29</f>
        <v>2.2556022308904637</v>
      </c>
      <c r="D29" s="56">
        <f>'S1 calculations'!E29</f>
        <v>2.5310598124004708</v>
      </c>
      <c r="E29" s="56">
        <f>'S1 calculations'!F29</f>
        <v>1.8673007852011301</v>
      </c>
      <c r="F29" t="s">
        <v>89</v>
      </c>
    </row>
    <row r="30" spans="1:6">
      <c r="A30" t="s">
        <v>90</v>
      </c>
      <c r="B30" s="56">
        <f>'S1 calculations'!C30</f>
        <v>5.5248483003472399</v>
      </c>
      <c r="C30" s="56">
        <f>'S1 calculations'!D30</f>
        <v>10.923214683350595</v>
      </c>
      <c r="D30" s="56">
        <f>'S1 calculations'!E30</f>
        <v>5.4334833283714215</v>
      </c>
      <c r="E30" s="56">
        <f>'S1 calculations'!F30</f>
        <v>9.0427855921603708</v>
      </c>
      <c r="F30" t="s">
        <v>76</v>
      </c>
    </row>
    <row r="31" spans="1:6">
      <c r="A31" t="s">
        <v>264</v>
      </c>
      <c r="B31" s="56">
        <f>'S1 calculations'!C31</f>
        <v>274.59745788212336</v>
      </c>
      <c r="C31" s="56">
        <f>'S1 calculations'!D31</f>
        <v>542.90847836677017</v>
      </c>
      <c r="D31" s="56">
        <f>'S1 calculations'!E31</f>
        <v>270.05641210491092</v>
      </c>
      <c r="E31" s="56">
        <f>'S1 calculations'!F31</f>
        <v>449.4468989536353</v>
      </c>
      <c r="F31" t="s">
        <v>200</v>
      </c>
    </row>
    <row r="32" spans="1:6">
      <c r="A32" s="81" t="s">
        <v>265</v>
      </c>
      <c r="B32" s="81"/>
      <c r="C32" s="81"/>
      <c r="D32" s="81"/>
      <c r="E32" s="81"/>
    </row>
    <row r="33" spans="1:6">
      <c r="A33" s="72" t="s">
        <v>259</v>
      </c>
      <c r="B33" s="81" t="s">
        <v>25</v>
      </c>
      <c r="C33" s="81"/>
      <c r="D33" s="81" t="s">
        <v>26</v>
      </c>
      <c r="E33" s="81"/>
      <c r="F33" s="82" t="s">
        <v>222</v>
      </c>
    </row>
    <row r="34" spans="1:6">
      <c r="A34" s="79" t="s">
        <v>34</v>
      </c>
      <c r="B34" s="72" t="s">
        <v>0</v>
      </c>
      <c r="C34" s="72" t="s">
        <v>1</v>
      </c>
      <c r="D34" s="72" t="s">
        <v>0</v>
      </c>
      <c r="E34" s="72" t="s">
        <v>1</v>
      </c>
      <c r="F34" s="82"/>
    </row>
    <row r="35" spans="1:6">
      <c r="A35" s="75" t="s">
        <v>56</v>
      </c>
      <c r="B35" s="56">
        <f>'S1 calculations'!C36</f>
        <v>3771.8264533321108</v>
      </c>
      <c r="C35" s="56">
        <f>'S1 calculations'!D36</f>
        <v>7457.3034150997473</v>
      </c>
      <c r="D35" s="56">
        <f>'S1 calculations'!E36</f>
        <v>3709.4513799414653</v>
      </c>
      <c r="E35" s="56">
        <f>'S1 calculations'!F36</f>
        <v>6173.5302137032913</v>
      </c>
      <c r="F35" t="s">
        <v>169</v>
      </c>
    </row>
    <row r="36" spans="1:6">
      <c r="A36" s="75" t="s">
        <v>57</v>
      </c>
      <c r="B36" s="56">
        <f>'S1 calculations'!C37</f>
        <v>145.57850649814361</v>
      </c>
      <c r="C36" s="56">
        <f>'S1 calculations'!D37</f>
        <v>287.82424300425191</v>
      </c>
      <c r="D36" s="56">
        <f>'S1 calculations'!E37</f>
        <v>143.1710600953802</v>
      </c>
      <c r="E36" s="56">
        <f>'S1 calculations'!F37</f>
        <v>238.27536061160251</v>
      </c>
    </row>
    <row r="37" spans="1:6">
      <c r="A37" s="75" t="s">
        <v>195</v>
      </c>
      <c r="B37" s="56">
        <f>'S1 calculations'!C38</f>
        <v>21836.775974721542</v>
      </c>
      <c r="C37" s="56">
        <f>'S1 calculations'!D38</f>
        <v>43173.636450637787</v>
      </c>
      <c r="D37" s="56">
        <f>'S1 calculations'!E38</f>
        <v>21475.659014307028</v>
      </c>
      <c r="E37" s="56">
        <f>'S1 calculations'!F38</f>
        <v>35741.304091740378</v>
      </c>
      <c r="F37" t="s">
        <v>168</v>
      </c>
    </row>
    <row r="38" spans="1:6">
      <c r="A38" s="75" t="s">
        <v>58</v>
      </c>
      <c r="B38" s="56">
        <f>'S1 calculations'!C39</f>
        <v>129.98080937334251</v>
      </c>
      <c r="C38" s="56">
        <f>'S1 calculations'!D39</f>
        <v>256.98593125379637</v>
      </c>
      <c r="D38" s="56">
        <f>'S1 calculations'!E39</f>
        <v>127.83130365658947</v>
      </c>
      <c r="E38" s="56">
        <f>'S1 calculations'!F39</f>
        <v>212.74585768893084</v>
      </c>
      <c r="F38" t="s">
        <v>220</v>
      </c>
    </row>
    <row r="39" spans="1:6">
      <c r="A39" s="75" t="s">
        <v>59</v>
      </c>
      <c r="B39" s="56">
        <f>'S1 calculations'!C40</f>
        <v>1227.0188404843527</v>
      </c>
      <c r="C39" s="56">
        <f>'S1 calculations'!D40</f>
        <v>2425.9471910358361</v>
      </c>
      <c r="D39" s="56">
        <f>'S1 calculations'!E40</f>
        <v>1206.7275065182041</v>
      </c>
      <c r="E39" s="56">
        <f>'S1 calculations'!F40</f>
        <v>2008.3208965835061</v>
      </c>
      <c r="F39" t="s">
        <v>165</v>
      </c>
    </row>
    <row r="40" spans="1:6">
      <c r="A40" s="75" t="s">
        <v>66</v>
      </c>
      <c r="B40" s="56">
        <f>'S1 calculations'!C41</f>
        <v>272.95969968401926</v>
      </c>
      <c r="C40" s="56">
        <f>'S1 calculations'!D41</f>
        <v>539.67045563297233</v>
      </c>
      <c r="D40" s="56">
        <f>'S1 calculations'!E41</f>
        <v>268.44573767883787</v>
      </c>
      <c r="E40" s="56">
        <f>'S1 calculations'!F41</f>
        <v>446.76630114675476</v>
      </c>
      <c r="F40" t="s">
        <v>172</v>
      </c>
    </row>
    <row r="41" spans="1:6">
      <c r="A41" s="75" t="s">
        <v>67</v>
      </c>
      <c r="B41" s="56">
        <f>'S1 calculations'!C42</f>
        <v>173.44639202778825</v>
      </c>
      <c r="C41" s="56">
        <f>'S1 calculations'!D42</f>
        <v>342.9220266650658</v>
      </c>
      <c r="D41" s="56">
        <f>'S1 calculations'!E42</f>
        <v>170.57809159935297</v>
      </c>
      <c r="E41" s="56">
        <f>'S1 calculations'!F42</f>
        <v>283.88807250010927</v>
      </c>
      <c r="F41" t="s">
        <v>172</v>
      </c>
    </row>
    <row r="42" spans="1:6">
      <c r="A42" s="75" t="s">
        <v>60</v>
      </c>
      <c r="B42" s="56">
        <f>'S1 calculations'!C43</f>
        <v>23.99645711507862</v>
      </c>
      <c r="C42" s="56">
        <f>'S1 calculations'!D43</f>
        <v>47.443556539162408</v>
      </c>
      <c r="D42" s="56">
        <f>'S1 calculations'!E43</f>
        <v>23.599625290447289</v>
      </c>
      <c r="E42" s="56">
        <f>'S1 calculations'!F43</f>
        <v>39.276158342571847</v>
      </c>
      <c r="F42" t="s">
        <v>81</v>
      </c>
    </row>
    <row r="43" spans="1:6">
      <c r="A43" s="75" t="s">
        <v>61</v>
      </c>
      <c r="B43" s="56">
        <f>'S1 calculations'!C44</f>
        <v>2339.6545687201651</v>
      </c>
      <c r="C43" s="56">
        <f>'S1 calculations'!D44</f>
        <v>1266.5735183222819</v>
      </c>
      <c r="D43" s="56">
        <f>'S1 calculations'!E44</f>
        <v>2300.9634658186101</v>
      </c>
      <c r="E43" s="56">
        <f>'S1 calculations'!F44</f>
        <v>1048.5331557525876</v>
      </c>
      <c r="F43" t="s">
        <v>129</v>
      </c>
    </row>
    <row r="44" spans="1:6">
      <c r="A44" t="s">
        <v>62</v>
      </c>
      <c r="B44" s="56">
        <f>'S1 calculations'!C45</f>
        <v>0</v>
      </c>
      <c r="C44" s="56">
        <f>'S1 calculations'!D45</f>
        <v>297.36943473653577</v>
      </c>
      <c r="D44" s="56">
        <f>'S1 calculations'!E45</f>
        <v>0</v>
      </c>
      <c r="E44" s="56">
        <f>'S1 calculations'!F45</f>
        <v>246.1773496114771</v>
      </c>
      <c r="F44" t="s">
        <v>130</v>
      </c>
    </row>
    <row r="45" spans="1:6">
      <c r="A45" s="75" t="s">
        <v>126</v>
      </c>
      <c r="B45" s="56">
        <f>'S1 calculations'!C46</f>
        <v>30029.518381847069</v>
      </c>
      <c r="C45" s="56">
        <f>'S1 calculations'!D46</f>
        <v>50874.065689099036</v>
      </c>
      <c r="D45" s="56">
        <f>'S1 calculations'!E46</f>
        <v>29532.917216303322</v>
      </c>
      <c r="E45" s="56">
        <f>'S1 calculations'!F46</f>
        <v>42116.106069874579</v>
      </c>
      <c r="F45" t="s">
        <v>171</v>
      </c>
    </row>
    <row r="46" spans="1:6">
      <c r="A46" s="75" t="s">
        <v>173</v>
      </c>
      <c r="B46" s="56">
        <f>'S1 calculations'!C47</f>
        <v>25.996161874668502</v>
      </c>
      <c r="C46" s="56">
        <f>'S1 calculations'!D47</f>
        <v>51.397186250759269</v>
      </c>
      <c r="D46" s="56">
        <f>'S1 calculations'!E47</f>
        <v>25.566260731317893</v>
      </c>
      <c r="E46" s="56">
        <f>'S1 calculations'!F47</f>
        <v>42.549171537786165</v>
      </c>
      <c r="F46" t="s">
        <v>170</v>
      </c>
    </row>
    <row r="47" spans="1:6">
      <c r="A47" t="s">
        <v>162</v>
      </c>
      <c r="B47" s="56">
        <f>'S1 calculations'!C48</f>
        <v>118.15221463358405</v>
      </c>
      <c r="C47" s="56">
        <f>'S1 calculations'!D48</f>
        <v>118.15221463358405</v>
      </c>
      <c r="D47" s="56">
        <f>'S1 calculations'!E48</f>
        <v>116.198319577642</v>
      </c>
      <c r="E47" s="56">
        <f>'S1 calculations'!F48</f>
        <v>97.812335941628149</v>
      </c>
      <c r="F47" t="s">
        <v>164</v>
      </c>
    </row>
    <row r="48" spans="1:6">
      <c r="A48" t="s">
        <v>194</v>
      </c>
      <c r="B48" s="56">
        <f>'S1 calculations'!C49</f>
        <v>1.152704533010576E-2</v>
      </c>
      <c r="C48" s="56">
        <f>'S1 calculations'!D49</f>
        <v>1.152704533010576E-2</v>
      </c>
      <c r="D48" s="56">
        <f>'S1 calculations'!E49</f>
        <v>1.1336421422208974E-2</v>
      </c>
      <c r="E48" s="56">
        <f>'S1 calculations'!F49</f>
        <v>9.5426669211344534E-3</v>
      </c>
      <c r="F48" t="s">
        <v>163</v>
      </c>
    </row>
    <row r="49" spans="1:6" ht="15.75">
      <c r="A49" t="s">
        <v>113</v>
      </c>
      <c r="B49" s="56">
        <f>'S1 calculations'!C50</f>
        <v>3.0571486364610161</v>
      </c>
      <c r="C49" s="56">
        <f>'S1 calculations'!D50</f>
        <v>1.6549893972744485</v>
      </c>
      <c r="D49" s="56">
        <f>'S1 calculations'!E50</f>
        <v>3.0065922620029841</v>
      </c>
      <c r="E49" s="56">
        <f>'S1 calculations'!F50</f>
        <v>1.3700833235167147</v>
      </c>
      <c r="F49" s="70" t="s">
        <v>227</v>
      </c>
    </row>
    <row r="50" spans="1:6">
      <c r="A50" t="s">
        <v>219</v>
      </c>
      <c r="B50" s="56">
        <f>'S1 calculations'!C51</f>
        <v>0.6420012136568134</v>
      </c>
      <c r="C50" s="56">
        <f>'S1 calculations'!D51</f>
        <v>0.34754777342763415</v>
      </c>
      <c r="D50" s="56">
        <f>'S1 calculations'!E51</f>
        <v>0.63138437502062661</v>
      </c>
      <c r="E50" s="56">
        <f>'S1 calculations'!F51</f>
        <v>0.28771749793851009</v>
      </c>
      <c r="F50" t="s">
        <v>202</v>
      </c>
    </row>
    <row r="51" spans="1:6">
      <c r="A51" t="s">
        <v>31</v>
      </c>
      <c r="B51" s="56">
        <f>'S1 calculations'!C52</f>
        <v>1117.3150373732524</v>
      </c>
      <c r="C51" s="56">
        <f>'S1 calculations'!D52</f>
        <v>916.20624210603478</v>
      </c>
      <c r="D51" s="56">
        <f>'S1 calculations'!E52</f>
        <v>1098.837886232043</v>
      </c>
      <c r="E51" s="56">
        <f>'S1 calculations'!F52</f>
        <v>758.48153183257625</v>
      </c>
      <c r="F51" t="s">
        <v>231</v>
      </c>
    </row>
    <row r="52" spans="1:6">
      <c r="A52" t="s">
        <v>260</v>
      </c>
      <c r="B52" s="56">
        <f>'S1 calculations'!C53</f>
        <v>12.228594545844064</v>
      </c>
      <c r="C52" s="56">
        <f>'S1 calculations'!D53</f>
        <v>6.619957589097794</v>
      </c>
      <c r="D52" s="56">
        <f>'S1 calculations'!E53</f>
        <v>12.026369048011937</v>
      </c>
      <c r="E52" s="56">
        <f>'S1 calculations'!F53</f>
        <v>5.4803332940668588</v>
      </c>
      <c r="F52" t="s">
        <v>202</v>
      </c>
    </row>
    <row r="53" spans="1:6" ht="15.75">
      <c r="A53" t="s">
        <v>27</v>
      </c>
      <c r="B53" s="56">
        <f>'S1 calculations'!C54</f>
        <v>36.68578363753219</v>
      </c>
      <c r="C53" s="56">
        <f>'S1 calculations'!D54</f>
        <v>19.859872767293382</v>
      </c>
      <c r="D53" s="56">
        <f>'S1 calculations'!E54</f>
        <v>36.07910714403581</v>
      </c>
      <c r="E53" s="56">
        <f>'S1 calculations'!F54</f>
        <v>16.440999882200575</v>
      </c>
      <c r="F53" s="71" t="s">
        <v>229</v>
      </c>
    </row>
    <row r="54" spans="1:6">
      <c r="A54" t="s">
        <v>30</v>
      </c>
      <c r="B54" s="56">
        <f>'S1 calculations'!C55</f>
        <v>3.0571486364610161</v>
      </c>
      <c r="C54" s="56">
        <f>'S1 calculations'!D55</f>
        <v>1.6549893972744485</v>
      </c>
      <c r="D54" s="56">
        <f>'S1 calculations'!E55</f>
        <v>3.0065922620029841</v>
      </c>
      <c r="E54" s="56">
        <f>'S1 calculations'!F55</f>
        <v>1.3700833235167147</v>
      </c>
      <c r="F54" t="s">
        <v>230</v>
      </c>
    </row>
    <row r="55" spans="1:6">
      <c r="A55" t="s">
        <v>180</v>
      </c>
      <c r="B55" s="56">
        <f>'S1 calculations'!C56</f>
        <v>9.0022723270853162E-5</v>
      </c>
      <c r="C55" s="56">
        <f>'S1 calculations'!D56</f>
        <v>1.7798453083419269E-4</v>
      </c>
      <c r="D55" s="56">
        <f>'S1 calculations'!E56</f>
        <v>8.8534008442554425E-5</v>
      </c>
      <c r="E55" s="56">
        <f>'S1 calculations'!F56</f>
        <v>1.4734453159728335E-4</v>
      </c>
      <c r="F55" t="s">
        <v>128</v>
      </c>
    </row>
    <row r="56" spans="1:6">
      <c r="A56" t="s">
        <v>198</v>
      </c>
      <c r="B56" s="56">
        <f>'S1 calculations'!C57</f>
        <v>293.20244000098603</v>
      </c>
      <c r="C56" s="56">
        <f>'S1 calculations'!D57</f>
        <v>579.69251347800798</v>
      </c>
      <c r="D56" s="56">
        <f>'S1 calculations'!E57</f>
        <v>288.35372176337432</v>
      </c>
      <c r="E56" s="56">
        <f>'S1 calculations'!F57</f>
        <v>479.89857022147413</v>
      </c>
      <c r="F56" t="s">
        <v>127</v>
      </c>
    </row>
    <row r="57" spans="1:6">
      <c r="A57" t="s">
        <v>193</v>
      </c>
      <c r="B57" s="56">
        <f>'S1 calculations'!C58</f>
        <v>7.8689768843942728E-2</v>
      </c>
      <c r="C57" s="56">
        <f>'S1 calculations'!D58</f>
        <v>0.15557807051672282</v>
      </c>
      <c r="D57" s="56">
        <f>'S1 calculations'!E58</f>
        <v>7.7388468222754858E-2</v>
      </c>
      <c r="E57" s="56">
        <f>'S1 calculations'!F58</f>
        <v>0.12879533867159978</v>
      </c>
      <c r="F57" t="s">
        <v>188</v>
      </c>
    </row>
    <row r="58" spans="1:6">
      <c r="A58" t="s">
        <v>92</v>
      </c>
      <c r="B58" s="56">
        <f>'S1 calculations'!C59</f>
        <v>4.1133406981526432</v>
      </c>
      <c r="C58" s="56">
        <f>'S1 calculations'!D59</f>
        <v>69.273431493456883</v>
      </c>
      <c r="D58" s="56">
        <f>'S1 calculations'!E59</f>
        <v>34.839112032399839</v>
      </c>
      <c r="E58" s="56">
        <f>'S1 calculations'!F59</f>
        <v>57.348024953070905</v>
      </c>
      <c r="F58" t="s">
        <v>77</v>
      </c>
    </row>
    <row r="59" spans="1:6">
      <c r="A59" t="s">
        <v>91</v>
      </c>
      <c r="B59" s="56">
        <f>'S1 calculations'!C60</f>
        <v>2.5736200255921817</v>
      </c>
      <c r="C59" s="56">
        <f>'S1 calculations'!D60</f>
        <v>2.2556022308904637</v>
      </c>
      <c r="D59" s="56">
        <f>'S1 calculations'!E60</f>
        <v>2.5310598124004708</v>
      </c>
      <c r="E59" s="56">
        <f>'S1 calculations'!F60</f>
        <v>1.8673007852011301</v>
      </c>
      <c r="F59" t="s">
        <v>89</v>
      </c>
    </row>
    <row r="60" spans="1:6">
      <c r="A60" t="s">
        <v>90</v>
      </c>
      <c r="B60" s="56">
        <f>'S1 calculations'!C61</f>
        <v>5.5248483003472399</v>
      </c>
      <c r="C60" s="56">
        <f>'S1 calculations'!D61</f>
        <v>10.923214683350595</v>
      </c>
      <c r="D60" s="56">
        <f>'S1 calculations'!E61</f>
        <v>5.4334833283714215</v>
      </c>
      <c r="E60" s="56">
        <f>'S1 calculations'!F61</f>
        <v>9.0427855921603708</v>
      </c>
      <c r="F60" t="s">
        <v>76</v>
      </c>
    </row>
    <row r="61" spans="1:6">
      <c r="A61" t="s">
        <v>264</v>
      </c>
      <c r="B61" s="56">
        <f>'S1 calculations'!C62</f>
        <v>274.59745788212336</v>
      </c>
      <c r="C61" s="56">
        <f>'S1 calculations'!D62</f>
        <v>542.90847836677017</v>
      </c>
      <c r="D61" s="56">
        <f>'S1 calculations'!E62</f>
        <v>270.05641210491092</v>
      </c>
      <c r="E61" s="56">
        <f>'S1 calculations'!F62</f>
        <v>449.4468989536353</v>
      </c>
      <c r="F61" t="s">
        <v>200</v>
      </c>
    </row>
    <row r="63" spans="1:6">
      <c r="D63" s="80"/>
    </row>
    <row r="64" spans="1:6">
      <c r="D64" s="80"/>
    </row>
    <row r="65" spans="1:4">
      <c r="A65" s="72"/>
    </row>
    <row r="66" spans="1:4">
      <c r="D66" s="80"/>
    </row>
  </sheetData>
  <mergeCells count="8">
    <mergeCell ref="A2:E2"/>
    <mergeCell ref="F3:F4"/>
    <mergeCell ref="B33:C33"/>
    <mergeCell ref="D33:E33"/>
    <mergeCell ref="F33:F34"/>
    <mergeCell ref="A32:E32"/>
    <mergeCell ref="B3:C3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CBEF-0B1A-49EE-8B80-FA8EEB8255EB}">
  <sheetPr>
    <tabColor theme="9" tint="0.79998168889431442"/>
  </sheetPr>
  <dimension ref="A1:O88"/>
  <sheetViews>
    <sheetView zoomScale="70" zoomScaleNormal="70" workbookViewId="0">
      <selection activeCell="O48" sqref="O48"/>
    </sheetView>
  </sheetViews>
  <sheetFormatPr defaultRowHeight="15"/>
  <cols>
    <col min="1" max="1" width="19" customWidth="1"/>
    <col min="2" max="2" width="21" customWidth="1"/>
    <col min="3" max="3" width="14.85546875" customWidth="1"/>
    <col min="4" max="4" width="15" bestFit="1" customWidth="1"/>
    <col min="5" max="6" width="14.85546875" customWidth="1"/>
    <col min="7" max="7" width="14.140625" customWidth="1"/>
    <col min="8" max="8" width="16" customWidth="1"/>
    <col min="9" max="9" width="28.7109375" customWidth="1"/>
    <col min="10" max="10" width="17.85546875" customWidth="1"/>
    <col min="12" max="12" width="20" customWidth="1"/>
    <col min="13" max="13" width="8.28515625" customWidth="1"/>
    <col min="14" max="14" width="20.7109375" customWidth="1"/>
    <col min="15" max="15" width="12.140625" customWidth="1"/>
    <col min="16" max="16" width="11.140625" customWidth="1"/>
    <col min="17" max="17" width="20.85546875" customWidth="1"/>
  </cols>
  <sheetData>
    <row r="1" spans="1:13">
      <c r="A1" s="86" t="s">
        <v>236</v>
      </c>
      <c r="B1" s="86"/>
      <c r="C1" s="86"/>
      <c r="D1" s="86"/>
      <c r="E1" s="86"/>
      <c r="F1" s="86"/>
      <c r="G1" s="86"/>
      <c r="H1" s="86"/>
    </row>
    <row r="2" spans="1:13">
      <c r="C2" s="81" t="s">
        <v>234</v>
      </c>
      <c r="D2" s="81"/>
      <c r="E2" s="81"/>
      <c r="F2" s="81"/>
      <c r="I2" s="83" t="s">
        <v>235</v>
      </c>
      <c r="J2" s="84"/>
      <c r="K2" s="84"/>
      <c r="L2" s="84"/>
    </row>
    <row r="3" spans="1:13" ht="15.75" thickBot="1">
      <c r="A3" s="91" t="s">
        <v>237</v>
      </c>
      <c r="B3" t="s">
        <v>71</v>
      </c>
      <c r="C3" s="86" t="s">
        <v>25</v>
      </c>
      <c r="D3" s="86"/>
      <c r="E3" s="86" t="s">
        <v>26</v>
      </c>
      <c r="F3" s="86"/>
      <c r="I3" s="85"/>
      <c r="J3" s="85"/>
      <c r="K3" s="85"/>
      <c r="L3" s="85"/>
    </row>
    <row r="4" spans="1:13" ht="15.75" thickBot="1">
      <c r="A4" s="91"/>
      <c r="B4" s="75" t="s">
        <v>34</v>
      </c>
      <c r="C4" t="s">
        <v>0</v>
      </c>
      <c r="D4" t="s">
        <v>1</v>
      </c>
      <c r="E4" t="s">
        <v>0</v>
      </c>
      <c r="F4" t="s">
        <v>1</v>
      </c>
      <c r="I4" s="77" t="s">
        <v>9</v>
      </c>
      <c r="J4" s="77"/>
      <c r="K4" s="77"/>
      <c r="L4" s="78"/>
    </row>
    <row r="5" spans="1:13">
      <c r="A5" s="91"/>
      <c r="B5" s="75" t="s">
        <v>56</v>
      </c>
      <c r="C5">
        <f>'Tractor &amp; Steamer'!$J7*J10</f>
        <v>3771.8264533321108</v>
      </c>
      <c r="D5">
        <f>'Tractor &amp; Steamer'!$J7*K10</f>
        <v>7457.3034150997473</v>
      </c>
      <c r="E5">
        <f>'Tractor &amp; Steamer'!J7*J11</f>
        <v>3709.4513799414653</v>
      </c>
      <c r="F5">
        <f>'Tractor &amp; Steamer'!J7*K11</f>
        <v>6173.5302137032913</v>
      </c>
      <c r="J5" t="s">
        <v>0</v>
      </c>
      <c r="K5" t="s">
        <v>1</v>
      </c>
      <c r="L5" s="5" t="s">
        <v>7</v>
      </c>
    </row>
    <row r="6" spans="1:13">
      <c r="A6" s="91"/>
      <c r="B6" s="75" t="s">
        <v>57</v>
      </c>
      <c r="C6">
        <f>J10*'Tractor &amp; Steamer'!J5</f>
        <v>145.57850649814361</v>
      </c>
      <c r="D6">
        <f>K10*'Tractor &amp; Steamer'!J5</f>
        <v>287.82424300425191</v>
      </c>
      <c r="E6">
        <f>J11*'Tractor &amp; Steamer'!J5</f>
        <v>143.1710600953802</v>
      </c>
      <c r="F6">
        <f>K11*'Tractor &amp; Steamer'!J5</f>
        <v>238.27536061160251</v>
      </c>
      <c r="I6" t="s">
        <v>10</v>
      </c>
      <c r="J6">
        <v>38.467216999999998</v>
      </c>
      <c r="K6" s="10">
        <v>19.456318</v>
      </c>
      <c r="L6" s="5" t="s">
        <v>16</v>
      </c>
    </row>
    <row r="7" spans="1:13">
      <c r="A7" s="91"/>
      <c r="B7" s="75" t="s">
        <v>195</v>
      </c>
      <c r="C7">
        <f t="shared" ref="C7:C12" si="0">$J$10*J23</f>
        <v>218367.75974721543</v>
      </c>
      <c r="D7">
        <f t="shared" ref="D7:D12" si="1">$K$10*J23</f>
        <v>431736.36450637784</v>
      </c>
      <c r="E7">
        <f t="shared" ref="E7:E12" si="2">$J$11*J23</f>
        <v>214756.59014307029</v>
      </c>
      <c r="F7">
        <f t="shared" ref="F7:F12" si="3">$K$11*J23</f>
        <v>357413.04091740376</v>
      </c>
      <c r="I7" t="s">
        <v>11</v>
      </c>
      <c r="J7" s="10">
        <v>2.3302710000000002</v>
      </c>
      <c r="K7" s="10">
        <v>2.2985652000000001</v>
      </c>
      <c r="L7" s="5" t="s">
        <v>16</v>
      </c>
    </row>
    <row r="8" spans="1:13">
      <c r="A8" s="91"/>
      <c r="B8" s="75" t="s">
        <v>58</v>
      </c>
      <c r="C8">
        <f t="shared" si="0"/>
        <v>1299.808093733425</v>
      </c>
      <c r="D8">
        <f t="shared" si="1"/>
        <v>2569.8593125379634</v>
      </c>
      <c r="E8">
        <f t="shared" si="2"/>
        <v>1278.3130365658947</v>
      </c>
      <c r="F8">
        <f t="shared" si="3"/>
        <v>2127.4585768893085</v>
      </c>
      <c r="I8" t="s">
        <v>12</v>
      </c>
      <c r="J8">
        <v>3.9114049978182002</v>
      </c>
      <c r="K8">
        <v>2.3502220228000001</v>
      </c>
      <c r="L8" s="5" t="s">
        <v>16</v>
      </c>
    </row>
    <row r="9" spans="1:13">
      <c r="A9" s="91"/>
      <c r="B9" s="75" t="s">
        <v>59</v>
      </c>
      <c r="C9">
        <f t="shared" si="0"/>
        <v>12270.188404843528</v>
      </c>
      <c r="D9">
        <f t="shared" si="1"/>
        <v>24259.471910358363</v>
      </c>
      <c r="E9">
        <f t="shared" si="2"/>
        <v>12067.275065182041</v>
      </c>
      <c r="F9">
        <f t="shared" si="3"/>
        <v>20083.20896583506</v>
      </c>
      <c r="I9" t="s">
        <v>13</v>
      </c>
      <c r="J9" s="10">
        <v>0.21431606</v>
      </c>
      <c r="K9" s="10">
        <v>0.22384582</v>
      </c>
      <c r="L9" s="5" t="s">
        <v>16</v>
      </c>
    </row>
    <row r="10" spans="1:13">
      <c r="A10" s="91"/>
      <c r="B10" s="75" t="s">
        <v>66</v>
      </c>
      <c r="C10">
        <f t="shared" si="0"/>
        <v>272.95969968401926</v>
      </c>
      <c r="D10">
        <f t="shared" si="1"/>
        <v>539.67045563297233</v>
      </c>
      <c r="E10">
        <f t="shared" si="2"/>
        <v>268.44573767883787</v>
      </c>
      <c r="F10">
        <f t="shared" si="3"/>
        <v>446.76630114675476</v>
      </c>
      <c r="I10" t="s">
        <v>124</v>
      </c>
      <c r="J10">
        <f>1000/J6</f>
        <v>25.996161874668502</v>
      </c>
      <c r="K10">
        <f>1000/K6</f>
        <v>51.397186250759269</v>
      </c>
      <c r="L10" s="5" t="s">
        <v>16</v>
      </c>
      <c r="M10" t="s">
        <v>170</v>
      </c>
    </row>
    <row r="11" spans="1:13">
      <c r="A11" s="91"/>
      <c r="B11" s="75" t="s">
        <v>67</v>
      </c>
      <c r="C11">
        <f t="shared" si="0"/>
        <v>173.44639202778825</v>
      </c>
      <c r="D11">
        <f t="shared" si="1"/>
        <v>342.9220266650658</v>
      </c>
      <c r="E11">
        <f t="shared" si="2"/>
        <v>170.57809159935297</v>
      </c>
      <c r="F11">
        <f t="shared" si="3"/>
        <v>283.88807250010927</v>
      </c>
      <c r="I11" t="s">
        <v>125</v>
      </c>
      <c r="J11">
        <f>100/J8</f>
        <v>25.566260731317893</v>
      </c>
      <c r="K11">
        <f>100/K8</f>
        <v>42.549171537786165</v>
      </c>
      <c r="L11" s="5" t="s">
        <v>16</v>
      </c>
      <c r="M11" t="s">
        <v>170</v>
      </c>
    </row>
    <row r="12" spans="1:13">
      <c r="A12" s="91"/>
      <c r="B12" s="75" t="s">
        <v>60</v>
      </c>
      <c r="C12">
        <f t="shared" si="0"/>
        <v>23.99645711507862</v>
      </c>
      <c r="D12">
        <f t="shared" si="1"/>
        <v>47.443556539162408</v>
      </c>
      <c r="E12">
        <f t="shared" si="2"/>
        <v>23.599625290447289</v>
      </c>
      <c r="F12">
        <f t="shared" si="3"/>
        <v>39.276158342571847</v>
      </c>
      <c r="I12" t="s">
        <v>18</v>
      </c>
      <c r="J12">
        <f>'Tractor &amp; Steamer'!J4*J6/1000</f>
        <v>2154.1641519999998</v>
      </c>
      <c r="K12">
        <f>'Tractor &amp; Steamer'!J4*K6/1000</f>
        <v>1089.5538079999999</v>
      </c>
      <c r="L12" s="5" t="s">
        <v>16</v>
      </c>
    </row>
    <row r="13" spans="1:13">
      <c r="A13" s="91"/>
      <c r="B13" s="75" t="s">
        <v>61</v>
      </c>
      <c r="C13">
        <f t="shared" ref="C13:F14" si="4">J37*(15/14)</f>
        <v>2339.6545687201651</v>
      </c>
      <c r="D13">
        <f t="shared" si="4"/>
        <v>1266.5735183222819</v>
      </c>
      <c r="E13">
        <f t="shared" si="4"/>
        <v>2300.9634658186101</v>
      </c>
      <c r="F13">
        <f t="shared" si="4"/>
        <v>1048.5331557525876</v>
      </c>
      <c r="I13" t="s">
        <v>19</v>
      </c>
      <c r="J13">
        <f>J8*'Tractor &amp; Steamer'!J4</f>
        <v>219038.6798778192</v>
      </c>
      <c r="K13">
        <f>K8*'Tractor &amp; Steamer'!J4</f>
        <v>131612.4332768</v>
      </c>
      <c r="L13" s="5" t="s">
        <v>16</v>
      </c>
    </row>
    <row r="14" spans="1:13" ht="15.75" thickBot="1">
      <c r="A14" s="91"/>
      <c r="B14" t="s">
        <v>62</v>
      </c>
      <c r="C14">
        <f t="shared" si="4"/>
        <v>0</v>
      </c>
      <c r="D14">
        <f t="shared" si="4"/>
        <v>297.36943473653577</v>
      </c>
      <c r="E14">
        <f t="shared" si="4"/>
        <v>0</v>
      </c>
      <c r="F14">
        <f t="shared" si="4"/>
        <v>246.1773496114771</v>
      </c>
      <c r="I14" s="7" t="s">
        <v>28</v>
      </c>
      <c r="J14" s="7">
        <f>429.8*0.2</f>
        <v>85.960000000000008</v>
      </c>
      <c r="K14" s="7">
        <f>178.26*0.2</f>
        <v>35.652000000000001</v>
      </c>
      <c r="L14" t="s">
        <v>32</v>
      </c>
    </row>
    <row r="15" spans="1:13">
      <c r="A15" s="91"/>
      <c r="B15" s="75" t="s">
        <v>126</v>
      </c>
      <c r="C15">
        <f>J16+C11+C7+C8+C9</f>
        <v>238773.49900306022</v>
      </c>
      <c r="D15">
        <f>K16+D11+D7+D8+D9</f>
        <v>463583.19184544578</v>
      </c>
      <c r="E15">
        <f>L16+E11+E7+E8+E9</f>
        <v>234824.87763663975</v>
      </c>
      <c r="F15">
        <f>M16+F11+F7+F8+F9</f>
        <v>383777.44368398987</v>
      </c>
      <c r="J15" s="4" t="s">
        <v>248</v>
      </c>
      <c r="K15" s="5" t="s">
        <v>249</v>
      </c>
      <c r="L15" s="4" t="s">
        <v>232</v>
      </c>
      <c r="M15" t="s">
        <v>233</v>
      </c>
    </row>
    <row r="16" spans="1:13">
      <c r="A16" s="91"/>
      <c r="B16" s="75" t="s">
        <v>173</v>
      </c>
      <c r="C16">
        <f>J10</f>
        <v>25.996161874668502</v>
      </c>
      <c r="D16">
        <f>K10</f>
        <v>51.397186250759269</v>
      </c>
      <c r="E16">
        <f>J11</f>
        <v>25.566260731317893</v>
      </c>
      <c r="F16">
        <f>K11</f>
        <v>42.549171537786165</v>
      </c>
      <c r="I16" s="75" t="s">
        <v>73</v>
      </c>
      <c r="J16">
        <f>J10*J17</f>
        <v>6662.2963652400431</v>
      </c>
      <c r="K16">
        <f>K10*K17</f>
        <v>4674.5740895065555</v>
      </c>
      <c r="L16">
        <f>J11*J17</f>
        <v>6552.1213002221493</v>
      </c>
      <c r="M16">
        <f>K11*K17</f>
        <v>3869.8471513616519</v>
      </c>
    </row>
    <row r="17" spans="1:15" ht="15.75" thickBot="1">
      <c r="A17" s="87" t="s">
        <v>238</v>
      </c>
      <c r="B17" t="s">
        <v>162</v>
      </c>
      <c r="C17" s="55">
        <f>Drying!C21</f>
        <v>118.15221463358405</v>
      </c>
      <c r="D17" s="55">
        <f>Drying!D21</f>
        <v>118.15221463358405</v>
      </c>
      <c r="E17" s="55">
        <f>Drying!E21</f>
        <v>116.198319577642</v>
      </c>
      <c r="F17" s="55">
        <f>Drying!F21</f>
        <v>97.812335941628149</v>
      </c>
      <c r="I17" t="s">
        <v>72</v>
      </c>
      <c r="J17">
        <v>256.27999999999997</v>
      </c>
      <c r="K17">
        <v>90.95</v>
      </c>
      <c r="L17" s="5" t="s">
        <v>16</v>
      </c>
    </row>
    <row r="18" spans="1:15">
      <c r="A18" s="87"/>
      <c r="B18" t="s">
        <v>194</v>
      </c>
      <c r="C18" s="55">
        <f>Drying!C22</f>
        <v>1.152704533010576E-2</v>
      </c>
      <c r="D18" s="55">
        <f>Drying!D22</f>
        <v>1.152704533010576E-2</v>
      </c>
      <c r="E18" s="55">
        <f>Drying!E22</f>
        <v>1.1336421422208974E-2</v>
      </c>
      <c r="F18" s="55">
        <f>Drying!F22</f>
        <v>9.5426669211344534E-3</v>
      </c>
      <c r="I18" s="2" t="s">
        <v>69</v>
      </c>
      <c r="J18" s="2"/>
      <c r="K18" s="3"/>
    </row>
    <row r="19" spans="1:15">
      <c r="A19" s="92" t="s">
        <v>239</v>
      </c>
      <c r="B19" t="s">
        <v>250</v>
      </c>
      <c r="C19">
        <f>'Emission factors'!B3</f>
        <v>3.0571486364610161</v>
      </c>
      <c r="D19">
        <f>'Emission factors'!C3</f>
        <v>1.6549893972744485</v>
      </c>
      <c r="E19">
        <f>'Emission factors'!D3</f>
        <v>3.0065922620029841</v>
      </c>
      <c r="F19">
        <f>'Emission factors'!E3</f>
        <v>1.3700833235167147</v>
      </c>
      <c r="I19" t="s">
        <v>70</v>
      </c>
      <c r="J19">
        <v>0.14499999999999999</v>
      </c>
      <c r="K19" s="5" t="s">
        <v>36</v>
      </c>
    </row>
    <row r="20" spans="1:15">
      <c r="A20" s="92"/>
      <c r="B20" t="s">
        <v>251</v>
      </c>
      <c r="C20">
        <f>'Emission factors'!B4</f>
        <v>0.6420012136568134</v>
      </c>
      <c r="D20">
        <f>'Emission factors'!C4</f>
        <v>0.34754777342763415</v>
      </c>
      <c r="E20">
        <f>'Emission factors'!D4</f>
        <v>0.63138437502062661</v>
      </c>
      <c r="F20">
        <f>'Emission factors'!E4</f>
        <v>0.28771749793851009</v>
      </c>
      <c r="I20" t="s">
        <v>35</v>
      </c>
      <c r="J20">
        <v>12000</v>
      </c>
      <c r="K20" s="5" t="s">
        <v>16</v>
      </c>
    </row>
    <row r="21" spans="1:15">
      <c r="A21" s="92"/>
      <c r="B21" t="s">
        <v>252</v>
      </c>
      <c r="C21">
        <f>'Emission factors'!B5</f>
        <v>1117.3150373732524</v>
      </c>
      <c r="D21">
        <f>'Emission factors'!C5</f>
        <v>916.20624210603478</v>
      </c>
      <c r="E21">
        <f>'Emission factors'!D5</f>
        <v>1098.837886232043</v>
      </c>
      <c r="F21">
        <f>'Emission factors'!E5</f>
        <v>758.48153183257625</v>
      </c>
      <c r="I21" t="s">
        <v>37</v>
      </c>
      <c r="J21">
        <f>J20*J19</f>
        <v>1739.9999999999998</v>
      </c>
      <c r="K21" s="5" t="s">
        <v>36</v>
      </c>
    </row>
    <row r="22" spans="1:15">
      <c r="A22" s="92"/>
      <c r="B22" t="s">
        <v>253</v>
      </c>
      <c r="C22">
        <f>'Emission factors'!B6</f>
        <v>12.228594545844064</v>
      </c>
      <c r="D22">
        <f>'Emission factors'!C6</f>
        <v>6.619957589097794</v>
      </c>
      <c r="E22">
        <f>'Emission factors'!D6</f>
        <v>12.026369048011937</v>
      </c>
      <c r="F22">
        <f>'Emission factors'!E6</f>
        <v>5.4803332940668588</v>
      </c>
      <c r="I22" t="s">
        <v>38</v>
      </c>
      <c r="J22">
        <f>J20*0.7*0.145</f>
        <v>1218</v>
      </c>
      <c r="K22" s="5" t="s">
        <v>36</v>
      </c>
    </row>
    <row r="23" spans="1:15">
      <c r="A23" s="92"/>
      <c r="B23" t="s">
        <v>254</v>
      </c>
      <c r="C23">
        <f>'Emission factors'!B7</f>
        <v>36.68578363753219</v>
      </c>
      <c r="D23">
        <f>'Emission factors'!C7</f>
        <v>19.859872767293382</v>
      </c>
      <c r="E23">
        <f>'Emission factors'!D7</f>
        <v>36.07910714403581</v>
      </c>
      <c r="F23">
        <f>'Emission factors'!E7</f>
        <v>16.440999882200575</v>
      </c>
      <c r="I23" t="s">
        <v>166</v>
      </c>
      <c r="J23">
        <f>J20*0.7</f>
        <v>8400</v>
      </c>
      <c r="K23" s="5" t="s">
        <v>36</v>
      </c>
    </row>
    <row r="24" spans="1:15">
      <c r="A24" s="92"/>
      <c r="B24" t="s">
        <v>255</v>
      </c>
      <c r="C24">
        <f>'Emission factors'!B8</f>
        <v>3.0571486364610161</v>
      </c>
      <c r="D24">
        <f>'Emission factors'!C8</f>
        <v>1.6549893972744485</v>
      </c>
      <c r="E24">
        <f>'Emission factors'!D8</f>
        <v>3.0065922620029841</v>
      </c>
      <c r="F24">
        <f>'Emission factors'!E8</f>
        <v>1.3700833235167147</v>
      </c>
      <c r="I24" t="s">
        <v>39</v>
      </c>
      <c r="J24">
        <v>50</v>
      </c>
      <c r="K24" s="5" t="s">
        <v>41</v>
      </c>
    </row>
    <row r="25" spans="1:15" ht="30.75" customHeight="1">
      <c r="A25" s="93" t="s">
        <v>240</v>
      </c>
      <c r="B25" t="s">
        <v>180</v>
      </c>
      <c r="C25" s="76">
        <f>'Tractor &amp; Steamer'!B7</f>
        <v>9.0022723270853162E-5</v>
      </c>
      <c r="D25" s="76">
        <f>'Tractor &amp; Steamer'!C7</f>
        <v>1.7798453083419269E-4</v>
      </c>
      <c r="E25" s="76">
        <f>'Tractor &amp; Steamer'!D7</f>
        <v>8.8534008442554425E-5</v>
      </c>
      <c r="F25" s="76">
        <f>'Tractor &amp; Steamer'!E7</f>
        <v>1.4734453159728335E-4</v>
      </c>
      <c r="I25" t="s">
        <v>40</v>
      </c>
      <c r="J25">
        <f>J21-J22-J24</f>
        <v>471.99999999999977</v>
      </c>
      <c r="K25" s="5" t="s">
        <v>36</v>
      </c>
    </row>
    <row r="26" spans="1:15">
      <c r="A26" s="93"/>
      <c r="B26" t="s">
        <v>198</v>
      </c>
      <c r="C26" s="76">
        <f>'Tractor &amp; Steamer'!B8</f>
        <v>0.16174082614329949</v>
      </c>
      <c r="D26" s="76">
        <f>'Tractor &amp; Steamer'!C8</f>
        <v>0.31977887373209951</v>
      </c>
      <c r="E26" s="76">
        <f>'Tractor &amp; Steamer'!D8</f>
        <v>0.15906610183512279</v>
      </c>
      <c r="F26" s="76">
        <f>'Tractor &amp; Steamer'!E8</f>
        <v>0.26472900843645242</v>
      </c>
      <c r="I26" t="s">
        <v>65</v>
      </c>
      <c r="J26">
        <f>100*0.05+110/20</f>
        <v>10.5</v>
      </c>
      <c r="K26" s="5" t="s">
        <v>243</v>
      </c>
    </row>
    <row r="27" spans="1:15">
      <c r="A27" s="93"/>
      <c r="B27" t="s">
        <v>193</v>
      </c>
      <c r="C27" s="76">
        <f>'Tractor &amp; Steamer'!B9</f>
        <v>0</v>
      </c>
      <c r="D27" s="76">
        <f>'Tractor &amp; Steamer'!C9</f>
        <v>0</v>
      </c>
      <c r="E27" s="76">
        <f>'Tractor &amp; Steamer'!D9</f>
        <v>0</v>
      </c>
      <c r="F27" s="76">
        <f>'Tractor &amp; Steamer'!E9</f>
        <v>0</v>
      </c>
      <c r="I27" t="s">
        <v>68</v>
      </c>
      <c r="J27">
        <f>556*J20/1000000</f>
        <v>6.6719999999999997</v>
      </c>
      <c r="K27" s="5" t="s">
        <v>64</v>
      </c>
    </row>
    <row r="28" spans="1:15" ht="15.75" customHeight="1">
      <c r="A28" s="88" t="s">
        <v>241</v>
      </c>
      <c r="B28" t="s">
        <v>92</v>
      </c>
      <c r="C28">
        <f>Transport!B4</f>
        <v>35.424937791334614</v>
      </c>
      <c r="D28">
        <f>Transport!C4</f>
        <v>69.273431493456883</v>
      </c>
      <c r="E28">
        <f>Transport!D4</f>
        <v>34.839112032399839</v>
      </c>
      <c r="F28">
        <f>Transport!E4</f>
        <v>57.348024953070905</v>
      </c>
      <c r="I28" t="s">
        <v>55</v>
      </c>
      <c r="J28">
        <f>J29*J30/10</f>
        <v>0.92307692307692313</v>
      </c>
      <c r="K28" s="5" t="s">
        <v>244</v>
      </c>
    </row>
    <row r="29" spans="1:15">
      <c r="A29" s="88"/>
      <c r="B29" t="s">
        <v>91</v>
      </c>
      <c r="C29">
        <f>Transport!B5</f>
        <v>2.5736200255921817</v>
      </c>
      <c r="D29">
        <f>Transport!C5</f>
        <v>2.2556022308904637</v>
      </c>
      <c r="E29">
        <f>Transport!D5</f>
        <v>2.5310598124004708</v>
      </c>
      <c r="F29">
        <f>Transport!E5</f>
        <v>1.8673007852011301</v>
      </c>
      <c r="I29" t="s">
        <v>242</v>
      </c>
      <c r="J29">
        <v>3</v>
      </c>
      <c r="K29" s="5" t="s">
        <v>8</v>
      </c>
    </row>
    <row r="30" spans="1:15" ht="15.75" thickBot="1">
      <c r="A30" s="88"/>
      <c r="B30" t="s">
        <v>90</v>
      </c>
      <c r="C30">
        <f>Transport!B6</f>
        <v>5.5248483003472399</v>
      </c>
      <c r="D30">
        <f>Transport!C6</f>
        <v>10.923214683350595</v>
      </c>
      <c r="E30">
        <f>Transport!D6</f>
        <v>5.4334833283714215</v>
      </c>
      <c r="F30">
        <f>Transport!E6</f>
        <v>9.0427855921603708</v>
      </c>
      <c r="I30" s="7" t="s">
        <v>54</v>
      </c>
      <c r="J30" s="7">
        <f>3000/975</f>
        <v>3.0769230769230771</v>
      </c>
      <c r="K30" s="8" t="s">
        <v>53</v>
      </c>
    </row>
    <row r="31" spans="1:15">
      <c r="B31" t="s">
        <v>199</v>
      </c>
      <c r="C31">
        <f>C10*1.006</f>
        <v>274.59745788212336</v>
      </c>
      <c r="D31">
        <f>D10*1.006</f>
        <v>542.90847836677017</v>
      </c>
      <c r="E31">
        <f>E10*1.006</f>
        <v>270.05641210491092</v>
      </c>
      <c r="F31">
        <f>F10*1.006</f>
        <v>449.4468989536353</v>
      </c>
      <c r="I31" s="2" t="s">
        <v>17</v>
      </c>
      <c r="J31" s="2" t="s">
        <v>45</v>
      </c>
      <c r="K31" s="2"/>
      <c r="L31" s="2" t="s">
        <v>26</v>
      </c>
      <c r="M31" s="2"/>
      <c r="N31" s="2"/>
      <c r="O31" s="3"/>
    </row>
    <row r="32" spans="1:15">
      <c r="I32" t="s">
        <v>34</v>
      </c>
      <c r="J32" t="s">
        <v>0</v>
      </c>
      <c r="K32" t="s">
        <v>1</v>
      </c>
      <c r="L32" t="s">
        <v>0</v>
      </c>
      <c r="M32" t="s">
        <v>1</v>
      </c>
      <c r="N32" t="s">
        <v>7</v>
      </c>
      <c r="O32" s="5" t="s">
        <v>51</v>
      </c>
    </row>
    <row r="33" spans="1:15" ht="36" customHeight="1">
      <c r="A33" s="82" t="s">
        <v>256</v>
      </c>
      <c r="B33" s="82"/>
      <c r="C33" s="82"/>
      <c r="D33" s="82"/>
      <c r="E33" s="82"/>
      <c r="F33" s="82"/>
      <c r="G33" s="72"/>
      <c r="I33" t="s">
        <v>42</v>
      </c>
      <c r="J33">
        <v>84</v>
      </c>
      <c r="K33">
        <v>23</v>
      </c>
      <c r="L33">
        <v>84</v>
      </c>
      <c r="M33">
        <v>23</v>
      </c>
      <c r="N33" t="s">
        <v>47</v>
      </c>
      <c r="O33" s="5"/>
    </row>
    <row r="34" spans="1:15" ht="15" customHeight="1">
      <c r="A34" s="89" t="s">
        <v>237</v>
      </c>
      <c r="B34" t="s">
        <v>71</v>
      </c>
      <c r="C34" s="86" t="s">
        <v>25</v>
      </c>
      <c r="D34" s="86"/>
      <c r="E34" s="86" t="s">
        <v>26</v>
      </c>
      <c r="F34" s="86"/>
      <c r="G34" s="94" t="s">
        <v>263</v>
      </c>
      <c r="H34" s="94"/>
      <c r="O34" s="5"/>
    </row>
    <row r="35" spans="1:15">
      <c r="A35" s="89"/>
      <c r="B35" s="75" t="s">
        <v>34</v>
      </c>
      <c r="C35" t="s">
        <v>0</v>
      </c>
      <c r="D35" t="s">
        <v>1</v>
      </c>
      <c r="E35" t="s">
        <v>0</v>
      </c>
      <c r="F35" t="s">
        <v>1</v>
      </c>
      <c r="G35" s="94"/>
      <c r="H35" s="94"/>
      <c r="I35" t="s">
        <v>43</v>
      </c>
      <c r="J35">
        <v>0</v>
      </c>
      <c r="K35">
        <v>5.4</v>
      </c>
      <c r="L35">
        <v>0</v>
      </c>
      <c r="M35">
        <v>5.4</v>
      </c>
      <c r="N35" t="s">
        <v>49</v>
      </c>
      <c r="O35" s="5"/>
    </row>
    <row r="36" spans="1:15">
      <c r="A36" s="89"/>
      <c r="B36" s="75" t="s">
        <v>56</v>
      </c>
      <c r="C36">
        <f>'Tractor &amp; Steamer'!$J7*J10</f>
        <v>3771.8264533321108</v>
      </c>
      <c r="D36">
        <f>'Tractor &amp; Steamer'!$J7*K10</f>
        <v>7457.3034150997473</v>
      </c>
      <c r="E36">
        <f>'Tractor &amp; Steamer'!J7*J11</f>
        <v>3709.4513799414653</v>
      </c>
      <c r="F36">
        <f>'Tractor &amp; Steamer'!J7*K11</f>
        <v>6173.5302137032913</v>
      </c>
      <c r="G36">
        <f>F36-F5</f>
        <v>0</v>
      </c>
      <c r="O36" s="5"/>
    </row>
    <row r="37" spans="1:15">
      <c r="A37" s="89"/>
      <c r="B37" s="75" t="s">
        <v>57</v>
      </c>
      <c r="C37">
        <f>J10*'Tractor &amp; Steamer'!J5</f>
        <v>145.57850649814361</v>
      </c>
      <c r="D37">
        <f>K10*'Tractor &amp; Steamer'!J5</f>
        <v>287.82424300425191</v>
      </c>
      <c r="E37">
        <f>J11*'Tractor &amp; Steamer'!J5</f>
        <v>143.1710600953802</v>
      </c>
      <c r="F37">
        <f>K11*'Tractor &amp; Steamer'!J5</f>
        <v>238.27536061160251</v>
      </c>
      <c r="G37">
        <f t="shared" ref="G37:G62" si="5">F37-F6</f>
        <v>0</v>
      </c>
      <c r="I37" t="s">
        <v>44</v>
      </c>
      <c r="J37">
        <f>J33*J10</f>
        <v>2183.677597472154</v>
      </c>
      <c r="K37">
        <f>K33*K10</f>
        <v>1182.1352837674631</v>
      </c>
      <c r="L37">
        <f>L33*J11</f>
        <v>2147.565901430703</v>
      </c>
      <c r="M37">
        <f>M33*K11</f>
        <v>978.63094536908181</v>
      </c>
      <c r="N37" t="s">
        <v>47</v>
      </c>
      <c r="O37" s="5"/>
    </row>
    <row r="38" spans="1:15">
      <c r="A38" s="89"/>
      <c r="B38" s="75" t="s">
        <v>195</v>
      </c>
      <c r="C38">
        <f>$J$10*J23/10</f>
        <v>21836.775974721542</v>
      </c>
      <c r="D38">
        <f>$K$10*J23/10</f>
        <v>43173.636450637787</v>
      </c>
      <c r="E38">
        <f>$J$11*J23/10</f>
        <v>21475.659014307028</v>
      </c>
      <c r="F38">
        <f>$K$11*J23/10</f>
        <v>35741.304091740378</v>
      </c>
      <c r="G38">
        <f t="shared" si="5"/>
        <v>-321671.73682566336</v>
      </c>
      <c r="I38" t="s">
        <v>46</v>
      </c>
      <c r="J38">
        <f>J35*J11</f>
        <v>0</v>
      </c>
      <c r="K38">
        <f>K35*K10</f>
        <v>277.54480575410008</v>
      </c>
      <c r="L38">
        <f>L35*J11</f>
        <v>0</v>
      </c>
      <c r="M38">
        <f>M35*K11</f>
        <v>229.7655263040453</v>
      </c>
      <c r="N38" t="s">
        <v>49</v>
      </c>
      <c r="O38" s="5"/>
    </row>
    <row r="39" spans="1:15">
      <c r="A39" s="89"/>
      <c r="B39" s="75" t="s">
        <v>58</v>
      </c>
      <c r="C39">
        <f>$J$10*J24/10</f>
        <v>129.98080937334251</v>
      </c>
      <c r="D39">
        <f>$K$10*J24/10</f>
        <v>256.98593125379637</v>
      </c>
      <c r="E39">
        <f>$J$11*J24/10</f>
        <v>127.83130365658947</v>
      </c>
      <c r="F39">
        <f>$K$11*J24/10</f>
        <v>212.74585768893084</v>
      </c>
      <c r="G39">
        <f t="shared" si="5"/>
        <v>-1914.7127192003777</v>
      </c>
      <c r="O39" s="5"/>
    </row>
    <row r="40" spans="1:15">
      <c r="A40" s="89"/>
      <c r="B40" s="75" t="s">
        <v>59</v>
      </c>
      <c r="C40">
        <f>$J$10*J25/10</f>
        <v>1227.0188404843527</v>
      </c>
      <c r="D40">
        <f>$K$10*J25/10</f>
        <v>2425.9471910358361</v>
      </c>
      <c r="E40">
        <f>$J$11*J25/10</f>
        <v>1206.7275065182041</v>
      </c>
      <c r="F40">
        <f>$K$11*J25/10</f>
        <v>2008.3208965835061</v>
      </c>
      <c r="G40">
        <f t="shared" si="5"/>
        <v>-18074.888069251552</v>
      </c>
      <c r="I40" t="s">
        <v>44</v>
      </c>
      <c r="J40">
        <f>J37*(15/14)</f>
        <v>2339.6545687201651</v>
      </c>
      <c r="K40">
        <f t="shared" ref="J40:M41" si="6">K37*(15/14)</f>
        <v>1266.5735183222819</v>
      </c>
      <c r="L40">
        <f t="shared" si="6"/>
        <v>2300.9634658186101</v>
      </c>
      <c r="M40">
        <f t="shared" si="6"/>
        <v>1048.5331557525876</v>
      </c>
      <c r="N40" t="s">
        <v>47</v>
      </c>
      <c r="O40" s="5" t="s">
        <v>48</v>
      </c>
    </row>
    <row r="41" spans="1:15" ht="15.75" thickBot="1">
      <c r="A41" s="89"/>
      <c r="B41" s="75" t="s">
        <v>66</v>
      </c>
      <c r="C41">
        <f>$J$10*J26</f>
        <v>272.95969968401926</v>
      </c>
      <c r="D41">
        <f>$K$10*J26</f>
        <v>539.67045563297233</v>
      </c>
      <c r="E41">
        <f>$J$11*J26</f>
        <v>268.44573767883787</v>
      </c>
      <c r="F41">
        <f>$K$11*J26</f>
        <v>446.76630114675476</v>
      </c>
      <c r="G41">
        <f t="shared" si="5"/>
        <v>0</v>
      </c>
      <c r="I41" s="7" t="s">
        <v>46</v>
      </c>
      <c r="J41" s="7">
        <f t="shared" si="6"/>
        <v>0</v>
      </c>
      <c r="K41" s="7">
        <f t="shared" si="6"/>
        <v>297.36943473653577</v>
      </c>
      <c r="L41" s="7">
        <f t="shared" si="6"/>
        <v>0</v>
      </c>
      <c r="M41" s="7">
        <f t="shared" si="6"/>
        <v>246.1773496114771</v>
      </c>
      <c r="N41" s="7" t="s">
        <v>49</v>
      </c>
      <c r="O41" s="8" t="s">
        <v>50</v>
      </c>
    </row>
    <row r="42" spans="1:15">
      <c r="A42" s="89"/>
      <c r="B42" s="75" t="s">
        <v>67</v>
      </c>
      <c r="C42">
        <f>$J$10*J27</f>
        <v>173.44639202778825</v>
      </c>
      <c r="D42">
        <f>$K$10*J27</f>
        <v>342.9220266650658</v>
      </c>
      <c r="E42">
        <f>$J$11*J27</f>
        <v>170.57809159935297</v>
      </c>
      <c r="F42">
        <f>$K$11*J27</f>
        <v>283.88807250010927</v>
      </c>
      <c r="G42">
        <f t="shared" si="5"/>
        <v>0</v>
      </c>
    </row>
    <row r="43" spans="1:15">
      <c r="A43" s="89"/>
      <c r="B43" s="75" t="s">
        <v>60</v>
      </c>
      <c r="C43">
        <f>$J$10*J28</f>
        <v>23.99645711507862</v>
      </c>
      <c r="D43">
        <f>$K$10*J28</f>
        <v>47.443556539162408</v>
      </c>
      <c r="E43">
        <f>$J$11*J28</f>
        <v>23.599625290447289</v>
      </c>
      <c r="F43">
        <f>$K$11*J28</f>
        <v>39.276158342571847</v>
      </c>
      <c r="G43">
        <f t="shared" si="5"/>
        <v>0</v>
      </c>
      <c r="O43">
        <f>J40/J37</f>
        <v>1.0714285714285714</v>
      </c>
    </row>
    <row r="44" spans="1:15">
      <c r="A44" s="89"/>
      <c r="B44" s="75" t="s">
        <v>61</v>
      </c>
      <c r="C44">
        <f t="shared" ref="C44:F45" si="7">J37*(15/14)</f>
        <v>2339.6545687201651</v>
      </c>
      <c r="D44">
        <f t="shared" si="7"/>
        <v>1266.5735183222819</v>
      </c>
      <c r="E44">
        <f t="shared" si="7"/>
        <v>2300.9634658186101</v>
      </c>
      <c r="F44">
        <f t="shared" si="7"/>
        <v>1048.5331557525876</v>
      </c>
      <c r="G44">
        <f t="shared" si="5"/>
        <v>0</v>
      </c>
    </row>
    <row r="45" spans="1:15">
      <c r="A45" s="89"/>
      <c r="B45" t="s">
        <v>62</v>
      </c>
      <c r="C45">
        <f t="shared" si="7"/>
        <v>0</v>
      </c>
      <c r="D45">
        <f t="shared" si="7"/>
        <v>297.36943473653577</v>
      </c>
      <c r="E45">
        <f t="shared" si="7"/>
        <v>0</v>
      </c>
      <c r="F45">
        <f t="shared" si="7"/>
        <v>246.1773496114771</v>
      </c>
      <c r="G45">
        <f t="shared" si="5"/>
        <v>0</v>
      </c>
    </row>
    <row r="46" spans="1:15">
      <c r="A46" s="89"/>
      <c r="B46" s="75" t="s">
        <v>126</v>
      </c>
      <c r="C46">
        <f>J16+C42+C38+C39+C40</f>
        <v>30029.518381847069</v>
      </c>
      <c r="D46">
        <f t="shared" ref="D46:E46" si="8">K16+D42+D38+D39+D40</f>
        <v>50874.065689099036</v>
      </c>
      <c r="E46">
        <f t="shared" si="8"/>
        <v>29532.917216303322</v>
      </c>
      <c r="F46">
        <f>M16+F42+F38+F39+F40</f>
        <v>42116.106069874579</v>
      </c>
      <c r="G46">
        <f t="shared" si="5"/>
        <v>-341661.33761411527</v>
      </c>
    </row>
    <row r="47" spans="1:15">
      <c r="A47" s="89"/>
      <c r="B47" s="75" t="s">
        <v>173</v>
      </c>
      <c r="C47">
        <f>J10</f>
        <v>25.996161874668502</v>
      </c>
      <c r="D47">
        <f>K10</f>
        <v>51.397186250759269</v>
      </c>
      <c r="E47">
        <f>J11</f>
        <v>25.566260731317893</v>
      </c>
      <c r="F47">
        <f>K11</f>
        <v>42.549171537786165</v>
      </c>
      <c r="G47">
        <f t="shared" si="5"/>
        <v>0</v>
      </c>
    </row>
    <row r="48" spans="1:15">
      <c r="A48" s="89" t="s">
        <v>238</v>
      </c>
      <c r="B48" t="s">
        <v>162</v>
      </c>
      <c r="C48" s="55">
        <f>Drying!C21</f>
        <v>118.15221463358405</v>
      </c>
      <c r="D48" s="55">
        <f>Drying!D21</f>
        <v>118.15221463358405</v>
      </c>
      <c r="E48" s="55">
        <f>Drying!E21</f>
        <v>116.198319577642</v>
      </c>
      <c r="F48" s="55">
        <f>Drying!F21</f>
        <v>97.812335941628149</v>
      </c>
      <c r="G48">
        <f t="shared" si="5"/>
        <v>0</v>
      </c>
    </row>
    <row r="49" spans="1:7">
      <c r="A49" s="89"/>
      <c r="B49" t="s">
        <v>194</v>
      </c>
      <c r="C49" s="55">
        <f>Drying!C22</f>
        <v>1.152704533010576E-2</v>
      </c>
      <c r="D49" s="55">
        <f>Drying!D22</f>
        <v>1.152704533010576E-2</v>
      </c>
      <c r="E49" s="55">
        <f>Drying!E22</f>
        <v>1.1336421422208974E-2</v>
      </c>
      <c r="F49" s="55">
        <f>Drying!F22</f>
        <v>9.5426669211344534E-3</v>
      </c>
      <c r="G49">
        <f t="shared" si="5"/>
        <v>0</v>
      </c>
    </row>
    <row r="50" spans="1:7">
      <c r="A50" s="90" t="s">
        <v>239</v>
      </c>
      <c r="B50" t="s">
        <v>250</v>
      </c>
      <c r="C50">
        <f>'Emission factors'!B3</f>
        <v>3.0571486364610161</v>
      </c>
      <c r="D50">
        <f>'Emission factors'!C3</f>
        <v>1.6549893972744485</v>
      </c>
      <c r="E50">
        <f>'Emission factors'!D3</f>
        <v>3.0065922620029841</v>
      </c>
      <c r="F50">
        <f>'Emission factors'!E3</f>
        <v>1.3700833235167147</v>
      </c>
      <c r="G50">
        <f t="shared" si="5"/>
        <v>0</v>
      </c>
    </row>
    <row r="51" spans="1:7">
      <c r="A51" s="90"/>
      <c r="B51" t="s">
        <v>251</v>
      </c>
      <c r="C51">
        <f>'Emission factors'!B4</f>
        <v>0.6420012136568134</v>
      </c>
      <c r="D51">
        <f>'Emission factors'!C4</f>
        <v>0.34754777342763415</v>
      </c>
      <c r="E51">
        <f>'Emission factors'!D4</f>
        <v>0.63138437502062661</v>
      </c>
      <c r="F51">
        <f>'Emission factors'!E4</f>
        <v>0.28771749793851009</v>
      </c>
      <c r="G51">
        <f t="shared" si="5"/>
        <v>0</v>
      </c>
    </row>
    <row r="52" spans="1:7">
      <c r="A52" s="90"/>
      <c r="B52" t="s">
        <v>252</v>
      </c>
      <c r="C52">
        <f>'Emission factors'!B5</f>
        <v>1117.3150373732524</v>
      </c>
      <c r="D52">
        <f>'Emission factors'!C5</f>
        <v>916.20624210603478</v>
      </c>
      <c r="E52">
        <f>'Emission factors'!D5</f>
        <v>1098.837886232043</v>
      </c>
      <c r="F52">
        <f>'Emission factors'!E5</f>
        <v>758.48153183257625</v>
      </c>
      <c r="G52">
        <f t="shared" si="5"/>
        <v>0</v>
      </c>
    </row>
    <row r="53" spans="1:7">
      <c r="A53" s="90"/>
      <c r="B53" t="s">
        <v>253</v>
      </c>
      <c r="C53">
        <f>'Emission factors'!B6</f>
        <v>12.228594545844064</v>
      </c>
      <c r="D53">
        <f>'Emission factors'!C6</f>
        <v>6.619957589097794</v>
      </c>
      <c r="E53">
        <f>'Emission factors'!D6</f>
        <v>12.026369048011937</v>
      </c>
      <c r="F53">
        <f>'Emission factors'!E6</f>
        <v>5.4803332940668588</v>
      </c>
      <c r="G53">
        <f t="shared" si="5"/>
        <v>0</v>
      </c>
    </row>
    <row r="54" spans="1:7">
      <c r="A54" s="90"/>
      <c r="B54" t="s">
        <v>254</v>
      </c>
      <c r="C54">
        <f>'Emission factors'!B7</f>
        <v>36.68578363753219</v>
      </c>
      <c r="D54">
        <f>'Emission factors'!C7</f>
        <v>19.859872767293382</v>
      </c>
      <c r="E54">
        <f>'Emission factors'!D7</f>
        <v>36.07910714403581</v>
      </c>
      <c r="F54">
        <f>'Emission factors'!E7</f>
        <v>16.440999882200575</v>
      </c>
      <c r="G54">
        <f t="shared" si="5"/>
        <v>0</v>
      </c>
    </row>
    <row r="55" spans="1:7">
      <c r="A55" s="90"/>
      <c r="B55" t="s">
        <v>255</v>
      </c>
      <c r="C55">
        <f>'Emission factors'!B8</f>
        <v>3.0571486364610161</v>
      </c>
      <c r="D55">
        <f>'Emission factors'!C8</f>
        <v>1.6549893972744485</v>
      </c>
      <c r="E55">
        <f>'Emission factors'!D8</f>
        <v>3.0065922620029841</v>
      </c>
      <c r="F55">
        <f>'Emission factors'!E8</f>
        <v>1.3700833235167147</v>
      </c>
      <c r="G55">
        <f t="shared" si="5"/>
        <v>0</v>
      </c>
    </row>
    <row r="56" spans="1:7">
      <c r="A56" s="90" t="s">
        <v>240</v>
      </c>
      <c r="B56" t="s">
        <v>180</v>
      </c>
      <c r="C56" s="76">
        <f>'Tractor &amp; Steamer'!B16</f>
        <v>9.0022723270853162E-5</v>
      </c>
      <c r="D56" s="76">
        <f>'Tractor &amp; Steamer'!C16</f>
        <v>1.7798453083419269E-4</v>
      </c>
      <c r="E56" s="76">
        <f>'Tractor &amp; Steamer'!D16</f>
        <v>8.8534008442554425E-5</v>
      </c>
      <c r="F56" s="76">
        <f>'Tractor &amp; Steamer'!E16</f>
        <v>1.4734453159728335E-4</v>
      </c>
      <c r="G56">
        <f t="shared" si="5"/>
        <v>0</v>
      </c>
    </row>
    <row r="57" spans="1:7">
      <c r="A57" s="90"/>
      <c r="B57" t="s">
        <v>198</v>
      </c>
      <c r="C57" s="76">
        <f>'Tractor &amp; Steamer'!B17</f>
        <v>293.20244000098603</v>
      </c>
      <c r="D57" s="76">
        <f>'Tractor &amp; Steamer'!C17</f>
        <v>579.69251347800798</v>
      </c>
      <c r="E57" s="76">
        <f>'Tractor &amp; Steamer'!D17</f>
        <v>288.35372176337432</v>
      </c>
      <c r="F57" s="76">
        <f>'Tractor &amp; Steamer'!E17</f>
        <v>479.89857022147413</v>
      </c>
      <c r="G57">
        <f t="shared" si="5"/>
        <v>479.63384121303767</v>
      </c>
    </row>
    <row r="58" spans="1:7">
      <c r="A58" s="90"/>
      <c r="B58" t="s">
        <v>193</v>
      </c>
      <c r="C58" s="76">
        <f>'Tractor &amp; Steamer'!B18</f>
        <v>7.8689768843942728E-2</v>
      </c>
      <c r="D58" s="76">
        <f>'Tractor &amp; Steamer'!C18</f>
        <v>0.15557807051672282</v>
      </c>
      <c r="E58" s="76">
        <f>'Tractor &amp; Steamer'!D18</f>
        <v>7.7388468222754858E-2</v>
      </c>
      <c r="F58" s="76">
        <f>'Tractor &amp; Steamer'!E18</f>
        <v>0.12879533867159978</v>
      </c>
      <c r="G58">
        <f t="shared" si="5"/>
        <v>0.12879533867159978</v>
      </c>
    </row>
    <row r="59" spans="1:7">
      <c r="A59" s="89" t="s">
        <v>241</v>
      </c>
      <c r="B59" t="s">
        <v>92</v>
      </c>
      <c r="C59">
        <f>Transport!B45</f>
        <v>4.1133406981526432</v>
      </c>
      <c r="D59">
        <f>Transport!C45</f>
        <v>69.273431493456883</v>
      </c>
      <c r="E59">
        <f>Transport!D45</f>
        <v>34.839112032399839</v>
      </c>
      <c r="F59">
        <f>Transport!E45</f>
        <v>57.348024953070905</v>
      </c>
      <c r="G59">
        <f t="shared" si="5"/>
        <v>0</v>
      </c>
    </row>
    <row r="60" spans="1:7">
      <c r="A60" s="89"/>
      <c r="B60" t="s">
        <v>91</v>
      </c>
      <c r="C60">
        <f>Transport!B46</f>
        <v>2.5736200255921817</v>
      </c>
      <c r="D60">
        <f>Transport!C46</f>
        <v>2.2556022308904637</v>
      </c>
      <c r="E60">
        <f>Transport!D46</f>
        <v>2.5310598124004708</v>
      </c>
      <c r="F60">
        <f>Transport!E46</f>
        <v>1.8673007852011301</v>
      </c>
      <c r="G60">
        <f t="shared" si="5"/>
        <v>0</v>
      </c>
    </row>
    <row r="61" spans="1:7">
      <c r="A61" s="89"/>
      <c r="B61" t="s">
        <v>90</v>
      </c>
      <c r="C61">
        <f>Transport!B47</f>
        <v>5.5248483003472399</v>
      </c>
      <c r="D61">
        <f>Transport!C47</f>
        <v>10.923214683350595</v>
      </c>
      <c r="E61">
        <f>Transport!D47</f>
        <v>5.4334833283714215</v>
      </c>
      <c r="F61">
        <f>Transport!E47</f>
        <v>9.0427855921603708</v>
      </c>
      <c r="G61">
        <f t="shared" si="5"/>
        <v>0</v>
      </c>
    </row>
    <row r="62" spans="1:7">
      <c r="B62" t="s">
        <v>199</v>
      </c>
      <c r="C62">
        <f>C10*1.006</f>
        <v>274.59745788212336</v>
      </c>
      <c r="D62">
        <f>D10*1.006</f>
        <v>542.90847836677017</v>
      </c>
      <c r="E62">
        <f>E10*1.006</f>
        <v>270.05641210491092</v>
      </c>
      <c r="F62">
        <f>F10*1.006</f>
        <v>449.4468989536353</v>
      </c>
      <c r="G62">
        <f t="shared" si="5"/>
        <v>0</v>
      </c>
    </row>
    <row r="63" spans="1:7">
      <c r="B63" s="72"/>
      <c r="C63" s="72"/>
      <c r="D63" s="72"/>
      <c r="E63" s="72"/>
      <c r="F63" s="72"/>
      <c r="G63" s="72"/>
    </row>
    <row r="64" spans="1:7">
      <c r="B64" s="72"/>
      <c r="C64" s="72"/>
      <c r="D64" s="72"/>
      <c r="E64" s="72"/>
      <c r="F64" s="72"/>
      <c r="G64" s="72"/>
    </row>
    <row r="65" spans="2:7">
      <c r="B65" s="72"/>
      <c r="C65" s="72"/>
      <c r="D65" s="72"/>
      <c r="E65" s="72"/>
      <c r="F65" s="72"/>
      <c r="G65" s="72"/>
    </row>
    <row r="66" spans="2:7">
      <c r="B66" s="72"/>
      <c r="C66" s="72"/>
      <c r="D66" s="72"/>
      <c r="E66" s="72"/>
      <c r="F66" s="72"/>
      <c r="G66" s="72"/>
    </row>
    <row r="67" spans="2:7">
      <c r="B67" s="72"/>
      <c r="C67" s="72"/>
      <c r="D67" s="72"/>
      <c r="E67" s="72"/>
      <c r="F67" s="72"/>
      <c r="G67" s="72"/>
    </row>
    <row r="68" spans="2:7">
      <c r="B68" s="72"/>
      <c r="C68" s="72"/>
      <c r="D68" s="72"/>
      <c r="E68" s="72"/>
      <c r="F68" s="72"/>
      <c r="G68" s="72"/>
    </row>
    <row r="69" spans="2:7">
      <c r="B69" s="72"/>
      <c r="C69" s="72"/>
      <c r="D69" s="72"/>
      <c r="E69" s="72"/>
      <c r="F69" s="72"/>
      <c r="G69" s="72"/>
    </row>
    <row r="70" spans="2:7">
      <c r="B70" s="72"/>
      <c r="C70" s="72"/>
      <c r="D70" s="72"/>
      <c r="E70" s="72"/>
      <c r="F70" s="72"/>
      <c r="G70" s="72"/>
    </row>
    <row r="71" spans="2:7">
      <c r="B71" s="72"/>
      <c r="C71" s="72"/>
      <c r="D71" s="72"/>
      <c r="E71" s="72"/>
      <c r="F71" s="72"/>
      <c r="G71" s="72"/>
    </row>
    <row r="72" spans="2:7">
      <c r="B72" s="72"/>
      <c r="C72" s="72"/>
      <c r="D72" s="72"/>
      <c r="E72" s="72"/>
      <c r="F72" s="72"/>
      <c r="G72" s="72"/>
    </row>
    <row r="73" spans="2:7">
      <c r="B73" s="72"/>
      <c r="C73" s="72"/>
      <c r="D73" s="72"/>
      <c r="E73" s="72"/>
      <c r="F73" s="72"/>
      <c r="G73" s="72"/>
    </row>
    <row r="74" spans="2:7">
      <c r="B74" s="72"/>
      <c r="C74" s="72"/>
      <c r="D74" s="72"/>
      <c r="E74" s="72"/>
      <c r="F74" s="72"/>
      <c r="G74" s="72"/>
    </row>
    <row r="75" spans="2:7">
      <c r="B75" s="72"/>
      <c r="C75" s="72"/>
      <c r="D75" s="72"/>
      <c r="E75" s="72"/>
      <c r="F75" s="72"/>
      <c r="G75" s="72"/>
    </row>
    <row r="76" spans="2:7">
      <c r="B76" s="72"/>
      <c r="C76" s="72"/>
      <c r="D76" s="72"/>
      <c r="E76" s="72"/>
      <c r="F76" s="72"/>
      <c r="G76" s="72"/>
    </row>
    <row r="77" spans="2:7">
      <c r="B77" s="72"/>
      <c r="C77" s="72"/>
      <c r="D77" s="72"/>
      <c r="E77" s="72"/>
      <c r="F77" s="72"/>
      <c r="G77" s="72"/>
    </row>
    <row r="78" spans="2:7">
      <c r="B78" s="72"/>
      <c r="C78" s="72"/>
      <c r="D78" s="72"/>
      <c r="E78" s="72"/>
      <c r="F78" s="72"/>
      <c r="G78" s="72"/>
    </row>
    <row r="79" spans="2:7">
      <c r="B79" s="72"/>
      <c r="C79" s="72"/>
      <c r="D79" s="72"/>
      <c r="E79" s="72"/>
      <c r="F79" s="72"/>
      <c r="G79" s="72"/>
    </row>
    <row r="80" spans="2:7">
      <c r="B80" s="72"/>
      <c r="C80" s="72"/>
      <c r="D80" s="72"/>
      <c r="E80" s="72"/>
      <c r="F80" s="72"/>
      <c r="G80" s="72"/>
    </row>
    <row r="81" spans="2:7">
      <c r="B81" s="72"/>
      <c r="C81" s="72"/>
      <c r="D81" s="72"/>
      <c r="E81" s="72"/>
      <c r="F81" s="72"/>
      <c r="G81" s="72"/>
    </row>
    <row r="82" spans="2:7">
      <c r="B82" s="72"/>
      <c r="C82" s="72"/>
      <c r="D82" s="72"/>
      <c r="E82" s="72"/>
      <c r="F82" s="72"/>
      <c r="G82" s="72"/>
    </row>
    <row r="83" spans="2:7">
      <c r="B83" s="72"/>
      <c r="C83" s="72"/>
      <c r="D83" s="72"/>
      <c r="E83" s="72"/>
      <c r="F83" s="72"/>
      <c r="G83" s="72"/>
    </row>
    <row r="84" spans="2:7">
      <c r="B84" s="72"/>
      <c r="C84" s="72"/>
      <c r="D84" s="72"/>
      <c r="E84" s="72"/>
      <c r="F84" s="72"/>
      <c r="G84" s="72"/>
    </row>
    <row r="85" spans="2:7">
      <c r="B85" s="72"/>
      <c r="C85" s="72"/>
      <c r="D85" s="72"/>
      <c r="E85" s="72"/>
      <c r="F85" s="72"/>
      <c r="G85" s="72"/>
    </row>
    <row r="86" spans="2:7">
      <c r="B86" s="72"/>
      <c r="C86" s="72"/>
      <c r="D86" s="72"/>
      <c r="E86" s="72"/>
      <c r="F86" s="72"/>
      <c r="G86" s="72"/>
    </row>
    <row r="87" spans="2:7">
      <c r="B87" s="72"/>
      <c r="C87" s="72"/>
      <c r="D87" s="72"/>
      <c r="E87" s="72"/>
      <c r="F87" s="72"/>
      <c r="G87" s="72"/>
    </row>
    <row r="88" spans="2:7">
      <c r="B88" s="72"/>
      <c r="C88" s="72"/>
      <c r="D88" s="72"/>
      <c r="E88" s="72"/>
      <c r="F88" s="72"/>
      <c r="G88" s="72"/>
    </row>
  </sheetData>
  <mergeCells count="19">
    <mergeCell ref="G34:H35"/>
    <mergeCell ref="A33:F33"/>
    <mergeCell ref="A34:A47"/>
    <mergeCell ref="E34:F34"/>
    <mergeCell ref="C3:D3"/>
    <mergeCell ref="E3:F3"/>
    <mergeCell ref="A48:A49"/>
    <mergeCell ref="A50:A55"/>
    <mergeCell ref="A56:A58"/>
    <mergeCell ref="A59:A61"/>
    <mergeCell ref="C34:D34"/>
    <mergeCell ref="C2:F2"/>
    <mergeCell ref="I2:L3"/>
    <mergeCell ref="A1:H1"/>
    <mergeCell ref="A17:A18"/>
    <mergeCell ref="A28:A30"/>
    <mergeCell ref="A3:A16"/>
    <mergeCell ref="A19:A24"/>
    <mergeCell ref="A25:A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64F2-FC2E-43F1-AE05-B5C2756687BD}">
  <sheetPr>
    <tabColor theme="8" tint="0.79998168889431442"/>
  </sheetPr>
  <dimension ref="A1:J22"/>
  <sheetViews>
    <sheetView workbookViewId="0">
      <selection activeCell="H65" sqref="H65"/>
    </sheetView>
  </sheetViews>
  <sheetFormatPr defaultRowHeight="15"/>
  <cols>
    <col min="1" max="1" width="19.7109375" customWidth="1"/>
    <col min="13" max="13" width="13.42578125" customWidth="1"/>
  </cols>
  <sheetData>
    <row r="1" spans="1:10" ht="15.75">
      <c r="A1" s="95" t="s">
        <v>136</v>
      </c>
      <c r="B1" s="96"/>
      <c r="C1" s="97"/>
      <c r="D1" s="37"/>
    </row>
    <row r="2" spans="1:10" ht="15.75">
      <c r="A2" s="38"/>
      <c r="B2" s="39" t="s">
        <v>137</v>
      </c>
      <c r="C2" s="39" t="s">
        <v>138</v>
      </c>
      <c r="D2" s="37"/>
    </row>
    <row r="3" spans="1:10" ht="15.75">
      <c r="A3" s="40" t="s">
        <v>139</v>
      </c>
      <c r="B3" s="40">
        <v>1.82</v>
      </c>
      <c r="C3" s="40">
        <v>2.69</v>
      </c>
      <c r="D3" s="37"/>
    </row>
    <row r="4" spans="1:10" ht="15.75">
      <c r="A4" s="40" t="s">
        <v>140</v>
      </c>
      <c r="B4" s="40">
        <v>0.49</v>
      </c>
      <c r="C4" s="40">
        <v>0.34699999999999998</v>
      </c>
      <c r="D4" s="37"/>
    </row>
    <row r="5" spans="1:10" ht="15.75">
      <c r="A5" s="40" t="s">
        <v>141</v>
      </c>
      <c r="B5" s="40">
        <v>0.26800000000000002</v>
      </c>
      <c r="C5" s="40">
        <v>0.129</v>
      </c>
      <c r="D5" s="37"/>
    </row>
    <row r="6" spans="1:10" ht="15.75">
      <c r="A6" s="41" t="s">
        <v>142</v>
      </c>
      <c r="B6" s="42">
        <f>1/B5</f>
        <v>3.7313432835820892</v>
      </c>
      <c r="C6" s="42">
        <f>1/C5</f>
        <v>7.7519379844961236</v>
      </c>
      <c r="D6" s="37"/>
    </row>
    <row r="7" spans="1:10" ht="15.75">
      <c r="A7" s="41" t="s">
        <v>143</v>
      </c>
      <c r="B7" s="42">
        <f>1/B4</f>
        <v>2.0408163265306123</v>
      </c>
      <c r="C7" s="42">
        <f>1/C4</f>
        <v>2.8818443804034586</v>
      </c>
      <c r="D7" s="37"/>
    </row>
    <row r="8" spans="1:10" ht="15.75" customHeight="1" thickBot="1">
      <c r="A8" s="43"/>
      <c r="B8" s="43"/>
      <c r="C8" s="43"/>
      <c r="D8" s="43"/>
    </row>
    <row r="9" spans="1:10" ht="15.75">
      <c r="A9" s="98" t="s">
        <v>148</v>
      </c>
      <c r="B9" s="99"/>
      <c r="C9" s="100"/>
      <c r="D9" s="98" t="s">
        <v>153</v>
      </c>
      <c r="E9" s="100"/>
      <c r="J9" s="35"/>
    </row>
    <row r="10" spans="1:10" ht="15.75">
      <c r="A10" s="4" t="s">
        <v>144</v>
      </c>
      <c r="B10" t="s">
        <v>145</v>
      </c>
      <c r="C10" s="5" t="s">
        <v>146</v>
      </c>
      <c r="D10" s="4" t="s">
        <v>156</v>
      </c>
      <c r="E10" s="5">
        <v>2460</v>
      </c>
      <c r="J10" s="36"/>
    </row>
    <row r="11" spans="1:10" ht="15.75">
      <c r="A11" s="4" t="s">
        <v>149</v>
      </c>
      <c r="B11">
        <f>24*24</f>
        <v>576</v>
      </c>
      <c r="C11" s="5">
        <f>B11*0.09290304</f>
        <v>53.512151040000006</v>
      </c>
      <c r="D11" t="s">
        <v>161</v>
      </c>
      <c r="J11" s="36"/>
    </row>
    <row r="12" spans="1:10">
      <c r="A12" s="4" t="s">
        <v>147</v>
      </c>
      <c r="B12">
        <f>12*24</f>
        <v>288</v>
      </c>
      <c r="C12" s="5">
        <f>B12*0.09290304</f>
        <v>26.756075520000003</v>
      </c>
    </row>
    <row r="13" spans="1:10" ht="15.75" thickBot="1">
      <c r="A13" s="6" t="s">
        <v>150</v>
      </c>
      <c r="B13" s="7">
        <f>40*36</f>
        <v>1440</v>
      </c>
      <c r="C13" s="8">
        <f>B13*0.09290304</f>
        <v>133.78037760000001</v>
      </c>
    </row>
    <row r="14" spans="1:10">
      <c r="A14" t="s">
        <v>151</v>
      </c>
      <c r="C14">
        <f>C3*C13</f>
        <v>359.86921574400003</v>
      </c>
      <c r="D14" t="s">
        <v>152</v>
      </c>
    </row>
    <row r="15" spans="1:10">
      <c r="A15" t="s">
        <v>154</v>
      </c>
      <c r="C15">
        <f>C14*C5</f>
        <v>46.423128830976005</v>
      </c>
      <c r="D15" t="s">
        <v>155</v>
      </c>
    </row>
    <row r="16" spans="1:10">
      <c r="C16" s="86" t="s">
        <v>158</v>
      </c>
      <c r="D16" s="86"/>
      <c r="E16" s="86" t="s">
        <v>159</v>
      </c>
      <c r="F16" s="86"/>
    </row>
    <row r="17" spans="1:7">
      <c r="C17" t="s">
        <v>0</v>
      </c>
      <c r="D17" t="s">
        <v>1</v>
      </c>
      <c r="E17" t="s">
        <v>0</v>
      </c>
      <c r="F17" t="s">
        <v>1</v>
      </c>
    </row>
    <row r="18" spans="1:7">
      <c r="A18" t="s">
        <v>157</v>
      </c>
      <c r="C18">
        <f>C12/C15</f>
        <v>0.57635226650528804</v>
      </c>
      <c r="D18">
        <f>C18</f>
        <v>0.57635226650528804</v>
      </c>
      <c r="E18">
        <f>C18*'S1 calculations'!J11/'S1 calculations'!J10</f>
        <v>0.56682107111044866</v>
      </c>
      <c r="F18">
        <f>D18*'S1 calculations'!K11/'S1 calculations'!K10</f>
        <v>0.47713334605672264</v>
      </c>
    </row>
    <row r="20" spans="1:7" ht="15.75" thickBot="1">
      <c r="A20" t="s">
        <v>160</v>
      </c>
      <c r="C20">
        <f>E10*C18</f>
        <v>1417.8265756030087</v>
      </c>
      <c r="D20">
        <f>C20</f>
        <v>1417.8265756030087</v>
      </c>
      <c r="E20">
        <f>C20*'S1 calculations'!J11/'S1 calculations'!J10</f>
        <v>1394.379834931704</v>
      </c>
      <c r="F20">
        <f>D20*'S1 calculations'!K11/'S1 calculations'!K10</f>
        <v>1173.7480312995378</v>
      </c>
    </row>
    <row r="21" spans="1:7">
      <c r="A21" s="49" t="s">
        <v>162</v>
      </c>
      <c r="B21" s="53"/>
      <c r="C21" s="53">
        <f>C20/12</f>
        <v>118.15221463358405</v>
      </c>
      <c r="D21" s="53">
        <f t="shared" ref="D21:F21" si="0">D20/12</f>
        <v>118.15221463358405</v>
      </c>
      <c r="E21" s="53">
        <f t="shared" si="0"/>
        <v>116.198319577642</v>
      </c>
      <c r="F21" s="54">
        <f t="shared" si="0"/>
        <v>97.812335941628149</v>
      </c>
      <c r="G21" t="s">
        <v>164</v>
      </c>
    </row>
    <row r="22" spans="1:7" ht="15.75" thickBot="1">
      <c r="A22" s="25" t="s">
        <v>194</v>
      </c>
      <c r="B22" s="33"/>
      <c r="C22" s="33">
        <f>C18/50</f>
        <v>1.152704533010576E-2</v>
      </c>
      <c r="D22" s="33">
        <f>D18/50</f>
        <v>1.152704533010576E-2</v>
      </c>
      <c r="E22" s="33">
        <f>E18/50</f>
        <v>1.1336421422208974E-2</v>
      </c>
      <c r="F22" s="34">
        <f>F18/50</f>
        <v>9.5426669211344534E-3</v>
      </c>
      <c r="G22" t="s">
        <v>163</v>
      </c>
    </row>
  </sheetData>
  <mergeCells count="5">
    <mergeCell ref="A1:C1"/>
    <mergeCell ref="A9:C9"/>
    <mergeCell ref="C16:D16"/>
    <mergeCell ref="E16:F16"/>
    <mergeCell ref="D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020A-4D88-418A-B7F1-BA6A395A9A77}">
  <sheetPr>
    <tabColor theme="7" tint="0.79998168889431442"/>
  </sheetPr>
  <dimension ref="A1:P19"/>
  <sheetViews>
    <sheetView workbookViewId="0">
      <selection activeCell="H65" sqref="H65"/>
    </sheetView>
  </sheetViews>
  <sheetFormatPr defaultRowHeight="15"/>
  <cols>
    <col min="1" max="1" width="30.7109375" customWidth="1"/>
    <col min="6" max="6" width="22.85546875" customWidth="1"/>
    <col min="8" max="8" width="18.5703125" customWidth="1"/>
  </cols>
  <sheetData>
    <row r="1" spans="1:16" ht="15.75" thickBot="1">
      <c r="A1" s="4" t="s">
        <v>33</v>
      </c>
      <c r="B1" s="99" t="s">
        <v>25</v>
      </c>
      <c r="C1" s="99"/>
      <c r="D1" s="86" t="s">
        <v>26</v>
      </c>
      <c r="E1" s="86"/>
      <c r="H1" t="s">
        <v>17</v>
      </c>
    </row>
    <row r="2" spans="1:16" ht="15.75" thickBot="1">
      <c r="A2" t="s">
        <v>20</v>
      </c>
      <c r="B2" t="s">
        <v>0</v>
      </c>
      <c r="C2" t="s">
        <v>1</v>
      </c>
      <c r="D2" t="s">
        <v>0</v>
      </c>
      <c r="E2" t="s">
        <v>1</v>
      </c>
      <c r="F2" t="s">
        <v>7</v>
      </c>
      <c r="I2" s="86" t="s">
        <v>116</v>
      </c>
      <c r="J2" s="86"/>
      <c r="K2" s="86" t="s">
        <v>26</v>
      </c>
      <c r="L2" s="101"/>
      <c r="M2" s="98" t="s">
        <v>9</v>
      </c>
      <c r="N2" s="99"/>
      <c r="O2" s="99"/>
      <c r="P2" s="100"/>
    </row>
    <row r="3" spans="1:16" ht="16.5" customHeight="1">
      <c r="A3" s="49" t="s">
        <v>113</v>
      </c>
      <c r="B3" s="53">
        <f>0.01*I9</f>
        <v>3.0571486364610161</v>
      </c>
      <c r="C3" s="53">
        <f t="shared" ref="C3:E3" si="0">0.01*J9</f>
        <v>1.6549893972744485</v>
      </c>
      <c r="D3" s="53">
        <f t="shared" si="0"/>
        <v>3.0065922620029841</v>
      </c>
      <c r="E3" s="54">
        <f t="shared" si="0"/>
        <v>1.3700833235167147</v>
      </c>
      <c r="F3" s="70" t="s">
        <v>227</v>
      </c>
      <c r="G3" t="s">
        <v>131</v>
      </c>
      <c r="I3" t="s">
        <v>0</v>
      </c>
      <c r="J3" t="s">
        <v>1</v>
      </c>
      <c r="K3" t="s">
        <v>0</v>
      </c>
      <c r="L3" t="s">
        <v>1</v>
      </c>
      <c r="M3" s="4"/>
      <c r="N3" t="s">
        <v>0</v>
      </c>
      <c r="O3" t="s">
        <v>1</v>
      </c>
      <c r="P3" s="5" t="s">
        <v>7</v>
      </c>
    </row>
    <row r="4" spans="1:16" ht="16.5" customHeight="1">
      <c r="A4" s="31" t="s">
        <v>219</v>
      </c>
      <c r="B4" s="19">
        <f>0.21*B3</f>
        <v>0.6420012136568134</v>
      </c>
      <c r="C4" s="19">
        <f t="shared" ref="C4:E4" si="1">0.21*C3</f>
        <v>0.34754777342763415</v>
      </c>
      <c r="D4" s="19">
        <f t="shared" si="1"/>
        <v>0.63138437502062661</v>
      </c>
      <c r="E4" s="19">
        <f t="shared" si="1"/>
        <v>0.28771749793851009</v>
      </c>
      <c r="F4" t="s">
        <v>202</v>
      </c>
      <c r="G4" t="s">
        <v>132</v>
      </c>
      <c r="H4" t="s">
        <v>115</v>
      </c>
      <c r="I4">
        <v>11.76</v>
      </c>
      <c r="J4">
        <v>3.22</v>
      </c>
      <c r="K4">
        <v>11.76</v>
      </c>
      <c r="L4">
        <v>3.22</v>
      </c>
      <c r="M4" s="4" t="s">
        <v>10</v>
      </c>
      <c r="N4">
        <v>38.467216999999998</v>
      </c>
      <c r="O4" s="10">
        <v>19.456318</v>
      </c>
      <c r="P4" s="5" t="s">
        <v>16</v>
      </c>
    </row>
    <row r="5" spans="1:16" ht="15.75" customHeight="1" thickBot="1">
      <c r="A5" s="31" t="s">
        <v>31</v>
      </c>
      <c r="B5" s="19">
        <f>0.5*'S1 calculations'!J14*'S1 calculations'!J10</f>
        <v>1117.3150373732524</v>
      </c>
      <c r="C5" s="19">
        <f>0.5*'S1 calculations'!K14*'S1 calculations'!K10</f>
        <v>916.20624210603478</v>
      </c>
      <c r="D5" s="19">
        <f>0.5*'S1 calculations'!J14*'S1 calculations'!J11</f>
        <v>1098.837886232043</v>
      </c>
      <c r="E5" s="32">
        <f>0.5*'S1 calculations'!K14*'S1 calculations'!K11</f>
        <v>758.48153183257625</v>
      </c>
      <c r="F5" t="s">
        <v>29</v>
      </c>
      <c r="M5" s="4" t="s">
        <v>11</v>
      </c>
      <c r="N5" s="10">
        <v>2.3302710000000002</v>
      </c>
      <c r="O5" s="10">
        <v>2.2985652000000001</v>
      </c>
      <c r="P5" s="5" t="s">
        <v>16</v>
      </c>
    </row>
    <row r="6" spans="1:16" ht="13.5" customHeight="1">
      <c r="A6" s="31" t="s">
        <v>228</v>
      </c>
      <c r="B6" s="19">
        <f>I9*0.04</f>
        <v>12.228594545844064</v>
      </c>
      <c r="C6" s="19">
        <f t="shared" ref="C6:E6" si="2">J9*0.04</f>
        <v>6.619957589097794</v>
      </c>
      <c r="D6" s="19">
        <f t="shared" si="2"/>
        <v>12.026369048011937</v>
      </c>
      <c r="E6" s="19">
        <f t="shared" si="2"/>
        <v>5.4803332940668588</v>
      </c>
      <c r="F6" t="s">
        <v>202</v>
      </c>
      <c r="G6" t="s">
        <v>133</v>
      </c>
      <c r="H6" s="11" t="s">
        <v>114</v>
      </c>
      <c r="I6" s="2">
        <f>I4+I5</f>
        <v>11.76</v>
      </c>
      <c r="J6" s="3">
        <f>J4+J5</f>
        <v>3.22</v>
      </c>
      <c r="K6" s="2">
        <f>K4+K5</f>
        <v>11.76</v>
      </c>
      <c r="L6" s="3">
        <f>L4+L5</f>
        <v>3.22</v>
      </c>
      <c r="M6" s="4" t="s">
        <v>12</v>
      </c>
      <c r="N6">
        <v>3.9114049978182002</v>
      </c>
      <c r="O6">
        <v>2.3502220228000001</v>
      </c>
      <c r="P6" s="5" t="s">
        <v>16</v>
      </c>
    </row>
    <row r="7" spans="1:16" ht="14.25" customHeight="1">
      <c r="A7" s="31" t="s">
        <v>27</v>
      </c>
      <c r="B7" s="19">
        <f>0.12*I10</f>
        <v>36.68578363753219</v>
      </c>
      <c r="C7" s="19">
        <f t="shared" ref="C7:E7" si="3">0.12*J10</f>
        <v>19.859872767293382</v>
      </c>
      <c r="D7" s="19">
        <f t="shared" si="3"/>
        <v>36.07910714403581</v>
      </c>
      <c r="E7" s="32">
        <f t="shared" si="3"/>
        <v>16.440999882200575</v>
      </c>
      <c r="F7" s="28" t="s">
        <v>229</v>
      </c>
      <c r="G7" t="s">
        <v>134</v>
      </c>
      <c r="H7" s="4" t="s">
        <v>119</v>
      </c>
      <c r="I7">
        <v>11.76</v>
      </c>
      <c r="J7" s="5">
        <v>3.22</v>
      </c>
      <c r="K7">
        <v>11.76</v>
      </c>
      <c r="L7" s="5">
        <v>3.22</v>
      </c>
      <c r="M7" s="4" t="s">
        <v>13</v>
      </c>
      <c r="N7" s="10">
        <v>0.21431606</v>
      </c>
      <c r="O7" s="10">
        <v>0.22384582</v>
      </c>
      <c r="P7" s="5" t="s">
        <v>16</v>
      </c>
    </row>
    <row r="8" spans="1:16" ht="15.75" thickBot="1">
      <c r="A8" s="25" t="s">
        <v>30</v>
      </c>
      <c r="B8" s="33">
        <f>0.01*I9</f>
        <v>3.0571486364610161</v>
      </c>
      <c r="C8" s="33">
        <f t="shared" ref="C8:E8" si="4">0.01*J9</f>
        <v>1.6549893972744485</v>
      </c>
      <c r="D8" s="33">
        <f t="shared" si="4"/>
        <v>3.0065922620029841</v>
      </c>
      <c r="E8" s="34">
        <f t="shared" si="4"/>
        <v>1.3700833235167147</v>
      </c>
      <c r="F8" t="s">
        <v>230</v>
      </c>
      <c r="G8" t="s">
        <v>135</v>
      </c>
      <c r="H8" s="6" t="s">
        <v>118</v>
      </c>
      <c r="I8" s="7">
        <v>11.76</v>
      </c>
      <c r="J8" s="8">
        <v>6.46</v>
      </c>
      <c r="K8" s="7">
        <v>11.76</v>
      </c>
      <c r="L8" s="8">
        <v>6.46</v>
      </c>
      <c r="M8" s="4" t="s">
        <v>14</v>
      </c>
      <c r="N8">
        <f>1000/N4</f>
        <v>25.996161874668502</v>
      </c>
      <c r="O8">
        <f>1000/O4</f>
        <v>51.397186250759269</v>
      </c>
      <c r="P8" s="5" t="s">
        <v>16</v>
      </c>
    </row>
    <row r="9" spans="1:16">
      <c r="H9" s="11" t="s">
        <v>117</v>
      </c>
      <c r="I9" s="2">
        <f t="shared" ref="I9:J11" si="5">I6*N$8</f>
        <v>305.71486364610161</v>
      </c>
      <c r="J9" s="3">
        <f t="shared" si="5"/>
        <v>165.49893972744485</v>
      </c>
      <c r="K9" s="2">
        <f t="shared" ref="K9:L11" si="6">I6*N$9</f>
        <v>300.65922620029841</v>
      </c>
      <c r="L9" s="3">
        <f t="shared" si="6"/>
        <v>137.00833235167147</v>
      </c>
      <c r="M9" s="4" t="s">
        <v>15</v>
      </c>
      <c r="N9">
        <f>100/N6</f>
        <v>25.566260731317893</v>
      </c>
      <c r="O9">
        <f>100/O6</f>
        <v>42.549171537786165</v>
      </c>
      <c r="P9" s="5" t="s">
        <v>16</v>
      </c>
    </row>
    <row r="10" spans="1:16">
      <c r="H10" s="4" t="s">
        <v>120</v>
      </c>
      <c r="I10">
        <f>I7*N$8</f>
        <v>305.71486364610161</v>
      </c>
      <c r="J10" s="5">
        <f>J7*O$8</f>
        <v>165.49893972744485</v>
      </c>
      <c r="K10">
        <f>I7*N$9</f>
        <v>300.65922620029841</v>
      </c>
      <c r="L10" s="5">
        <f>J7*O$9</f>
        <v>137.00833235167147</v>
      </c>
      <c r="M10" s="4" t="s">
        <v>18</v>
      </c>
      <c r="N10">
        <f>'Tractor &amp; Steamer'!J4*N4</f>
        <v>2154164.1519999998</v>
      </c>
      <c r="O10">
        <f>'Tractor &amp; Steamer'!J4*O4</f>
        <v>1089553.808</v>
      </c>
      <c r="P10" s="5" t="s">
        <v>16</v>
      </c>
    </row>
    <row r="11" spans="1:16" ht="15.75" thickBot="1">
      <c r="H11" s="6" t="s">
        <v>121</v>
      </c>
      <c r="I11" s="7">
        <f t="shared" si="5"/>
        <v>305.71486364610161</v>
      </c>
      <c r="J11" s="8">
        <f t="shared" si="5"/>
        <v>332.02582317990488</v>
      </c>
      <c r="K11" s="7">
        <f t="shared" si="6"/>
        <v>300.65922620029841</v>
      </c>
      <c r="L11" s="8">
        <f t="shared" si="6"/>
        <v>274.8676481340986</v>
      </c>
      <c r="M11" s="4" t="s">
        <v>19</v>
      </c>
      <c r="N11">
        <f>'Tractor &amp; Steamer'!J4*N6</f>
        <v>219038.6798778192</v>
      </c>
      <c r="O11">
        <f>'Tractor &amp; Steamer'!J4*O6</f>
        <v>131612.4332768</v>
      </c>
      <c r="P11" s="5" t="s">
        <v>16</v>
      </c>
    </row>
    <row r="12" spans="1:16" ht="15.75" thickBot="1">
      <c r="A12" s="60">
        <v>10</v>
      </c>
      <c r="B12" s="61">
        <v>2000</v>
      </c>
      <c r="C12" s="62"/>
      <c r="D12" s="62">
        <v>23</v>
      </c>
      <c r="E12" s="63"/>
      <c r="M12" s="6" t="s">
        <v>28</v>
      </c>
      <c r="N12" s="7">
        <f>429.8*0.2</f>
        <v>85.960000000000008</v>
      </c>
      <c r="O12" s="7">
        <f>178.26*0.2</f>
        <v>35.652000000000001</v>
      </c>
      <c r="P12" s="8" t="s">
        <v>16</v>
      </c>
    </row>
    <row r="13" spans="1:16" ht="15.75">
      <c r="A13" s="64" t="s">
        <v>203</v>
      </c>
      <c r="B13" s="59" t="s">
        <v>204</v>
      </c>
      <c r="C13" s="58">
        <v>4</v>
      </c>
      <c r="D13" s="58">
        <v>12.5</v>
      </c>
      <c r="E13" s="65">
        <v>2000</v>
      </c>
    </row>
    <row r="14" spans="1:16" ht="15.75">
      <c r="A14" s="64" t="s">
        <v>205</v>
      </c>
      <c r="B14" s="59" t="s">
        <v>206</v>
      </c>
      <c r="C14" s="58">
        <v>3.2</v>
      </c>
      <c r="D14" s="58">
        <v>15.7</v>
      </c>
      <c r="E14" s="65">
        <v>2000</v>
      </c>
    </row>
    <row r="15" spans="1:16" ht="15.75">
      <c r="A15" s="64" t="s">
        <v>207</v>
      </c>
      <c r="B15" s="59" t="s">
        <v>208</v>
      </c>
      <c r="C15" s="58">
        <v>2.4</v>
      </c>
      <c r="D15" s="58">
        <v>10</v>
      </c>
      <c r="E15" s="65">
        <v>2000</v>
      </c>
    </row>
    <row r="16" spans="1:16" ht="31.5">
      <c r="A16" s="64" t="s">
        <v>209</v>
      </c>
      <c r="B16" s="59" t="s">
        <v>210</v>
      </c>
      <c r="C16" s="58">
        <v>0.6</v>
      </c>
      <c r="D16" s="58">
        <v>2.8</v>
      </c>
      <c r="E16" s="65" t="s">
        <v>211</v>
      </c>
    </row>
    <row r="17" spans="1:5" ht="31.5">
      <c r="A17" s="64" t="s">
        <v>212</v>
      </c>
      <c r="B17" s="59" t="s">
        <v>213</v>
      </c>
      <c r="C17" s="58">
        <v>5</v>
      </c>
      <c r="D17" s="58">
        <v>19</v>
      </c>
      <c r="E17" s="65" t="s">
        <v>214</v>
      </c>
    </row>
    <row r="18" spans="1:5" ht="15.75">
      <c r="A18" s="64" t="s">
        <v>215</v>
      </c>
      <c r="B18" s="59" t="s">
        <v>216</v>
      </c>
      <c r="C18" s="58">
        <v>1.7</v>
      </c>
      <c r="D18" s="58">
        <v>10</v>
      </c>
      <c r="E18" s="65">
        <v>2007</v>
      </c>
    </row>
    <row r="19" spans="1:5" ht="16.5" thickBot="1">
      <c r="A19" s="66" t="s">
        <v>217</v>
      </c>
      <c r="B19" s="67" t="s">
        <v>218</v>
      </c>
      <c r="C19" s="68">
        <v>1.2</v>
      </c>
      <c r="D19" s="68">
        <v>11.3</v>
      </c>
      <c r="E19" s="69"/>
    </row>
  </sheetData>
  <mergeCells count="5">
    <mergeCell ref="M2:P2"/>
    <mergeCell ref="I2:J2"/>
    <mergeCell ref="K2:L2"/>
    <mergeCell ref="B1:C1"/>
    <mergeCell ref="D1:E1"/>
  </mergeCells>
  <hyperlinks>
    <hyperlink ref="A13" r:id="rId1" location="gbc20784-bib-0007" display="https://agupubs.onlinelibrary.wiley.com/doi/full/10.1029/2017GB005849 - gbc20784-bib-0007" xr:uid="{802047B7-CCCD-4EF7-BE1C-91F1C2D1F1C0}"/>
    <hyperlink ref="B13" r:id="rId2" location="gbc20784-note-0002_120" tooltip="Link to note" display="https://agupubs.onlinelibrary.wiley.com/doi/full/10.1029/2017GB005849 - gbc20784-note-0002_120" xr:uid="{6627817E-84EE-46AB-B3AD-492FE1BE157D}"/>
    <hyperlink ref="A14" r:id="rId3" location="gbc20784-bib-0032" display="https://agupubs.onlinelibrary.wiley.com/doi/full/10.1029/2017GB005849 - gbc20784-bib-0032" xr:uid="{840168DC-360C-474E-898E-0EF6B95A0739}"/>
    <hyperlink ref="B14" r:id="rId4" location="gbc20784-note-0003_122" tooltip="Link to note" display="https://agupubs.onlinelibrary.wiley.com/doi/full/10.1029/2017GB005849 - gbc20784-note-0003_122" xr:uid="{3FB869E5-9E3F-4FD3-997F-084B6F244EDF}"/>
    <hyperlink ref="A15" r:id="rId5" location="gbc20784-bib-0033" display="https://agupubs.onlinelibrary.wiley.com/doi/full/10.1029/2017GB005849 - gbc20784-bib-0033" xr:uid="{350BC749-931A-4915-A407-3B81C563C7BB}"/>
    <hyperlink ref="B15" r:id="rId6" location="gbc20784-note-0003_124" tooltip="Link to note" display="https://agupubs.onlinelibrary.wiley.com/doi/full/10.1029/2017GB005849 - gbc20784-note-0003_124" xr:uid="{EE62016E-414D-4048-8037-DFF3BB00DFE6}"/>
    <hyperlink ref="A16" r:id="rId7" location="gbc20784-bib-0035" display="https://agupubs.onlinelibrary.wiley.com/doi/full/10.1029/2017GB005849 - gbc20784-bib-0035" xr:uid="{3EB9D80B-5A2F-46F5-A3EF-FAF1B3FFB2E6}"/>
    <hyperlink ref="B16" r:id="rId8" location="gbc20784-note-0003_126" tooltip="Link to note" display="https://agupubs.onlinelibrary.wiley.com/doi/full/10.1029/2017GB005849 - gbc20784-note-0003_126" xr:uid="{A18E8A38-8DDC-47A1-BCEF-6261B7866334}"/>
    <hyperlink ref="A17" r:id="rId9" location="gbc20784-bib-0041" display="https://agupubs.onlinelibrary.wiley.com/doi/full/10.1029/2017GB005849 - gbc20784-bib-0041" xr:uid="{16DCC919-1B90-4CF6-83DD-D965F425207A}"/>
    <hyperlink ref="B17" r:id="rId10" location="gbc20784-note-0004_128" tooltip="Link to note" display="https://agupubs.onlinelibrary.wiley.com/doi/full/10.1029/2017GB005849 - gbc20784-note-0004_128" xr:uid="{9DB67E38-577B-4840-9F9A-1AA045639B76}"/>
    <hyperlink ref="A18" r:id="rId11" location="gbc20784-bib-0051" display="https://agupubs.onlinelibrary.wiley.com/doi/full/10.1029/2017GB005849 - gbc20784-bib-0051" xr:uid="{B9A66597-CC94-4233-BCA9-16DDCE5A1F6F}"/>
    <hyperlink ref="B18" r:id="rId12" location="gbc20784-note-0003_130" tooltip="Link to note" display="https://agupubs.onlinelibrary.wiley.com/doi/full/10.1029/2017GB005849 - gbc20784-note-0003_130" xr:uid="{7E682AFB-DBF0-478F-8562-E831838D4AD9}"/>
    <hyperlink ref="B19" r:id="rId13" location="gbc20784-note-0005_131" tooltip="Link to note" display="https://agupubs.onlinelibrary.wiley.com/doi/full/10.1029/2017GB005849 - gbc20784-note-0005_131" xr:uid="{5119BB7F-F6B7-4121-B9B6-7610DD24E6E5}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41F8-B335-418E-B320-93E983FFB811}">
  <sheetPr>
    <tabColor theme="6" tint="0.79998168889431442"/>
  </sheetPr>
  <dimension ref="A1:L43"/>
  <sheetViews>
    <sheetView workbookViewId="0">
      <selection activeCell="H65" sqref="H65"/>
    </sheetView>
  </sheetViews>
  <sheetFormatPr defaultRowHeight="15"/>
  <cols>
    <col min="1" max="1" width="39.28515625" customWidth="1"/>
    <col min="2" max="2" width="12.28515625" bestFit="1" customWidth="1"/>
    <col min="3" max="3" width="10.5703125" bestFit="1" customWidth="1"/>
    <col min="4" max="4" width="11" customWidth="1"/>
    <col min="5" max="5" width="12.85546875" customWidth="1"/>
    <col min="6" max="6" width="12" bestFit="1" customWidth="1"/>
    <col min="8" max="8" width="17" customWidth="1"/>
    <col min="9" max="9" width="21.85546875" customWidth="1"/>
  </cols>
  <sheetData>
    <row r="1" spans="1:12">
      <c r="A1" s="29"/>
      <c r="B1" s="21" t="s">
        <v>0</v>
      </c>
      <c r="C1" s="21" t="s">
        <v>1</v>
      </c>
      <c r="D1" s="21" t="s">
        <v>0</v>
      </c>
      <c r="E1" s="22" t="s">
        <v>1</v>
      </c>
      <c r="I1" s="73" t="s">
        <v>2</v>
      </c>
      <c r="J1" s="2"/>
      <c r="K1" s="2" t="s">
        <v>7</v>
      </c>
      <c r="L1" s="3" t="s">
        <v>21</v>
      </c>
    </row>
    <row r="2" spans="1:12">
      <c r="A2" s="30"/>
      <c r="B2" s="102" t="s">
        <v>116</v>
      </c>
      <c r="C2" s="102"/>
      <c r="D2" s="102" t="s">
        <v>26</v>
      </c>
      <c r="E2" s="103"/>
      <c r="I2" s="4" t="s">
        <v>3</v>
      </c>
      <c r="J2">
        <v>1</v>
      </c>
      <c r="K2" t="s">
        <v>8</v>
      </c>
      <c r="L2" s="5"/>
    </row>
    <row r="3" spans="1:12">
      <c r="A3" t="s">
        <v>186</v>
      </c>
      <c r="B3">
        <v>25.996161874668502</v>
      </c>
      <c r="C3">
        <v>51.397186250759269</v>
      </c>
      <c r="D3">
        <v>25.566260731317893</v>
      </c>
      <c r="E3">
        <v>42.549171537786165</v>
      </c>
      <c r="I3" s="4" t="s">
        <v>4</v>
      </c>
      <c r="J3">
        <v>10000</v>
      </c>
      <c r="K3" t="s">
        <v>8</v>
      </c>
      <c r="L3" s="5"/>
    </row>
    <row r="4" spans="1:12">
      <c r="A4" t="s">
        <v>187</v>
      </c>
      <c r="B4">
        <f>$J$8*B3</f>
        <v>311953.94249602203</v>
      </c>
      <c r="C4">
        <f>$J$8*C3</f>
        <v>616766.23500911123</v>
      </c>
      <c r="D4">
        <f>$J$8*D3</f>
        <v>306795.12877581472</v>
      </c>
      <c r="E4">
        <f>$J$8*E3</f>
        <v>510590.05845343397</v>
      </c>
      <c r="I4" s="4" t="s">
        <v>6</v>
      </c>
      <c r="J4">
        <f>J5*J3</f>
        <v>56000</v>
      </c>
      <c r="K4" t="s">
        <v>8</v>
      </c>
      <c r="L4" s="5"/>
    </row>
    <row r="5" spans="1:12">
      <c r="A5" s="46" t="s">
        <v>122</v>
      </c>
      <c r="B5" s="47">
        <v>2154.1641519999998</v>
      </c>
      <c r="C5" s="47">
        <v>1089.5538079999999</v>
      </c>
      <c r="D5" s="47">
        <f>219038.679877819/100</f>
        <v>2190.38679877819</v>
      </c>
      <c r="E5" s="48">
        <f>131612.4332768/100</f>
        <v>1316.1243327679999</v>
      </c>
      <c r="I5" s="4" t="s">
        <v>5</v>
      </c>
      <c r="J5">
        <v>5.6</v>
      </c>
      <c r="K5" t="s">
        <v>8</v>
      </c>
      <c r="L5" s="5"/>
    </row>
    <row r="6" spans="1:12" ht="15.75" thickBot="1">
      <c r="A6" s="104" t="s">
        <v>258</v>
      </c>
      <c r="B6" s="104"/>
      <c r="C6" s="104"/>
      <c r="D6" s="104"/>
      <c r="E6" s="104"/>
      <c r="I6" s="4" t="s">
        <v>23</v>
      </c>
      <c r="J6">
        <f>4*15*23/36</f>
        <v>38.333333333333336</v>
      </c>
      <c r="K6" t="s">
        <v>8</v>
      </c>
      <c r="L6" s="5" t="s">
        <v>24</v>
      </c>
    </row>
    <row r="7" spans="1:12">
      <c r="A7" s="49" t="s">
        <v>180</v>
      </c>
      <c r="B7" s="50">
        <f>$B$32*$B$24/B5</f>
        <v>9.0022723270853162E-5</v>
      </c>
      <c r="C7" s="50">
        <f>$B$32*$B$24/C5</f>
        <v>1.7798453083419269E-4</v>
      </c>
      <c r="D7" s="50">
        <f>$B$32*$B$24/D5</f>
        <v>8.8534008442554425E-5</v>
      </c>
      <c r="E7" s="51">
        <f>$B$32*$B$24/E5</f>
        <v>1.4734453159728335E-4</v>
      </c>
      <c r="G7" t="s">
        <v>128</v>
      </c>
      <c r="I7" s="4" t="s">
        <v>22</v>
      </c>
      <c r="J7">
        <f>J6*3.785</f>
        <v>145.09166666666667</v>
      </c>
      <c r="K7" t="s">
        <v>8</v>
      </c>
      <c r="L7" s="5"/>
    </row>
    <row r="8" spans="1:12" ht="15.75" thickBot="1">
      <c r="A8" s="31" t="s">
        <v>246</v>
      </c>
      <c r="B8" s="44">
        <f>$B$31/B5</f>
        <v>0.16174082614329949</v>
      </c>
      <c r="C8" s="44">
        <f t="shared" ref="C8:E8" si="0">$B$31/C5</f>
        <v>0.31977887373209951</v>
      </c>
      <c r="D8" s="44">
        <f t="shared" si="0"/>
        <v>0.15906610183512279</v>
      </c>
      <c r="E8" s="44">
        <f t="shared" si="0"/>
        <v>0.26472900843645242</v>
      </c>
      <c r="G8" t="s">
        <v>127</v>
      </c>
      <c r="I8" s="6" t="s">
        <v>35</v>
      </c>
      <c r="J8" s="7">
        <v>12000</v>
      </c>
      <c r="K8" s="7" t="s">
        <v>8</v>
      </c>
      <c r="L8" s="8"/>
    </row>
    <row r="9" spans="1:12" ht="15.75" thickBot="1">
      <c r="A9" s="25" t="s">
        <v>193</v>
      </c>
      <c r="B9" s="45">
        <v>0</v>
      </c>
      <c r="C9" s="45">
        <v>0</v>
      </c>
      <c r="D9" s="45">
        <v>0</v>
      </c>
      <c r="E9" s="52">
        <v>0</v>
      </c>
      <c r="G9" t="s">
        <v>188</v>
      </c>
    </row>
    <row r="10" spans="1:12">
      <c r="A10" s="1" t="s">
        <v>247</v>
      </c>
      <c r="B10">
        <f>B8/$B$30</f>
        <v>4.6211664612371278E-3</v>
      </c>
      <c r="C10">
        <f t="shared" ref="C10:E10" si="1">C8/$B$30</f>
        <v>9.1365392494885574E-3</v>
      </c>
      <c r="D10">
        <f t="shared" si="1"/>
        <v>4.5447457667177936E-3</v>
      </c>
      <c r="E10">
        <f t="shared" si="1"/>
        <v>7.563685955327212E-3</v>
      </c>
    </row>
    <row r="15" spans="1:12" ht="15.75" thickBot="1">
      <c r="A15" s="104" t="s">
        <v>257</v>
      </c>
      <c r="B15" s="104"/>
      <c r="C15" s="104"/>
      <c r="D15" s="104"/>
      <c r="E15" s="104"/>
    </row>
    <row r="16" spans="1:12">
      <c r="A16" s="49" t="s">
        <v>180</v>
      </c>
      <c r="B16" s="50">
        <f>$B$32*$B$24/B5</f>
        <v>9.0022723270853162E-5</v>
      </c>
      <c r="C16" s="50">
        <f>$B$32*$B$24/C5</f>
        <v>1.7798453083419269E-4</v>
      </c>
      <c r="D16" s="50">
        <f>$B$32*$B$24/D5</f>
        <v>8.8534008442554425E-5</v>
      </c>
      <c r="E16" s="51">
        <f>$B$32*$B$24/E5</f>
        <v>1.4734453159728335E-4</v>
      </c>
    </row>
    <row r="17" spans="1:5">
      <c r="A17" s="31" t="s">
        <v>246</v>
      </c>
      <c r="B17" s="44">
        <f>$B$31/B5+($B$40*B4)</f>
        <v>293.20244000098603</v>
      </c>
      <c r="C17" s="44">
        <f>$B$31/C5+($B$40*C4)</f>
        <v>579.69251347800798</v>
      </c>
      <c r="D17" s="44">
        <f>$B$31/D5+($B$40*D4)</f>
        <v>288.35372176337432</v>
      </c>
      <c r="E17" s="44">
        <f>$B$31/E5+($B$40*E4)</f>
        <v>479.89857022147413</v>
      </c>
    </row>
    <row r="18" spans="1:5" ht="15.75" thickBot="1">
      <c r="A18" s="25" t="s">
        <v>193</v>
      </c>
      <c r="B18" s="45">
        <f>$B$41*B4/$B$42*$B$43</f>
        <v>7.8689768843942728E-2</v>
      </c>
      <c r="C18" s="45">
        <f>$B$41*C4/$B$42*$B$43</f>
        <v>0.15557807051672282</v>
      </c>
      <c r="D18" s="45">
        <f>$B$41*D4/$B$42*$B$43</f>
        <v>7.7388468222754858E-2</v>
      </c>
      <c r="E18" s="52">
        <f>$B$41*E4/$B$42*$B$43</f>
        <v>0.12879533867159978</v>
      </c>
    </row>
    <row r="19" spans="1:5" ht="15.75" thickBot="1">
      <c r="A19" s="1" t="s">
        <v>247</v>
      </c>
      <c r="B19">
        <f>B17/$B$30</f>
        <v>8.3772125714567434</v>
      </c>
      <c r="C19">
        <f>C17/$B$30</f>
        <v>16.562643242228798</v>
      </c>
      <c r="D19">
        <f>D17/$B$30</f>
        <v>8.2386777646678375</v>
      </c>
      <c r="E19">
        <f>E17/$B$30</f>
        <v>13.711387720613546</v>
      </c>
    </row>
    <row r="20" spans="1:5">
      <c r="A20" s="73" t="s">
        <v>196</v>
      </c>
      <c r="B20" s="2"/>
      <c r="C20" s="3"/>
    </row>
    <row r="21" spans="1:5">
      <c r="A21" s="4" t="s">
        <v>93</v>
      </c>
      <c r="B21" t="s">
        <v>101</v>
      </c>
      <c r="C21" s="5"/>
    </row>
    <row r="22" spans="1:5">
      <c r="A22" s="4" t="s">
        <v>103</v>
      </c>
      <c r="B22" t="s">
        <v>94</v>
      </c>
      <c r="C22" s="5"/>
    </row>
    <row r="23" spans="1:5">
      <c r="A23" s="4" t="s">
        <v>102</v>
      </c>
      <c r="B23">
        <v>7000</v>
      </c>
      <c r="C23" s="5" t="s">
        <v>106</v>
      </c>
    </row>
    <row r="24" spans="1:5">
      <c r="A24" s="4" t="s">
        <v>181</v>
      </c>
      <c r="B24">
        <v>3000</v>
      </c>
      <c r="C24" s="5"/>
    </row>
    <row r="25" spans="1:5" ht="15.75">
      <c r="A25" s="4" t="s">
        <v>95</v>
      </c>
      <c r="B25" t="s">
        <v>96</v>
      </c>
      <c r="C25" s="57" t="s">
        <v>107</v>
      </c>
    </row>
    <row r="26" spans="1:5">
      <c r="A26" s="4" t="s">
        <v>97</v>
      </c>
      <c r="B26">
        <f>100/4420</f>
        <v>2.2624434389140271E-2</v>
      </c>
      <c r="C26" s="5" t="s">
        <v>106</v>
      </c>
    </row>
    <row r="27" spans="1:5" ht="15.75">
      <c r="A27" s="4" t="s">
        <v>98</v>
      </c>
      <c r="B27" t="s">
        <v>99</v>
      </c>
      <c r="C27" s="57" t="s">
        <v>109</v>
      </c>
    </row>
    <row r="28" spans="1:5">
      <c r="A28" s="4" t="s">
        <v>104</v>
      </c>
      <c r="B28">
        <f>B26*20</f>
        <v>0.45248868778280543</v>
      </c>
      <c r="C28" s="5" t="s">
        <v>106</v>
      </c>
    </row>
    <row r="29" spans="1:5">
      <c r="A29" s="4" t="s">
        <v>105</v>
      </c>
      <c r="B29">
        <f>22*B28</f>
        <v>9.9547511312217196</v>
      </c>
      <c r="C29" s="5" t="s">
        <v>110</v>
      </c>
    </row>
    <row r="30" spans="1:5">
      <c r="A30" s="4" t="s">
        <v>100</v>
      </c>
      <c r="B30">
        <v>35</v>
      </c>
      <c r="C30" s="5" t="s">
        <v>111</v>
      </c>
    </row>
    <row r="31" spans="1:5">
      <c r="A31" s="4" t="s">
        <v>123</v>
      </c>
      <c r="B31">
        <f>B30*B29</f>
        <v>348.41628959276017</v>
      </c>
      <c r="C31" s="5" t="s">
        <v>112</v>
      </c>
    </row>
    <row r="32" spans="1:5" ht="15.75" thickBot="1">
      <c r="A32" s="6" t="s">
        <v>197</v>
      </c>
      <c r="B32" s="7">
        <f>B28/B23</f>
        <v>6.4641241111829348E-5</v>
      </c>
      <c r="C32" s="8" t="s">
        <v>108</v>
      </c>
    </row>
    <row r="33" spans="1:6">
      <c r="A33" s="73" t="s">
        <v>191</v>
      </c>
      <c r="B33" s="2"/>
      <c r="C33" s="2"/>
      <c r="D33" s="2"/>
      <c r="E33" s="2"/>
      <c r="F33" s="3"/>
    </row>
    <row r="34" spans="1:6">
      <c r="A34" s="4" t="s">
        <v>190</v>
      </c>
      <c r="B34">
        <v>10</v>
      </c>
      <c r="C34" t="s">
        <v>175</v>
      </c>
      <c r="F34" s="5"/>
    </row>
    <row r="35" spans="1:6">
      <c r="A35" s="4" t="s">
        <v>184</v>
      </c>
      <c r="B35">
        <v>2.5</v>
      </c>
      <c r="C35" t="s">
        <v>174</v>
      </c>
      <c r="F35" s="5"/>
    </row>
    <row r="36" spans="1:6">
      <c r="A36" s="4" t="s">
        <v>185</v>
      </c>
      <c r="B36">
        <f>300*1/6</f>
        <v>50</v>
      </c>
      <c r="C36" t="s">
        <v>178</v>
      </c>
      <c r="F36" s="5" t="s">
        <v>179</v>
      </c>
    </row>
    <row r="37" spans="1:6">
      <c r="A37" s="4" t="s">
        <v>189</v>
      </c>
      <c r="B37" s="56">
        <f>B36*28316.8</f>
        <v>1415840</v>
      </c>
      <c r="F37" s="5"/>
    </row>
    <row r="38" spans="1:6">
      <c r="A38" s="4" t="s">
        <v>176</v>
      </c>
      <c r="B38">
        <f>B34/B36</f>
        <v>0.2</v>
      </c>
      <c r="F38" s="5"/>
    </row>
    <row r="39" spans="1:6">
      <c r="A39" s="4" t="s">
        <v>177</v>
      </c>
      <c r="B39" s="56">
        <f>B34*3.8/B37</f>
        <v>2.683919086902475E-5</v>
      </c>
      <c r="F39" s="5"/>
    </row>
    <row r="40" spans="1:6">
      <c r="A40" s="4" t="s">
        <v>201</v>
      </c>
      <c r="B40" s="55">
        <f>B39*B30</f>
        <v>9.3937168041586627E-4</v>
      </c>
      <c r="F40" s="5"/>
    </row>
    <row r="41" spans="1:6">
      <c r="A41" s="4" t="s">
        <v>192</v>
      </c>
      <c r="B41" s="56">
        <f>B35/B37</f>
        <v>1.7657362413832072E-6</v>
      </c>
      <c r="F41" s="5"/>
    </row>
    <row r="42" spans="1:6" ht="15.75" thickBot="1">
      <c r="A42" s="4" t="s">
        <v>182</v>
      </c>
      <c r="B42">
        <v>7000</v>
      </c>
      <c r="C42" s="7"/>
      <c r="D42" s="7"/>
      <c r="E42" s="7"/>
      <c r="F42" s="8"/>
    </row>
    <row r="43" spans="1:6" ht="15.75" thickBot="1">
      <c r="A43" s="6" t="s">
        <v>183</v>
      </c>
      <c r="B43" s="7">
        <v>1000</v>
      </c>
    </row>
  </sheetData>
  <mergeCells count="4">
    <mergeCell ref="B2:C2"/>
    <mergeCell ref="D2:E2"/>
    <mergeCell ref="A15:E15"/>
    <mergeCell ref="A6:E6"/>
  </mergeCells>
  <hyperlinks>
    <hyperlink ref="C25" r:id="rId1" location="metadata_info_tab_contents" xr:uid="{E3635D34-F498-4688-8457-2F24517CD641}"/>
    <hyperlink ref="C27" r:id="rId2" xr:uid="{F479AF35-1403-4232-80F0-CEE33966985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391D-0096-44BE-A45F-527B1A7C60A8}">
  <sheetPr>
    <tabColor theme="5" tint="0.79998168889431442"/>
  </sheetPr>
  <dimension ref="A1:K47"/>
  <sheetViews>
    <sheetView zoomScale="55" zoomScaleNormal="55" workbookViewId="0">
      <selection activeCell="H65" sqref="H65"/>
    </sheetView>
  </sheetViews>
  <sheetFormatPr defaultRowHeight="15"/>
  <cols>
    <col min="1" max="1" width="41.42578125" customWidth="1"/>
  </cols>
  <sheetData>
    <row r="1" spans="1:6">
      <c r="A1" t="s">
        <v>221</v>
      </c>
    </row>
    <row r="2" spans="1:6">
      <c r="A2" s="12" t="s">
        <v>63</v>
      </c>
      <c r="B2" s="105" t="s">
        <v>25</v>
      </c>
      <c r="C2" s="106"/>
      <c r="D2" s="105" t="s">
        <v>26</v>
      </c>
      <c r="E2" s="106"/>
      <c r="F2" s="15" t="s">
        <v>222</v>
      </c>
    </row>
    <row r="3" spans="1:6" ht="15.75" thickBot="1">
      <c r="A3" s="13" t="s">
        <v>34</v>
      </c>
      <c r="B3" s="13" t="s">
        <v>0</v>
      </c>
      <c r="C3" s="14" t="s">
        <v>1</v>
      </c>
      <c r="D3" s="14" t="s">
        <v>0</v>
      </c>
      <c r="E3" s="12" t="s">
        <v>1</v>
      </c>
    </row>
    <row r="4" spans="1:6">
      <c r="A4" s="20" t="s">
        <v>92</v>
      </c>
      <c r="B4" s="21">
        <f>B34+B21</f>
        <v>35.424937791334614</v>
      </c>
      <c r="C4" s="21">
        <f>C34+C21</f>
        <v>69.273431493456883</v>
      </c>
      <c r="D4" s="21">
        <f>D34+D21</f>
        <v>34.839112032399839</v>
      </c>
      <c r="E4" s="22">
        <f>E34+E21</f>
        <v>57.348024953070905</v>
      </c>
      <c r="F4" t="s">
        <v>77</v>
      </c>
    </row>
    <row r="5" spans="1:6">
      <c r="A5" s="23" t="s">
        <v>91</v>
      </c>
      <c r="B5" s="12">
        <f>B31+B26</f>
        <v>2.5736200255921817</v>
      </c>
      <c r="C5" s="12">
        <f>C31+C26</f>
        <v>2.2556022308904637</v>
      </c>
      <c r="D5" s="12">
        <f>D31+D26</f>
        <v>2.5310598124004708</v>
      </c>
      <c r="E5" s="24">
        <f>E31+E26</f>
        <v>1.8673007852011301</v>
      </c>
      <c r="F5" t="s">
        <v>89</v>
      </c>
    </row>
    <row r="6" spans="1:6" ht="15.75" thickBot="1">
      <c r="A6" s="25" t="s">
        <v>90</v>
      </c>
      <c r="B6" s="26">
        <f>B15+B11</f>
        <v>5.5248483003472399</v>
      </c>
      <c r="C6" s="26">
        <f>C15+C11</f>
        <v>10.923214683350595</v>
      </c>
      <c r="D6" s="26">
        <f>D15+D11</f>
        <v>5.4334833283714215</v>
      </c>
      <c r="E6" s="27">
        <f>E15+E11</f>
        <v>9.0427855921603708</v>
      </c>
      <c r="F6" t="s">
        <v>76</v>
      </c>
    </row>
    <row r="7" spans="1:6">
      <c r="A7" s="13"/>
      <c r="B7" s="13"/>
      <c r="C7" s="14"/>
      <c r="D7" s="14"/>
      <c r="E7" s="12"/>
    </row>
    <row r="8" spans="1:6">
      <c r="A8" s="12" t="s">
        <v>66</v>
      </c>
      <c r="B8" s="12">
        <f>'S1 calculations'!C10</f>
        <v>272.95969968401926</v>
      </c>
      <c r="C8" s="12">
        <f>'S1 calculations'!D10</f>
        <v>539.67045563297233</v>
      </c>
      <c r="D8" s="12">
        <f>'S1 calculations'!E10</f>
        <v>268.44573767883787</v>
      </c>
      <c r="E8" s="12">
        <f>'S1 calculations'!F10</f>
        <v>446.76630114675476</v>
      </c>
      <c r="F8" t="s">
        <v>75</v>
      </c>
    </row>
    <row r="9" spans="1:6">
      <c r="A9" s="12" t="s">
        <v>67</v>
      </c>
      <c r="B9" s="12">
        <f>'S1 calculations'!C11</f>
        <v>173.44639202778825</v>
      </c>
      <c r="C9" s="12">
        <f>'S1 calculations'!D11</f>
        <v>342.9220266650658</v>
      </c>
      <c r="D9" s="12">
        <f>'S1 calculations'!E11</f>
        <v>170.57809159935297</v>
      </c>
      <c r="E9" s="12">
        <f>'S1 calculations'!F11</f>
        <v>283.88807250010927</v>
      </c>
      <c r="F9" t="s">
        <v>75</v>
      </c>
    </row>
    <row r="10" spans="1:6">
      <c r="A10" s="13" t="s">
        <v>79</v>
      </c>
      <c r="B10" s="13">
        <v>12000</v>
      </c>
      <c r="C10" s="13">
        <v>12000</v>
      </c>
      <c r="D10" s="13">
        <v>12000</v>
      </c>
      <c r="E10" s="13">
        <v>12000</v>
      </c>
      <c r="F10" t="s">
        <v>76</v>
      </c>
    </row>
    <row r="11" spans="1:6">
      <c r="A11" s="1" t="s">
        <v>78</v>
      </c>
      <c r="B11">
        <f>(B8+B9)/1000000*B10</f>
        <v>5.3568731005416899</v>
      </c>
      <c r="C11">
        <f>(C8+C9)/1000000*C10</f>
        <v>10.591109787576459</v>
      </c>
      <c r="D11">
        <f t="shared" ref="D11" si="0">(D8+D9)/1000000*D10</f>
        <v>5.2682859513382905</v>
      </c>
      <c r="E11">
        <f>(E8+E9)/1000000*E10</f>
        <v>8.7678524837623684</v>
      </c>
    </row>
    <row r="13" spans="1:6">
      <c r="A13" s="12" t="s">
        <v>60</v>
      </c>
      <c r="B13" s="12">
        <f>'S1 calculations'!C12</f>
        <v>23.99645711507862</v>
      </c>
      <c r="C13" s="12">
        <f>'S1 calculations'!D12</f>
        <v>47.443556539162408</v>
      </c>
      <c r="D13" s="12">
        <f>'S1 calculations'!E12</f>
        <v>23.599625290447289</v>
      </c>
      <c r="E13" s="12">
        <f>'S1 calculations'!F12</f>
        <v>39.276158342571847</v>
      </c>
      <c r="F13" t="s">
        <v>81</v>
      </c>
    </row>
    <row r="14" spans="1:6">
      <c r="A14" s="13" t="s">
        <v>80</v>
      </c>
      <c r="B14" s="13">
        <v>7000</v>
      </c>
      <c r="C14" s="13">
        <v>7000</v>
      </c>
      <c r="D14" s="13">
        <v>7000</v>
      </c>
      <c r="E14" s="13">
        <v>7000</v>
      </c>
      <c r="F14" t="s">
        <v>76</v>
      </c>
    </row>
    <row r="15" spans="1:6">
      <c r="A15" s="1" t="s">
        <v>78</v>
      </c>
      <c r="B15">
        <f>B13/1000000*B14</f>
        <v>0.16797519980555034</v>
      </c>
      <c r="C15">
        <f>C13/1000000*C14</f>
        <v>0.33210489577413688</v>
      </c>
      <c r="D15">
        <f t="shared" ref="D15" si="1">D13/1000000*D14</f>
        <v>0.165197377033131</v>
      </c>
      <c r="E15">
        <f>E13/1000000*E14</f>
        <v>0.27493310839800289</v>
      </c>
    </row>
    <row r="17" spans="1:11">
      <c r="A17" s="13" t="s">
        <v>167</v>
      </c>
      <c r="B17" s="13">
        <f>'S1 calculations'!C7</f>
        <v>218367.75974721543</v>
      </c>
      <c r="C17" s="13">
        <f>'S1 calculations'!D7</f>
        <v>431736.36450637784</v>
      </c>
      <c r="D17" s="13">
        <f>'S1 calculations'!E7</f>
        <v>214756.59014307029</v>
      </c>
      <c r="E17" s="13">
        <f>'S1 calculations'!F7</f>
        <v>357413.04091740376</v>
      </c>
      <c r="F17" t="s">
        <v>52</v>
      </c>
    </row>
    <row r="18" spans="1:11">
      <c r="A18" s="12" t="s">
        <v>58</v>
      </c>
      <c r="B18" s="13">
        <f>'S1 calculations'!C8</f>
        <v>1299.808093733425</v>
      </c>
      <c r="C18" s="13">
        <f>'S1 calculations'!D8</f>
        <v>2569.8593125379634</v>
      </c>
      <c r="D18" s="13">
        <f>'S1 calculations'!E8</f>
        <v>1278.3130365658947</v>
      </c>
      <c r="E18" s="13">
        <f>'S1 calculations'!F8</f>
        <v>2127.4585768893085</v>
      </c>
      <c r="F18" t="s">
        <v>82</v>
      </c>
    </row>
    <row r="19" spans="1:11">
      <c r="A19" s="12" t="s">
        <v>59</v>
      </c>
      <c r="B19" s="13">
        <f>'S1 calculations'!C9</f>
        <v>12270.188404843528</v>
      </c>
      <c r="C19" s="13">
        <f>'S1 calculations'!D9</f>
        <v>24259.471910358363</v>
      </c>
      <c r="D19" s="13">
        <f>'S1 calculations'!E9</f>
        <v>12067.275065182041</v>
      </c>
      <c r="E19" s="13">
        <f>'S1 calculations'!F9</f>
        <v>20083.20896583506</v>
      </c>
      <c r="F19" t="s">
        <v>74</v>
      </c>
    </row>
    <row r="20" spans="1:11">
      <c r="A20" t="s">
        <v>226</v>
      </c>
      <c r="B20">
        <v>150</v>
      </c>
      <c r="C20">
        <v>150</v>
      </c>
      <c r="D20">
        <v>150</v>
      </c>
      <c r="E20">
        <v>150</v>
      </c>
    </row>
    <row r="21" spans="1:11">
      <c r="A21" s="17" t="s">
        <v>88</v>
      </c>
      <c r="B21">
        <f>(B17+B18+B19)/1000000*B20</f>
        <v>34.790663436868854</v>
      </c>
      <c r="C21">
        <f t="shared" ref="C21:E21" si="2">(C17+C18+C19)/1000000*C20</f>
        <v>68.784854359391119</v>
      </c>
      <c r="D21">
        <f t="shared" si="2"/>
        <v>34.215326736722737</v>
      </c>
      <c r="E21">
        <f t="shared" si="2"/>
        <v>56.943556269019219</v>
      </c>
      <c r="F21" t="s">
        <v>77</v>
      </c>
    </row>
    <row r="24" spans="1:11" ht="15.75" thickBot="1">
      <c r="A24" s="12" t="s">
        <v>61</v>
      </c>
      <c r="B24" s="12">
        <f>'S1 calculations'!C13</f>
        <v>2339.6545687201651</v>
      </c>
      <c r="C24" s="12">
        <f>'S1 calculations'!D13</f>
        <v>1266.5735183222819</v>
      </c>
      <c r="D24" s="12">
        <f>'S1 calculations'!E13</f>
        <v>2300.9634658186101</v>
      </c>
      <c r="E24" s="12">
        <f>'S1 calculations'!F13</f>
        <v>1048.5331557525876</v>
      </c>
      <c r="F24" t="s">
        <v>83</v>
      </c>
    </row>
    <row r="25" spans="1:11" ht="16.5" thickBot="1">
      <c r="A25" t="s">
        <v>223</v>
      </c>
      <c r="B25">
        <v>1100</v>
      </c>
      <c r="C25">
        <v>1100</v>
      </c>
      <c r="D25">
        <v>1100</v>
      </c>
      <c r="E25">
        <v>1100</v>
      </c>
      <c r="F25" s="16" t="s">
        <v>86</v>
      </c>
      <c r="G25" s="9"/>
    </row>
    <row r="26" spans="1:11" ht="15.75" thickBot="1">
      <c r="A26" s="18" t="s">
        <v>87</v>
      </c>
      <c r="B26">
        <f>B24/1000000*B25</f>
        <v>2.5736200255921817</v>
      </c>
      <c r="C26">
        <f t="shared" ref="C26:E26" si="3">C24/1000000*C25</f>
        <v>1.39323087015451</v>
      </c>
      <c r="D26">
        <f t="shared" si="3"/>
        <v>2.5310598124004708</v>
      </c>
      <c r="E26">
        <f t="shared" si="3"/>
        <v>1.1533864713278463</v>
      </c>
      <c r="F26" t="s">
        <v>89</v>
      </c>
    </row>
    <row r="27" spans="1:11" ht="16.5" thickBot="1">
      <c r="K27" s="16"/>
    </row>
    <row r="29" spans="1:11" ht="15.75" thickBot="1">
      <c r="A29" s="12" t="s">
        <v>62</v>
      </c>
      <c r="B29" s="12">
        <f>'S1 calculations'!C14</f>
        <v>0</v>
      </c>
      <c r="C29" s="12">
        <f>'S1 calculations'!D14</f>
        <v>297.36943473653577</v>
      </c>
      <c r="D29" s="12">
        <f>'S1 calculations'!E14</f>
        <v>0</v>
      </c>
      <c r="E29" s="12">
        <f>'S1 calculations'!F14</f>
        <v>246.1773496114771</v>
      </c>
      <c r="F29" t="s">
        <v>84</v>
      </c>
    </row>
    <row r="30" spans="1:11" ht="16.5" thickBot="1">
      <c r="A30" t="s">
        <v>224</v>
      </c>
      <c r="B30">
        <v>2900</v>
      </c>
      <c r="C30">
        <v>2900</v>
      </c>
      <c r="D30">
        <v>2900</v>
      </c>
      <c r="E30">
        <v>2900</v>
      </c>
      <c r="F30" s="16" t="s">
        <v>85</v>
      </c>
      <c r="G30" s="9"/>
    </row>
    <row r="31" spans="1:11">
      <c r="A31" s="18" t="s">
        <v>87</v>
      </c>
      <c r="B31">
        <f>B29/1000000*B30</f>
        <v>0</v>
      </c>
      <c r="C31">
        <f t="shared" ref="C31:E31" si="4">C29/1000000*C30</f>
        <v>0.86237136073595366</v>
      </c>
      <c r="D31">
        <f t="shared" si="4"/>
        <v>0</v>
      </c>
      <c r="E31">
        <f t="shared" si="4"/>
        <v>0.71391431387328363</v>
      </c>
      <c r="F31" t="s">
        <v>89</v>
      </c>
    </row>
    <row r="33" spans="1:7">
      <c r="A33" t="s">
        <v>225</v>
      </c>
      <c r="B33">
        <v>250</v>
      </c>
      <c r="C33">
        <v>250</v>
      </c>
      <c r="D33">
        <v>250</v>
      </c>
      <c r="E33">
        <v>250</v>
      </c>
    </row>
    <row r="34" spans="1:7">
      <c r="A34" s="17" t="s">
        <v>88</v>
      </c>
      <c r="B34">
        <f>B33*(B29+B13+B24+B9)/1000000</f>
        <v>0.63427435446575797</v>
      </c>
      <c r="C34">
        <f t="shared" ref="C34:D34" si="5">C33*(C29+C13+C24+C9)/1000000</f>
        <v>0.48857713406576148</v>
      </c>
      <c r="D34">
        <f t="shared" si="5"/>
        <v>0.6237852956771025</v>
      </c>
      <c r="E34">
        <f>E33*(E29+E13+E24+E9)/1000000</f>
        <v>0.40446868405168651</v>
      </c>
      <c r="F34" t="s">
        <v>77</v>
      </c>
    </row>
    <row r="36" spans="1:7">
      <c r="A36" s="1" t="s">
        <v>199</v>
      </c>
      <c r="B36" s="1">
        <f>B8*1.006</f>
        <v>274.59745788212336</v>
      </c>
      <c r="C36" s="1">
        <f t="shared" ref="C36:E36" si="6">C8*1.006</f>
        <v>542.90847836677017</v>
      </c>
      <c r="D36" s="1">
        <f>D8*1.006</f>
        <v>270.05641210491092</v>
      </c>
      <c r="E36" s="1">
        <f t="shared" si="6"/>
        <v>449.4468989536353</v>
      </c>
      <c r="F36" s="1" t="s">
        <v>200</v>
      </c>
      <c r="G36" s="1"/>
    </row>
    <row r="37" spans="1:7" ht="15.75" thickBot="1"/>
    <row r="38" spans="1:7">
      <c r="A38" s="107" t="s">
        <v>245</v>
      </c>
      <c r="B38" s="108"/>
      <c r="C38" s="108"/>
      <c r="D38" s="108"/>
      <c r="E38" s="109"/>
    </row>
    <row r="39" spans="1:7">
      <c r="A39" s="4" t="s">
        <v>195</v>
      </c>
      <c r="B39">
        <f>B17/10</f>
        <v>21836.775974721542</v>
      </c>
      <c r="C39">
        <f t="shared" ref="C39:E39" si="7">C17/10</f>
        <v>43173.636450637787</v>
      </c>
      <c r="D39">
        <f t="shared" si="7"/>
        <v>21475.659014307028</v>
      </c>
      <c r="E39" s="5">
        <f t="shared" si="7"/>
        <v>35741.304091740378</v>
      </c>
    </row>
    <row r="40" spans="1:7">
      <c r="A40" s="4" t="s">
        <v>58</v>
      </c>
      <c r="B40">
        <f t="shared" ref="B40:E40" si="8">B18/10</f>
        <v>129.98080937334251</v>
      </c>
      <c r="C40">
        <f t="shared" si="8"/>
        <v>256.98593125379637</v>
      </c>
      <c r="D40">
        <f t="shared" si="8"/>
        <v>127.83130365658947</v>
      </c>
      <c r="E40" s="5">
        <f t="shared" si="8"/>
        <v>212.74585768893084</v>
      </c>
    </row>
    <row r="41" spans="1:7">
      <c r="A41" s="4" t="s">
        <v>59</v>
      </c>
      <c r="B41">
        <f t="shared" ref="B41:E41" si="9">B19/10</f>
        <v>1227.0188404843527</v>
      </c>
      <c r="C41">
        <f t="shared" si="9"/>
        <v>2425.9471910358361</v>
      </c>
      <c r="D41">
        <f t="shared" si="9"/>
        <v>1206.7275065182041</v>
      </c>
      <c r="E41" s="5">
        <f t="shared" si="9"/>
        <v>2008.3208965835061</v>
      </c>
    </row>
    <row r="42" spans="1:7">
      <c r="A42" s="4" t="s">
        <v>226</v>
      </c>
      <c r="B42">
        <v>150</v>
      </c>
      <c r="C42">
        <v>150</v>
      </c>
      <c r="D42">
        <v>150</v>
      </c>
      <c r="E42" s="5">
        <v>150</v>
      </c>
    </row>
    <row r="43" spans="1:7">
      <c r="A43" s="74" t="s">
        <v>88</v>
      </c>
      <c r="B43">
        <f>(B39+B40+B41)/1000000*B42</f>
        <v>3.4790663436868852</v>
      </c>
      <c r="C43">
        <f t="shared" ref="C43:E43" si="10">(C39+C40+C41)/1000000*C42</f>
        <v>6.8784854359391119</v>
      </c>
      <c r="D43">
        <f t="shared" si="10"/>
        <v>3.4215326736722731</v>
      </c>
      <c r="E43" s="5">
        <f t="shared" si="10"/>
        <v>5.6943556269019222</v>
      </c>
      <c r="F43" t="s">
        <v>77</v>
      </c>
    </row>
    <row r="44" spans="1:7" ht="15.75" thickBot="1">
      <c r="A44" s="4"/>
      <c r="E44" s="5"/>
    </row>
    <row r="45" spans="1:7">
      <c r="A45" s="20" t="s">
        <v>92</v>
      </c>
      <c r="B45" s="21">
        <f>B34+B43</f>
        <v>4.1133406981526432</v>
      </c>
      <c r="C45" s="21">
        <f>C34+C21</f>
        <v>69.273431493456883</v>
      </c>
      <c r="D45" s="21">
        <f>D34+D21</f>
        <v>34.839112032399839</v>
      </c>
      <c r="E45" s="22">
        <f>E34+E21</f>
        <v>57.348024953070905</v>
      </c>
    </row>
    <row r="46" spans="1:7">
      <c r="A46" s="23" t="s">
        <v>91</v>
      </c>
      <c r="B46" s="12">
        <f>B31+B26</f>
        <v>2.5736200255921817</v>
      </c>
      <c r="C46" s="12">
        <f>C31+C26</f>
        <v>2.2556022308904637</v>
      </c>
      <c r="D46" s="12">
        <f>D31+D26</f>
        <v>2.5310598124004708</v>
      </c>
      <c r="E46" s="24">
        <f>E31+E26</f>
        <v>1.8673007852011301</v>
      </c>
    </row>
    <row r="47" spans="1:7" ht="15.75" thickBot="1">
      <c r="A47" s="25" t="s">
        <v>90</v>
      </c>
      <c r="B47" s="26">
        <f>B15+B11</f>
        <v>5.5248483003472399</v>
      </c>
      <c r="C47" s="26">
        <f>C15+C11</f>
        <v>10.923214683350595</v>
      </c>
      <c r="D47" s="26">
        <f>D15+D11</f>
        <v>5.4334833283714215</v>
      </c>
      <c r="E47" s="27">
        <f>E15+E11</f>
        <v>9.0427855921603708</v>
      </c>
    </row>
  </sheetData>
  <mergeCells count="3">
    <mergeCell ref="B2:C2"/>
    <mergeCell ref="D2:E2"/>
    <mergeCell ref="A38:E38"/>
  </mergeCells>
  <phoneticPr fontId="12" type="noConversion"/>
  <hyperlinks>
    <hyperlink ref="F25" r:id="rId1" xr:uid="{178AB49A-85EA-47E6-9D76-277DDA3DD6C6}"/>
    <hyperlink ref="F30" r:id="rId2" xr:uid="{E8BC01EF-5E6D-41F0-879B-308EADD3C29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 Data source</vt:lpstr>
      <vt:lpstr>S1 calculations</vt:lpstr>
      <vt:lpstr>Drying</vt:lpstr>
      <vt:lpstr>Emission factors</vt:lpstr>
      <vt:lpstr>Tractor &amp; Steamer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Vincent Desaulniers Brousseau</cp:lastModifiedBy>
  <dcterms:created xsi:type="dcterms:W3CDTF">2023-04-15T17:22:27Z</dcterms:created>
  <dcterms:modified xsi:type="dcterms:W3CDTF">2023-11-12T20:36:36Z</dcterms:modified>
</cp:coreProperties>
</file>