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direction session\Desktop\PHD - Pot Haute Définition\Experiment 3\"/>
    </mc:Choice>
  </mc:AlternateContent>
  <xr:revisionPtr revIDLastSave="0" documentId="13_ncr:1_{D9D903F3-F378-4F43-9ADC-B0A56ECF5C34}" xr6:coauthVersionLast="47" xr6:coauthVersionMax="47" xr10:uidLastSave="{00000000-0000-0000-0000-000000000000}"/>
  <bookViews>
    <workbookView xWindow="-120" yWindow="-120" windowWidth="29040" windowHeight="15840" tabRatio="700" xr2:uid="{9890C22E-3766-428C-8C90-051AE817E949}"/>
  </bookViews>
  <sheets>
    <sheet name="OpenLCA input" sheetId="1" r:id="rId1"/>
    <sheet name="Fertilizer Indoor" sheetId="2" r:id="rId2"/>
    <sheet name="Fertilizer outdoor" sheetId="8" r:id="rId3"/>
    <sheet name="Transport Indoor" sheetId="4" r:id="rId4"/>
    <sheet name="Transport Outdoor" sheetId="9" r:id="rId5"/>
    <sheet name="HPS" sheetId="5" r:id="rId6"/>
    <sheet name="Matlab Output (kWh NG)" sheetId="10" r:id="rId7"/>
    <sheet name="MATLAB INPUT" sheetId="3" r:id="rId8"/>
    <sheet name="Outdoor yield" sheetId="7" r:id="rId9"/>
    <sheet name="Reference" sheetId="6" r:id="rId10"/>
    <sheet name="Table S1" sheetId="11" r:id="rId11"/>
    <sheet name="Table S2" sheetId="12" r:id="rId12"/>
  </sheets>
  <externalReferences>
    <externalReference r:id="rId13"/>
  </externalReferences>
  <definedNames>
    <definedName name="_xlnm._FilterDatabase" localSheetId="1" hidden="1">'Fertilizer Indoor'!$R$35:$T$62</definedName>
    <definedName name="gal_to_m3">[1]Conversions!$G$10</definedName>
    <definedName name="m2_to_ft2">#REF!</definedName>
    <definedName name="oz_to_m3">[1]Conversions!$G$42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5" i="10" l="1"/>
  <c r="L6" i="10"/>
  <c r="L7" i="10"/>
  <c r="L8" i="10"/>
  <c r="L9" i="10"/>
  <c r="L10" i="10"/>
  <c r="L11" i="10"/>
  <c r="L12" i="10"/>
  <c r="L13" i="10"/>
  <c r="L14" i="10"/>
  <c r="L15" i="10"/>
  <c r="L17" i="10"/>
  <c r="K5" i="10" l="1"/>
  <c r="K6" i="10"/>
  <c r="K7" i="10"/>
  <c r="K8" i="10"/>
  <c r="K9" i="10"/>
  <c r="K10" i="10"/>
  <c r="K11" i="10"/>
  <c r="K12" i="10"/>
  <c r="K13" i="10"/>
  <c r="K14" i="10"/>
  <c r="K15" i="10"/>
  <c r="J6" i="10"/>
  <c r="J7" i="10"/>
  <c r="J8" i="10"/>
  <c r="J9" i="10"/>
  <c r="J10" i="10"/>
  <c r="J11" i="10"/>
  <c r="J12" i="10"/>
  <c r="J13" i="10"/>
  <c r="J14" i="10"/>
  <c r="J15" i="10"/>
  <c r="J5" i="10"/>
  <c r="D41" i="1"/>
  <c r="D32" i="1"/>
  <c r="D70" i="1"/>
  <c r="D69" i="1"/>
  <c r="D31" i="1"/>
  <c r="D30" i="1"/>
  <c r="C50" i="9"/>
  <c r="C54" i="9"/>
  <c r="C59" i="4"/>
  <c r="E50" i="9"/>
  <c r="F6" i="10"/>
  <c r="G5" i="10"/>
  <c r="F5" i="10" l="1"/>
  <c r="D42" i="1" l="1"/>
  <c r="C17" i="4"/>
  <c r="C16" i="4"/>
  <c r="D63" i="1"/>
  <c r="D25" i="1"/>
  <c r="D55" i="1"/>
  <c r="C24" i="9"/>
  <c r="C23" i="9"/>
  <c r="C22" i="9"/>
  <c r="C21" i="9"/>
  <c r="C17" i="9"/>
  <c r="C16" i="9"/>
  <c r="C15" i="9"/>
  <c r="C14" i="9"/>
  <c r="C13" i="9"/>
  <c r="C12" i="9"/>
  <c r="C10" i="9"/>
  <c r="C11" i="9"/>
  <c r="C9" i="9"/>
  <c r="C8" i="9"/>
  <c r="C7" i="9"/>
  <c r="C6" i="9"/>
  <c r="C5" i="9"/>
  <c r="C4" i="9"/>
  <c r="C3" i="9"/>
  <c r="K14" i="8"/>
  <c r="K13" i="8"/>
  <c r="K12" i="8"/>
  <c r="K11" i="8"/>
  <c r="K10" i="8"/>
  <c r="K9" i="8"/>
  <c r="K8" i="8"/>
  <c r="L20" i="8" s="1"/>
  <c r="N21" i="8" s="1"/>
  <c r="K7" i="8"/>
  <c r="K6" i="8"/>
  <c r="K5" i="8"/>
  <c r="K4" i="8"/>
  <c r="K3" i="8"/>
  <c r="U22" i="2"/>
  <c r="K10" i="2"/>
  <c r="K9" i="2"/>
  <c r="K7" i="2"/>
  <c r="K5" i="2"/>
  <c r="K4" i="2"/>
  <c r="K3" i="2"/>
  <c r="K2" i="2"/>
  <c r="P20" i="2"/>
  <c r="P18" i="2"/>
  <c r="L19" i="8"/>
  <c r="N19" i="8" s="1"/>
  <c r="C15" i="4"/>
  <c r="C14" i="4"/>
  <c r="C12" i="4"/>
  <c r="C11" i="4"/>
  <c r="C10" i="4"/>
  <c r="C9" i="4"/>
  <c r="C5" i="4"/>
  <c r="C6" i="4"/>
  <c r="C4" i="4"/>
  <c r="C3" i="4"/>
  <c r="C2" i="4"/>
  <c r="D12" i="1"/>
  <c r="D11" i="1"/>
  <c r="L19" i="2"/>
  <c r="L18" i="2"/>
  <c r="D45" i="1"/>
  <c r="D46" i="1"/>
  <c r="D47" i="1"/>
  <c r="D48" i="1"/>
  <c r="D49" i="1"/>
  <c r="D50" i="1"/>
  <c r="D51" i="1"/>
  <c r="D52" i="1"/>
  <c r="D53" i="1"/>
  <c r="D54" i="1"/>
  <c r="D75" i="1"/>
  <c r="D67" i="1"/>
  <c r="D68" i="1"/>
  <c r="D66" i="1"/>
  <c r="D28" i="1"/>
  <c r="I15" i="9"/>
  <c r="D61" i="1" s="1"/>
  <c r="I16" i="9"/>
  <c r="D62" i="1" s="1"/>
  <c r="D29" i="1"/>
  <c r="K2" i="8" l="1"/>
  <c r="D44" i="1" s="1"/>
  <c r="P21" i="8"/>
  <c r="P19" i="8"/>
  <c r="D57" i="1" l="1"/>
  <c r="D58" i="1"/>
  <c r="D59" i="1"/>
  <c r="D60" i="1"/>
  <c r="D56" i="1"/>
  <c r="B23" i="8"/>
  <c r="B22" i="8"/>
  <c r="B21" i="8"/>
  <c r="B20" i="8"/>
  <c r="B19" i="8"/>
  <c r="I15" i="4"/>
  <c r="F17" i="3"/>
  <c r="D36" i="1"/>
  <c r="D74" i="1" s="1"/>
  <c r="C12" i="5" l="1"/>
  <c r="C2" i="9" s="1"/>
  <c r="C11" i="5"/>
  <c r="R45" i="1"/>
  <c r="N62" i="1"/>
  <c r="O67" i="1"/>
  <c r="O68" i="1"/>
  <c r="P67" i="1" s="1"/>
  <c r="O69" i="1"/>
  <c r="O66" i="1"/>
  <c r="D19" i="10"/>
  <c r="D20" i="10" s="1"/>
  <c r="E19" i="10"/>
  <c r="E20" i="10" s="1"/>
  <c r="C19" i="10"/>
  <c r="C20" i="10" s="1"/>
  <c r="F7" i="10"/>
  <c r="F8" i="10"/>
  <c r="F9" i="10"/>
  <c r="F10" i="10"/>
  <c r="F23" i="10"/>
  <c r="F24" i="10"/>
  <c r="F11" i="10"/>
  <c r="F12" i="10"/>
  <c r="F13" i="10"/>
  <c r="F14" i="10"/>
  <c r="F15" i="10"/>
  <c r="H8" i="10" l="1"/>
  <c r="H9" i="10"/>
  <c r="H10" i="10"/>
  <c r="H23" i="10"/>
  <c r="G6" i="10"/>
  <c r="I16" i="4"/>
  <c r="C49" i="4" s="1"/>
  <c r="C22" i="4"/>
  <c r="C18" i="4"/>
  <c r="E44" i="4"/>
  <c r="E45" i="4"/>
  <c r="E46" i="4"/>
  <c r="E47" i="4"/>
  <c r="D41" i="4"/>
  <c r="D42" i="4"/>
  <c r="D43" i="4"/>
  <c r="D44" i="4"/>
  <c r="D45" i="4"/>
  <c r="D46" i="4"/>
  <c r="D47" i="4"/>
  <c r="D51" i="4"/>
  <c r="C50" i="4"/>
  <c r="E50" i="4" s="1"/>
  <c r="C51" i="4"/>
  <c r="E51" i="4" s="1"/>
  <c r="D50" i="4" l="1"/>
  <c r="D49" i="4"/>
  <c r="E49" i="4"/>
  <c r="G8" i="10" l="1"/>
  <c r="G12" i="8" l="1"/>
  <c r="M59" i="8"/>
  <c r="F14" i="8"/>
  <c r="F13" i="8"/>
  <c r="F12" i="8"/>
  <c r="E13" i="8"/>
  <c r="E14" i="8"/>
  <c r="D24" i="1"/>
  <c r="B21" i="2"/>
  <c r="C8" i="4" l="1"/>
  <c r="C7" i="4"/>
  <c r="H6" i="10"/>
  <c r="G15" i="10"/>
  <c r="D20" i="1" l="1"/>
  <c r="E13" i="2" l="1"/>
  <c r="F13" i="2" s="1"/>
  <c r="F12" i="2"/>
  <c r="E12" i="2"/>
  <c r="K13" i="2" l="1"/>
  <c r="D5" i="1"/>
  <c r="N20" i="2"/>
  <c r="N18" i="2"/>
  <c r="K12" i="2"/>
  <c r="K11" i="2"/>
  <c r="K8" i="2"/>
  <c r="K6" i="2"/>
  <c r="K1" i="2"/>
  <c r="H13" i="10" l="1"/>
  <c r="G13" i="10" l="1"/>
  <c r="H15" i="10"/>
  <c r="H14" i="10"/>
  <c r="H12" i="10"/>
  <c r="G14" i="10" l="1"/>
  <c r="G12" i="10"/>
  <c r="H11" i="10"/>
  <c r="H24" i="10"/>
  <c r="H7" i="10"/>
  <c r="H5" i="10"/>
  <c r="C35" i="4"/>
  <c r="D35" i="4" s="1"/>
  <c r="G7" i="10" l="1"/>
  <c r="G24" i="10"/>
  <c r="G23" i="10"/>
  <c r="G10" i="10"/>
  <c r="G9" i="10"/>
  <c r="G11" i="10"/>
  <c r="N75" i="1"/>
  <c r="N74" i="1"/>
  <c r="N60" i="1"/>
  <c r="N50" i="1"/>
  <c r="N59" i="1"/>
  <c r="N58" i="1"/>
  <c r="R48" i="1" s="1"/>
  <c r="N57" i="1"/>
  <c r="N56" i="1"/>
  <c r="N55" i="1"/>
  <c r="N54" i="1"/>
  <c r="N53" i="1"/>
  <c r="N52" i="1"/>
  <c r="N51" i="1"/>
  <c r="N49" i="1"/>
  <c r="N48" i="1"/>
  <c r="N47" i="1"/>
  <c r="N46" i="1"/>
  <c r="N45" i="1"/>
  <c r="O11" i="1"/>
  <c r="O28" i="1"/>
  <c r="C44" i="9"/>
  <c r="C48" i="9"/>
  <c r="C34" i="9"/>
  <c r="D34" i="9" s="1"/>
  <c r="D37" i="1"/>
  <c r="D16" i="1"/>
  <c r="D15" i="1"/>
  <c r="D14" i="1"/>
  <c r="D10" i="1"/>
  <c r="D9" i="1"/>
  <c r="D8" i="1"/>
  <c r="D7" i="1"/>
  <c r="D6" i="1"/>
  <c r="D13" i="1"/>
  <c r="C47" i="9"/>
  <c r="C46" i="9"/>
  <c r="C45" i="9"/>
  <c r="C43" i="9"/>
  <c r="C42" i="9"/>
  <c r="C41" i="9"/>
  <c r="C40" i="9"/>
  <c r="C39" i="9"/>
  <c r="C38" i="9"/>
  <c r="C37" i="9"/>
  <c r="C36" i="9"/>
  <c r="C35" i="9"/>
  <c r="E35" i="9" s="1"/>
  <c r="C9" i="5"/>
  <c r="N69" i="1"/>
  <c r="N68" i="1"/>
  <c r="N67" i="1"/>
  <c r="N66" i="1"/>
  <c r="B12" i="8"/>
  <c r="E12" i="8" s="1"/>
  <c r="B8" i="8"/>
  <c r="B6" i="8"/>
  <c r="B7" i="8" s="1"/>
  <c r="J36" i="8"/>
  <c r="H63" i="8"/>
  <c r="J60" i="8" s="1"/>
  <c r="H50" i="8"/>
  <c r="H48" i="8"/>
  <c r="H46" i="8"/>
  <c r="H44" i="8"/>
  <c r="H41" i="8"/>
  <c r="H39" i="8"/>
  <c r="H36" i="8"/>
  <c r="A32" i="8"/>
  <c r="R47" i="1" l="1"/>
  <c r="N61" i="1"/>
  <c r="O57" i="1" s="1"/>
  <c r="R49" i="1"/>
  <c r="R50" i="1"/>
  <c r="S50" i="1" s="1"/>
  <c r="J39" i="8"/>
  <c r="O79" i="1"/>
  <c r="O51" i="1"/>
  <c r="O60" i="1"/>
  <c r="O48" i="1"/>
  <c r="S48" i="1"/>
  <c r="S47" i="1"/>
  <c r="O52" i="1"/>
  <c r="O58" i="1"/>
  <c r="O50" i="1"/>
  <c r="R46" i="1"/>
  <c r="P66" i="1"/>
  <c r="P69" i="1"/>
  <c r="P68" i="1"/>
  <c r="E37" i="9"/>
  <c r="D37" i="9"/>
  <c r="E45" i="9"/>
  <c r="D45" i="9"/>
  <c r="D35" i="9"/>
  <c r="D36" i="9"/>
  <c r="D38" i="9"/>
  <c r="D39" i="9"/>
  <c r="D40" i="9"/>
  <c r="D41" i="9"/>
  <c r="D42" i="9"/>
  <c r="D43" i="9"/>
  <c r="D44" i="9"/>
  <c r="D46" i="9"/>
  <c r="D47" i="9"/>
  <c r="D48" i="9"/>
  <c r="E34" i="9"/>
  <c r="E36" i="9"/>
  <c r="E38" i="9"/>
  <c r="E39" i="9"/>
  <c r="E40" i="9"/>
  <c r="E41" i="9"/>
  <c r="E42" i="9"/>
  <c r="E43" i="9"/>
  <c r="E44" i="9"/>
  <c r="E46" i="9"/>
  <c r="E47" i="9"/>
  <c r="E48" i="9"/>
  <c r="J42" i="8"/>
  <c r="M36" i="8" s="1"/>
  <c r="N13" i="8"/>
  <c r="N10" i="8"/>
  <c r="N7" i="8"/>
  <c r="N5" i="8"/>
  <c r="N12" i="8"/>
  <c r="N9" i="8"/>
  <c r="N4" i="8"/>
  <c r="N8" i="8"/>
  <c r="N3" i="8"/>
  <c r="N6" i="8"/>
  <c r="N14" i="8"/>
  <c r="N11" i="8"/>
  <c r="N2" i="8"/>
  <c r="H12" i="8"/>
  <c r="D43" i="1" s="1"/>
  <c r="D57" i="9" l="1"/>
  <c r="S49" i="1"/>
  <c r="S45" i="1"/>
  <c r="O53" i="1"/>
  <c r="O45" i="1"/>
  <c r="O47" i="1"/>
  <c r="O46" i="1"/>
  <c r="O59" i="1"/>
  <c r="O49" i="1"/>
  <c r="S46" i="1"/>
  <c r="O56" i="1"/>
  <c r="O74" i="1"/>
  <c r="O54" i="1"/>
  <c r="O55" i="1"/>
  <c r="D71" i="1"/>
  <c r="D73" i="1"/>
  <c r="M39" i="8"/>
  <c r="M46" i="8"/>
  <c r="M51" i="8"/>
  <c r="M44" i="8"/>
  <c r="J63" i="8"/>
  <c r="M43" i="8"/>
  <c r="M42" i="8"/>
  <c r="M41" i="8"/>
  <c r="M55" i="8"/>
  <c r="M53" i="8"/>
  <c r="M48" i="8"/>
  <c r="M57" i="8"/>
  <c r="R7" i="7" l="1"/>
  <c r="G7" i="7"/>
  <c r="K7" i="7"/>
  <c r="Q7" i="7"/>
  <c r="Q5" i="7"/>
  <c r="Q6" i="7"/>
  <c r="Q4" i="7"/>
  <c r="P7" i="7"/>
  <c r="N7" i="7"/>
  <c r="C16" i="7"/>
  <c r="K10" i="7"/>
  <c r="N10" i="7" s="1"/>
  <c r="P10" i="7" s="1"/>
  <c r="G10" i="7"/>
  <c r="N9" i="7"/>
  <c r="G6" i="7"/>
  <c r="K6" i="7" s="1"/>
  <c r="N6" i="7" s="1"/>
  <c r="P6" i="7" s="1"/>
  <c r="G5" i="7"/>
  <c r="K5" i="7" s="1"/>
  <c r="N5" i="7" s="1"/>
  <c r="P5" i="7" s="1"/>
  <c r="J4" i="7"/>
  <c r="I4" i="7"/>
  <c r="K4" i="7" s="1"/>
  <c r="N4" i="7" s="1"/>
  <c r="P4" i="7" s="1"/>
  <c r="G4" i="7"/>
  <c r="O19" i="1" l="1"/>
  <c r="O27" i="1"/>
  <c r="O16" i="1"/>
  <c r="O14" i="1"/>
  <c r="O22" i="1"/>
  <c r="O25" i="1" s="1"/>
  <c r="O24" i="1"/>
  <c r="E35" i="4"/>
  <c r="D28" i="5"/>
  <c r="C8" i="5"/>
  <c r="C7" i="5"/>
  <c r="C4" i="5"/>
  <c r="C3" i="5"/>
  <c r="C93" i="3"/>
  <c r="C46" i="4"/>
  <c r="C36" i="4"/>
  <c r="D36" i="4" s="1"/>
  <c r="C44" i="4"/>
  <c r="C45" i="4"/>
  <c r="C47" i="4"/>
  <c r="C48" i="4"/>
  <c r="C43" i="4"/>
  <c r="C42" i="4"/>
  <c r="C40" i="4"/>
  <c r="C41" i="4"/>
  <c r="E41" i="4" s="1"/>
  <c r="C39" i="4"/>
  <c r="C38" i="4"/>
  <c r="C37" i="4"/>
  <c r="E37" i="4" s="1"/>
  <c r="B11" i="2"/>
  <c r="E11" i="2" s="1"/>
  <c r="F11" i="2" s="1"/>
  <c r="C16" i="3"/>
  <c r="C14" i="3"/>
  <c r="C15" i="3" s="1"/>
  <c r="C6" i="3"/>
  <c r="C4" i="3"/>
  <c r="H62" i="2"/>
  <c r="J59" i="2" s="1"/>
  <c r="H49" i="2"/>
  <c r="H47" i="2"/>
  <c r="H45" i="2"/>
  <c r="H43" i="2"/>
  <c r="H40" i="2"/>
  <c r="H38" i="2"/>
  <c r="H35" i="2"/>
  <c r="A31" i="2"/>
  <c r="B7" i="2"/>
  <c r="B5" i="2"/>
  <c r="B6" i="2" s="1"/>
  <c r="N6" i="2" s="1"/>
  <c r="D48" i="4" l="1"/>
  <c r="E48" i="4"/>
  <c r="D27" i="1"/>
  <c r="C20" i="4" s="1"/>
  <c r="C19" i="9" s="1"/>
  <c r="D26" i="1"/>
  <c r="C19" i="4" s="1"/>
  <c r="C18" i="9" s="1"/>
  <c r="D22" i="1"/>
  <c r="C24" i="4"/>
  <c r="C25" i="4"/>
  <c r="C23" i="4"/>
  <c r="B22" i="2"/>
  <c r="D21" i="1" s="1"/>
  <c r="B18" i="2"/>
  <c r="B20" i="2"/>
  <c r="D19" i="1" s="1"/>
  <c r="J38" i="2"/>
  <c r="O15" i="1"/>
  <c r="O20" i="1"/>
  <c r="D23" i="1"/>
  <c r="D37" i="4"/>
  <c r="E40" i="4"/>
  <c r="D40" i="4"/>
  <c r="E36" i="4"/>
  <c r="E43" i="4"/>
  <c r="E39" i="4"/>
  <c r="D39" i="4"/>
  <c r="E42" i="4"/>
  <c r="E38" i="4"/>
  <c r="D38" i="4"/>
  <c r="J35" i="2"/>
  <c r="N13" i="2"/>
  <c r="N9" i="2"/>
  <c r="N4" i="2"/>
  <c r="N12" i="2"/>
  <c r="N8" i="2"/>
  <c r="N3" i="2"/>
  <c r="N11" i="2"/>
  <c r="N7" i="2"/>
  <c r="N2" i="2"/>
  <c r="N5" i="2"/>
  <c r="N1" i="2"/>
  <c r="N10" i="2"/>
  <c r="G11" i="2"/>
  <c r="H11" i="2" s="1"/>
  <c r="D4" i="1" s="1"/>
  <c r="C53" i="4" l="1"/>
  <c r="D65" i="1"/>
  <c r="C52" i="4"/>
  <c r="E52" i="4" s="1"/>
  <c r="D64" i="1"/>
  <c r="D53" i="4"/>
  <c r="E53" i="4"/>
  <c r="B19" i="2"/>
  <c r="D18" i="1" s="1"/>
  <c r="D17" i="1"/>
  <c r="C56" i="4"/>
  <c r="E56" i="4" s="1"/>
  <c r="C51" i="9"/>
  <c r="E51" i="9" s="1"/>
  <c r="C53" i="9"/>
  <c r="E53" i="9" s="1"/>
  <c r="C58" i="4"/>
  <c r="E58" i="4" s="1"/>
  <c r="C55" i="4"/>
  <c r="E55" i="4" s="1"/>
  <c r="C26" i="4"/>
  <c r="C57" i="4"/>
  <c r="E57" i="4" s="1"/>
  <c r="C52" i="9"/>
  <c r="E52" i="9" s="1"/>
  <c r="D35" i="1"/>
  <c r="J44" i="2"/>
  <c r="M40" i="2" s="1"/>
  <c r="D52" i="4" l="1"/>
  <c r="E61" i="4"/>
  <c r="D34" i="1" s="1"/>
  <c r="D61" i="4"/>
  <c r="D33" i="1" s="1"/>
  <c r="O9" i="1"/>
  <c r="C25" i="9"/>
  <c r="M52" i="2"/>
  <c r="M35" i="2"/>
  <c r="M45" i="2"/>
  <c r="M58" i="2"/>
  <c r="M41" i="2"/>
  <c r="J62" i="2"/>
  <c r="M42" i="2"/>
  <c r="M54" i="2"/>
  <c r="M43" i="2"/>
  <c r="M50" i="2"/>
  <c r="M47" i="2"/>
  <c r="M56" i="2"/>
  <c r="M38" i="2"/>
  <c r="H5" i="5" l="1"/>
  <c r="E57" i="9"/>
  <c r="D72" i="1" s="1"/>
</calcChain>
</file>

<file path=xl/sharedStrings.xml><?xml version="1.0" encoding="utf-8"?>
<sst xmlns="http://schemas.openxmlformats.org/spreadsheetml/2006/main" count="2174" uniqueCount="785">
  <si>
    <t>Input</t>
  </si>
  <si>
    <t>Ref</t>
  </si>
  <si>
    <t>Facility Size</t>
  </si>
  <si>
    <t>Usable Growing Area</t>
  </si>
  <si>
    <t>Useable Grow Area</t>
  </si>
  <si>
    <t>Facility Height</t>
  </si>
  <si>
    <t>Volume</t>
  </si>
  <si>
    <t>Exterior Wall Thickness</t>
  </si>
  <si>
    <t>Thermal Conductivity</t>
  </si>
  <si>
    <t>convective heat transfer coefficient outside</t>
  </si>
  <si>
    <t>convective heat transfer coefficient inside</t>
  </si>
  <si>
    <t>Required Air Changes</t>
  </si>
  <si>
    <t>Plant Density</t>
  </si>
  <si>
    <t>Number of Plants</t>
  </si>
  <si>
    <t>Plant Yield</t>
  </si>
  <si>
    <t>Daytime Temperature Set Point</t>
  </si>
  <si>
    <t>Nighttime Temperature Set Point</t>
  </si>
  <si>
    <t>Biofungicide (Folpet)</t>
  </si>
  <si>
    <t>Soil Amendments (Perlite)</t>
  </si>
  <si>
    <t>water mixed with neem oil application</t>
  </si>
  <si>
    <t>Surfactant mixed with neem oil application</t>
  </si>
  <si>
    <t>Harvest Quantity</t>
  </si>
  <si>
    <t>m^2-grow/m^2-greenhouse</t>
  </si>
  <si>
    <t>m^2 grow area</t>
  </si>
  <si>
    <t>meters</t>
  </si>
  <si>
    <t>m^3</t>
  </si>
  <si>
    <t>W/m*K</t>
  </si>
  <si>
    <t>W/m^2-K</t>
  </si>
  <si>
    <t>air changes/hour</t>
  </si>
  <si>
    <t>plants/m^2</t>
  </si>
  <si>
    <t>plants/harvest-flower</t>
  </si>
  <si>
    <t>kg/m^2-cycle</t>
  </si>
  <si>
    <t>deg C</t>
  </si>
  <si>
    <t>kg/harvest</t>
  </si>
  <si>
    <t>m3/plant</t>
  </si>
  <si>
    <t>liters/plant-cycle</t>
  </si>
  <si>
    <t>harvest/year</t>
  </si>
  <si>
    <t>units</t>
  </si>
  <si>
    <t>m^2</t>
  </si>
  <si>
    <t>(Summers et al., 2021)</t>
  </si>
  <si>
    <t>density (plants/m2)</t>
  </si>
  <si>
    <t>yield (kg/m2)</t>
  </si>
  <si>
    <t>Yield (kg/plant)</t>
  </si>
  <si>
    <t>Fertilizer input</t>
  </si>
  <si>
    <t>(Saloner and Bernstein, 2022, 2020)</t>
  </si>
  <si>
    <t>days</t>
  </si>
  <si>
    <t>mL/day</t>
  </si>
  <si>
    <t>conc (mg/L)</t>
  </si>
  <si>
    <t>h20 (l/plant)</t>
  </si>
  <si>
    <t>N</t>
  </si>
  <si>
    <t>K</t>
  </si>
  <si>
    <t>P</t>
  </si>
  <si>
    <t>total per plant (mg)</t>
  </si>
  <si>
    <t>EC (mS/cm)</t>
  </si>
  <si>
    <r>
      <t>N-NO</t>
    </r>
    <r>
      <rPr>
        <b/>
        <vertAlign val="subscript"/>
        <sz val="14"/>
        <rFont val="Arial"/>
        <family val="2"/>
      </rPr>
      <t>3</t>
    </r>
  </si>
  <si>
    <r>
      <t>N-NH</t>
    </r>
    <r>
      <rPr>
        <b/>
        <vertAlign val="subscript"/>
        <sz val="14"/>
        <rFont val="Arial"/>
        <family val="2"/>
      </rPr>
      <t>4</t>
    </r>
  </si>
  <si>
    <t>Ca</t>
  </si>
  <si>
    <t>Mg</t>
  </si>
  <si>
    <t>Na</t>
  </si>
  <si>
    <r>
      <t>S-SO</t>
    </r>
    <r>
      <rPr>
        <b/>
        <vertAlign val="subscript"/>
        <sz val="14"/>
        <rFont val="Arial"/>
        <family val="2"/>
      </rPr>
      <t>4</t>
    </r>
  </si>
  <si>
    <t>Cl</t>
  </si>
  <si>
    <t>Fe</t>
  </si>
  <si>
    <t>B</t>
  </si>
  <si>
    <t>Cu</t>
  </si>
  <si>
    <t>Zn</t>
  </si>
  <si>
    <t>Mn</t>
  </si>
  <si>
    <t>Mo</t>
  </si>
  <si>
    <t>mM /mM</t>
  </si>
  <si>
    <t>ppm</t>
  </si>
  <si>
    <t>Nutrient solution (uM for Fe, B, Cu, Zn, Mn, Mo; mM for other ions) (Incrocci, 2007)</t>
  </si>
  <si>
    <t>g</t>
  </si>
  <si>
    <t>%N in NH4NO3</t>
  </si>
  <si>
    <t>%N in KNO3</t>
  </si>
  <si>
    <t>%N in nh4po3</t>
  </si>
  <si>
    <t>%N in Ca(NO3)2</t>
  </si>
  <si>
    <t>%N in Mg(NO3)2</t>
  </si>
  <si>
    <t>%N in (nh4)2so4</t>
  </si>
  <si>
    <t>Individual ing needed per FU</t>
  </si>
  <si>
    <t>total per FU (mg)</t>
  </si>
  <si>
    <t>Need for 1 FU (kg N)</t>
  </si>
  <si>
    <t>sum of N in bulk mix (kg N)</t>
  </si>
  <si>
    <t>FU/Bulk mix</t>
  </si>
  <si>
    <t>kg</t>
  </si>
  <si>
    <t>Fertilizer solution (water)</t>
  </si>
  <si>
    <t xml:space="preserve"> Calcium nitrate  </t>
  </si>
  <si>
    <t xml:space="preserve"> - </t>
  </si>
  <si>
    <t xml:space="preserve"> Ammonium nitrate </t>
  </si>
  <si>
    <t xml:space="preserve"> Potassium nitrate </t>
  </si>
  <si>
    <t xml:space="preserve"> Iron  EDTA </t>
  </si>
  <si>
    <t xml:space="preserve"> Magnesium sulphate </t>
  </si>
  <si>
    <t xml:space="preserve"> Magnesium nitrate </t>
  </si>
  <si>
    <t xml:space="preserve"> Ammonium sulphate </t>
  </si>
  <si>
    <t xml:space="preserve"> Mono-ammonium phosphate </t>
  </si>
  <si>
    <t xml:space="preserve"> Stock B:  </t>
  </si>
  <si>
    <t xml:space="preserve"> Borax </t>
  </si>
  <si>
    <t xml:space="preserve"> Copper sulphate </t>
  </si>
  <si>
    <t xml:space="preserve"> Zinc sulphate </t>
  </si>
  <si>
    <t xml:space="preserve"> Manganese sulphate </t>
  </si>
  <si>
    <t xml:space="preserve"> Ammonium heptamolybdate </t>
  </si>
  <si>
    <t>%Mo</t>
  </si>
  <si>
    <t>Mo in bulk mix (g Mo)</t>
  </si>
  <si>
    <t>Need for 1 FU (g Mo)</t>
  </si>
  <si>
    <t>1 FU indoor -&gt;</t>
  </si>
  <si>
    <t>indoor parameters</t>
  </si>
  <si>
    <t>l/FU</t>
  </si>
  <si>
    <t>plant/kg-bud</t>
  </si>
  <si>
    <t>m2/kg-bud</t>
  </si>
  <si>
    <t>plant/kg bud</t>
  </si>
  <si>
    <t>m2/kg bud</t>
  </si>
  <si>
    <t>par plant -&gt;</t>
  </si>
  <si>
    <t>kg per plant</t>
  </si>
  <si>
    <t>g per plant</t>
  </si>
  <si>
    <t>kg per plant per plant</t>
  </si>
  <si>
    <t>g per FU</t>
  </si>
  <si>
    <t>kg per FU</t>
  </si>
  <si>
    <t>Total N and NPK is used to calculated fertilizer salt needed</t>
  </si>
  <si>
    <t>Wh/yr</t>
  </si>
  <si>
    <t>Chiller COP</t>
  </si>
  <si>
    <t>% of energy delivered</t>
  </si>
  <si>
    <t>weeks/harvest</t>
  </si>
  <si>
    <t>days/stage</t>
  </si>
  <si>
    <t>hrs/day</t>
  </si>
  <si>
    <t>W/m^2</t>
  </si>
  <si>
    <t>% Relative Humidity</t>
  </si>
  <si>
    <t>fans</t>
  </si>
  <si>
    <t>kWh/gallon</t>
  </si>
  <si>
    <t>gal/plant/day</t>
  </si>
  <si>
    <t>of usable grow area</t>
  </si>
  <si>
    <t>weeks/year</t>
  </si>
  <si>
    <t>mpg</t>
  </si>
  <si>
    <t>kg/m^3</t>
  </si>
  <si>
    <t>trips/yr</t>
  </si>
  <si>
    <t>C</t>
  </si>
  <si>
    <t>COP Chiller</t>
  </si>
  <si>
    <t>Heating Efficiency</t>
  </si>
  <si>
    <t>Clone Room Duration</t>
  </si>
  <si>
    <t>Vegetative Growth Duration</t>
  </si>
  <si>
    <t>Flowering Duration</t>
  </si>
  <si>
    <t>Curing Duration</t>
  </si>
  <si>
    <t>Days between plant stages</t>
  </si>
  <si>
    <t>Clone Room Exposure</t>
  </si>
  <si>
    <t>Vegetative Growth Exposure</t>
  </si>
  <si>
    <t>Flowering Light Exposure</t>
  </si>
  <si>
    <t>Curing Light Exposure</t>
  </si>
  <si>
    <t>Break Light Exposure</t>
  </si>
  <si>
    <t>Clone Room Lighting Intensity</t>
  </si>
  <si>
    <t>Vegetative Growth Lighting Intensity</t>
  </si>
  <si>
    <t>Flowering Lighting Intensity</t>
  </si>
  <si>
    <t>Curing Lighting Intensity</t>
  </si>
  <si>
    <t>Break Lighting Intensity</t>
  </si>
  <si>
    <t>Clone Room Relative Humidity Max</t>
  </si>
  <si>
    <t>Clone Room Relative Humidity Mean</t>
  </si>
  <si>
    <t>Clone Room Relative Humidity Min</t>
  </si>
  <si>
    <t>Vegetative Relative Humidity Max</t>
  </si>
  <si>
    <t>Vegetative Relative Humidity Mean</t>
  </si>
  <si>
    <t>Vegetative Relative Humidity Min</t>
  </si>
  <si>
    <t>Flowering Relative Humidity Max</t>
  </si>
  <si>
    <t>Flowering Relative Humidity Mean</t>
  </si>
  <si>
    <t>Flowering Relative Humidity Min</t>
  </si>
  <si>
    <t>Curing Relative Humidity Max</t>
  </si>
  <si>
    <t>Curing Relative Humidity Mean</t>
  </si>
  <si>
    <t>Curing Relative Humidity Min</t>
  </si>
  <si>
    <t>Break Relative Humidity Max</t>
  </si>
  <si>
    <t>Break Relative Humidity Mean</t>
  </si>
  <si>
    <t>Break Relative Humidity Min</t>
  </si>
  <si>
    <t>Clone Room Temperature Day (High)</t>
  </si>
  <si>
    <t>Vegetative Day Temperature</t>
  </si>
  <si>
    <t>Flowering Day Temperature</t>
  </si>
  <si>
    <t>Curing Day Temperature</t>
  </si>
  <si>
    <t>Break Day Temperature</t>
  </si>
  <si>
    <t>Clone Room Temperature Night (low)</t>
  </si>
  <si>
    <t>Vegetative Night Temperature</t>
  </si>
  <si>
    <t>Flowering Night Temperature</t>
  </si>
  <si>
    <t>Curing Night Temperature</t>
  </si>
  <si>
    <t>Break Night Temperature</t>
  </si>
  <si>
    <t>Coco Coir as Soil</t>
  </si>
  <si>
    <t>Number of clip fans needed</t>
  </si>
  <si>
    <t>Circulating Fan Power</t>
  </si>
  <si>
    <t>Pump Power</t>
  </si>
  <si>
    <t>Water Amount</t>
  </si>
  <si>
    <t>Clone Grow Area Fraction</t>
  </si>
  <si>
    <t>Veg Grow Area Fraction</t>
  </si>
  <si>
    <t>Flower Grow Area Fraction</t>
  </si>
  <si>
    <t>Cure Grow Area Fraction</t>
  </si>
  <si>
    <t>Watering Weeks Per Year</t>
  </si>
  <si>
    <t>Vegetative CO2 Concentration</t>
  </si>
  <si>
    <t>Flowering CO2 Concentration</t>
  </si>
  <si>
    <t>Atmospheric CO2 Concentration</t>
  </si>
  <si>
    <t>Extractor Fan Power</t>
  </si>
  <si>
    <t>Intake Fan Power</t>
  </si>
  <si>
    <t>Transportation Fuel Economy</t>
  </si>
  <si>
    <t>Density of Dried Bud</t>
  </si>
  <si>
    <t>Annual Transportation Trips</t>
  </si>
  <si>
    <t>Delivered Water Temp</t>
  </si>
  <si>
    <t>Well Water Temp</t>
  </si>
  <si>
    <t>Waste from Plants</t>
  </si>
  <si>
    <t>Clone Soil Waste</t>
  </si>
  <si>
    <t>Veg Soil Waste</t>
  </si>
  <si>
    <t>Flower Soil Waste</t>
  </si>
  <si>
    <t>kg bud/plant</t>
  </si>
  <si>
    <t>kg bud/m^2-cycle</t>
  </si>
  <si>
    <t>Fertilizer tab</t>
  </si>
  <si>
    <t>m^2/bud</t>
  </si>
  <si>
    <t>Electrical energy input</t>
  </si>
  <si>
    <t>Natural Gas energy input</t>
  </si>
  <si>
    <t>Depends on region</t>
  </si>
  <si>
    <t>kWh/FU</t>
  </si>
  <si>
    <t>kg/FU</t>
  </si>
  <si>
    <t>OpenLCA Indoor model</t>
  </si>
  <si>
    <t>m3/FU</t>
  </si>
  <si>
    <t>l/gal</t>
  </si>
  <si>
    <t>kg CO2-FU</t>
  </si>
  <si>
    <t xml:space="preserve">kg per FU </t>
  </si>
  <si>
    <t>Transportation Distances</t>
  </si>
  <si>
    <t>Distance (miles)</t>
  </si>
  <si>
    <t>Distance (km)</t>
  </si>
  <si>
    <t>From Manufacturing to Distribution</t>
  </si>
  <si>
    <t>From Distribution to Retail</t>
  </si>
  <si>
    <t>From Retail to Grow Facility</t>
  </si>
  <si>
    <t>Transportation Inventory (Items that need transport to grow facility)</t>
  </si>
  <si>
    <t>Amount</t>
  </si>
  <si>
    <t>Units</t>
  </si>
  <si>
    <t>Transportation Inventory (Items that need transport away from facility)</t>
  </si>
  <si>
    <t>Distance to landfill</t>
  </si>
  <si>
    <t>kg/ton</t>
  </si>
  <si>
    <t>From OpenLCA input</t>
  </si>
  <si>
    <t>g/FU</t>
  </si>
  <si>
    <t xml:space="preserve"> -   </t>
  </si>
  <si>
    <t xml:space="preserve"> Kg </t>
  </si>
  <si>
    <t xml:space="preserve"> g </t>
  </si>
  <si>
    <t>(Maxim et al., 2014)</t>
  </si>
  <si>
    <t>Perlite density</t>
  </si>
  <si>
    <t>kg/m3</t>
  </si>
  <si>
    <t>ton</t>
  </si>
  <si>
    <t>t*km (train)</t>
  </si>
  <si>
    <t>t*km (light commercial)</t>
  </si>
  <si>
    <t>t*km (passenger car)</t>
  </si>
  <si>
    <t>Total</t>
  </si>
  <si>
    <t>per FU</t>
  </si>
  <si>
    <t>t*km per FU</t>
  </si>
  <si>
    <t>Transport (train)</t>
  </si>
  <si>
    <t>Transport (passenger car)</t>
  </si>
  <si>
    <t>water density</t>
  </si>
  <si>
    <t>Transport tab</t>
  </si>
  <si>
    <t>MatLabOutput tab</t>
  </si>
  <si>
    <t>conversion</t>
  </si>
  <si>
    <t>unit/m2</t>
  </si>
  <si>
    <t>1000w lamp every 4ftx4ft</t>
  </si>
  <si>
    <t>year/unit</t>
  </si>
  <si>
    <t>(Summers, 2021)</t>
  </si>
  <si>
    <t>(Zhang, 2017)</t>
  </si>
  <si>
    <t>Longevity</t>
  </si>
  <si>
    <t>(Summers,2021)</t>
  </si>
  <si>
    <t>Area yield</t>
  </si>
  <si>
    <t>Harvest/15 years</t>
  </si>
  <si>
    <t>Harvest Quantity (15y)</t>
  </si>
  <si>
    <t>Harvest Quantity (1y)</t>
  </si>
  <si>
    <t>**1 lighting FU is 1 HPS lamp with 4.5 bulbs over a 15 year useful life over a 4ftx2ft section</t>
  </si>
  <si>
    <t>**the FU from Zhang et al (2017) is halfed in our model, as there is a lamp every 4ftx4ft section</t>
  </si>
  <si>
    <t>Lamp FU</t>
  </si>
  <si>
    <t>kg bud/m2-harvest</t>
  </si>
  <si>
    <t>Kg Bud/ lamp FU</t>
  </si>
  <si>
    <t>calculated</t>
  </si>
  <si>
    <t>unit /m2</t>
  </si>
  <si>
    <t>% lamp unit /bud FU</t>
  </si>
  <si>
    <t>**The FU from Zhang et al (2017) assumes a use as supplemental lighting and for a total output of 45000 hours</t>
  </si>
  <si>
    <t>**%percent utilization in our model underestimates real hours of use, but assumes a less rigorous lamp maintenance</t>
  </si>
  <si>
    <t>Hours HPS lamp/bud FU</t>
  </si>
  <si>
    <t>Flow</t>
  </si>
  <si>
    <t>Category</t>
  </si>
  <si>
    <t>Unit</t>
  </si>
  <si>
    <t>aluminium alloy, AlMg3</t>
  </si>
  <si>
    <t>C:Manufacturing/24:Manufacture of basic metals/242:Manufacture of basic precious and other non-ferrous metals/2420:Manufacture of basic precious and other non-ferrous metals</t>
  </si>
  <si>
    <t>brass</t>
  </si>
  <si>
    <t>capacitor, auxilliaries and energy use</t>
  </si>
  <si>
    <t>C:Manufacturing/26:Manufacture of computer, electronic and optical products/261:Manufacture of electronic components and boards/2610:Manufacture of electronic components and boards</t>
  </si>
  <si>
    <t>capacitor, electrolyte type, &gt; 2cm height</t>
  </si>
  <si>
    <t>injection moulding</t>
  </si>
  <si>
    <t>C:Manufacturing/22:Manufacture of rubber and plastics products/222:Manufacture of plastics products/2220:Manufacture of plastics products</t>
  </si>
  <si>
    <t>metal working, average for metal product manufacturing</t>
  </si>
  <si>
    <t>C:Manufacturing/25:Manufacture of fabricated metal products, except machinery and equipment/259:Manufacture of other fabricated metal products; metalworking service activit</t>
  </si>
  <si>
    <t>polyvinylchloride, bulk polymerised</t>
  </si>
  <si>
    <t>C:Manufacturing/20:Manufacture of chemicals and chemical products/201:Manufacture of basic chemicals, fertilizers and nitrogen compounds, plastics/2013:Manufacture of plastics and synthetic rubber in primary forms</t>
  </si>
  <si>
    <t>sanitary ceramics</t>
  </si>
  <si>
    <t>C:Manufacturing/23:Manufacture of other non-metallic mineral products/239:Manufacture of non-metallic mineral products n.e.c./2392:Manufacture of clay building materials</t>
  </si>
  <si>
    <t>steel, low-alloyed</t>
  </si>
  <si>
    <t>C:Manufacturing/24:Manufacture of basic metals/241:Manufacture of basic iron and steel/2410:Manufacture of basic iron and steel</t>
  </si>
  <si>
    <t>mass sum</t>
  </si>
  <si>
    <t>HPS transport</t>
  </si>
  <si>
    <t>h/FU</t>
  </si>
  <si>
    <t>HPS tab</t>
  </si>
  <si>
    <t>Irsyad, M., Pasek, A.D., Indartono, Y.S., Pratomo, A.W., 2017. Heat transfer characteristics of building walls using phase change material. IOP Conf. Ser. Earth Environ. Sci. 60. https://doi.org/10.1088/1755-1315/60/1/012028</t>
  </si>
  <si>
    <t>Maxim, L.D., Niebo, R., Mcconnell, E.E., 2014. Perlite toxicology and epidemiology - A review. Inhal. Toxicol. 26, 259–270. https://doi.org/10.3109/08958378.2014.881940</t>
  </si>
  <si>
    <t>Mills, E., 2012. The carbon footprint of indoor Cannabis production. Energy Policy 46, 58–67. https://doi.org/10.1016/j.enpol.2012.03.023</t>
  </si>
  <si>
    <t>Saloner, A., Bernstein, N., 2022. Effect of potassium (K) supply on cannabinoids, terpenoids and plant function in medical cannabis. Agronomy 12, 1242. https://doi.org/10.3390/AGRONOMY12051242</t>
  </si>
  <si>
    <t>Saloner, A., Bernstein, N., 2020. Response of medical cannabis (Cannabis sativa l.) to nitrogen supply under long photoperiod. Front. Plant Sci. 11, 1517. https://doi.org/10.3389/fpls.2020.572293</t>
  </si>
  <si>
    <t>Summers, H.M., Sproul, E., Quinn, J.C., 2021. The greenhouse gas emissions of indoor cannabis production in the United States. Nat. Sustain. https://doi.org/10.1038/s41893-021-00691-w</t>
  </si>
  <si>
    <t>Zhang, H., Burr, J., Zhao, F., 2017. A comparative life cycle assessment (LCA) of lighting technologies for greenhouse crop production. J. Clean. Prod. 140, 705–713. https://doi.org/10.1016/j.jclepro.2016.01.014</t>
  </si>
  <si>
    <t>Incrocci, L., 2007. Nutrient Solution Calculator [WWW Document]. URL https://www.wur.nl/en/Research-Results/Projects-and-programmes/Euphoros/Calculation-tools/Nutrient-Solution-Calculator.htm</t>
  </si>
  <si>
    <t>plants/cycle-flower</t>
  </si>
  <si>
    <t>m^2/kg bud</t>
  </si>
  <si>
    <t>plants/m^2-cycle</t>
  </si>
  <si>
    <t>ref</t>
  </si>
  <si>
    <t>Desaulniers Brousseau 2023</t>
  </si>
  <si>
    <t>personnal communication</t>
  </si>
  <si>
    <t>Summers</t>
  </si>
  <si>
    <t>Total area yield (kg)</t>
  </si>
  <si>
    <t>SI units (kg/ha)</t>
  </si>
  <si>
    <t>kg/m2</t>
  </si>
  <si>
    <t>province/state</t>
  </si>
  <si>
    <t>field area</t>
  </si>
  <si>
    <t>unit</t>
  </si>
  <si>
    <t>plant count</t>
  </si>
  <si>
    <t>Plant density</t>
  </si>
  <si>
    <t>low</t>
  </si>
  <si>
    <t>high</t>
  </si>
  <si>
    <t>Plant yield</t>
  </si>
  <si>
    <t>avg</t>
  </si>
  <si>
    <t>BC</t>
  </si>
  <si>
    <t>ac</t>
  </si>
  <si>
    <t>plant</t>
  </si>
  <si>
    <t>plant/ha</t>
  </si>
  <si>
    <t>kg/plant</t>
  </si>
  <si>
    <t>ON</t>
  </si>
  <si>
    <t>ha</t>
  </si>
  <si>
    <t>QC</t>
  </si>
  <si>
    <t>Wilson et al 2019</t>
  </si>
  <si>
    <t>California</t>
  </si>
  <si>
    <t>NA</t>
  </si>
  <si>
    <t>lb/ft2</t>
  </si>
  <si>
    <t>Summers et al 2021</t>
  </si>
  <si>
    <t>lb</t>
  </si>
  <si>
    <t>ft2</t>
  </si>
  <si>
    <t>Outdoor yield tab</t>
  </si>
  <si>
    <t>plant/m2</t>
  </si>
  <si>
    <t xml:space="preserve">outdoor parameters - autoflowering (AF) </t>
  </si>
  <si>
    <t>outdoor parameters - photoperiod sensistive (PPS)</t>
  </si>
  <si>
    <t>product that is sequestered CO2e</t>
  </si>
  <si>
    <t>landfill mass that is sequestered CO2e</t>
  </si>
  <si>
    <t>Outdoor parameter (see outdoor yield tab</t>
  </si>
  <si>
    <t xml:space="preserve">days </t>
  </si>
  <si>
    <t>(assumed 6 months of fertilizing)</t>
  </si>
  <si>
    <t>ft^2</t>
  </si>
  <si>
    <t>ratio</t>
  </si>
  <si>
    <t>Clone Room</t>
  </si>
  <si>
    <t>Veg Room</t>
  </si>
  <si>
    <t>Flower Room</t>
  </si>
  <si>
    <t>Cure Room</t>
  </si>
  <si>
    <t>From Summers 2021</t>
  </si>
  <si>
    <t>Assumed 12% of indoor model</t>
  </si>
  <si>
    <t>OpenLCA outdoor model (PPS)</t>
  </si>
  <si>
    <t>mass to transport/FU (Indoor)</t>
  </si>
  <si>
    <t>mass to transport/FU (Outdoor)</t>
  </si>
  <si>
    <t>12% of indoor</t>
  </si>
  <si>
    <t>Paste results from below calc.</t>
  </si>
  <si>
    <t>Waste/kg bud</t>
  </si>
  <si>
    <t xml:space="preserve">Output from nutrient solution calculator, quantities of fertilizer salt to have a concentrated nutrient solution with ppm 140-23-205 N-P-K </t>
  </si>
  <si>
    <t>HPS</t>
  </si>
  <si>
    <t>Molybdenum</t>
  </si>
  <si>
    <t>This is from Summers et al. 2021, these are the parameters in the MATLAB model for more details, consult the article</t>
  </si>
  <si>
    <t>Data for HPS material and energy needs come from Zhang et al, 2017</t>
  </si>
  <si>
    <t>**12% is space needed for clones and curing</t>
  </si>
  <si>
    <t>Assumes veg and flo fertilization only</t>
  </si>
  <si>
    <t>Total yield</t>
  </si>
  <si>
    <t>kg bud/year</t>
  </si>
  <si>
    <t>c1</t>
  </si>
  <si>
    <t>lv2</t>
  </si>
  <si>
    <t>c3</t>
  </si>
  <si>
    <t>other</t>
  </si>
  <si>
    <t>c2</t>
  </si>
  <si>
    <t>sv2</t>
  </si>
  <si>
    <t>sv1</t>
  </si>
  <si>
    <t>lv1</t>
  </si>
  <si>
    <t>a</t>
  </si>
  <si>
    <t>storage</t>
  </si>
  <si>
    <t>cure</t>
  </si>
  <si>
    <t>package</t>
  </si>
  <si>
    <t>trim</t>
  </si>
  <si>
    <t>cure 2</t>
  </si>
  <si>
    <t>cure 1</t>
  </si>
  <si>
    <t>%</t>
  </si>
  <si>
    <t>sum ft2</t>
  </si>
  <si>
    <t>sum m2</t>
  </si>
  <si>
    <t>veg</t>
  </si>
  <si>
    <t>flower</t>
  </si>
  <si>
    <t>hallway</t>
  </si>
  <si>
    <t>transplant, storage, package</t>
  </si>
  <si>
    <t>clone&amp;mother</t>
  </si>
  <si>
    <t>kg annual production</t>
  </si>
  <si>
    <t>Values from ON producer</t>
  </si>
  <si>
    <t xml:space="preserve">Values from BC producer </t>
  </si>
  <si>
    <t>veg in greenhouse</t>
  </si>
  <si>
    <t>710430.0_CYVQ.csv</t>
  </si>
  <si>
    <t>CYVQ</t>
  </si>
  <si>
    <t>NW</t>
  </si>
  <si>
    <t>710660.0_CYOJ.csv</t>
  </si>
  <si>
    <t>CYOJ</t>
  </si>
  <si>
    <t>AB</t>
  </si>
  <si>
    <t>710690.0_CYZH.csv</t>
  </si>
  <si>
    <t>CYZH</t>
  </si>
  <si>
    <t>710780.0_CYYL.csv</t>
  </si>
  <si>
    <t>CYYL</t>
  </si>
  <si>
    <t>MB</t>
  </si>
  <si>
    <t>710790.0_CYTH.csv</t>
  </si>
  <si>
    <t>CYTH</t>
  </si>
  <si>
    <t>710810.0_CYUX.csv</t>
  </si>
  <si>
    <t>CYUX</t>
  </si>
  <si>
    <t>NU</t>
  </si>
  <si>
    <t>710830.0_CYRT.csv</t>
  </si>
  <si>
    <t>CYRT</t>
  </si>
  <si>
    <t>710950.0_CYIO.csv</t>
  </si>
  <si>
    <t>CYIO</t>
  </si>
  <si>
    <t>711010.0_CYZP.csv</t>
  </si>
  <si>
    <t>CYZP</t>
  </si>
  <si>
    <t>711030.0_CYQZ.csv</t>
  </si>
  <si>
    <t>CYQZ</t>
  </si>
  <si>
    <t>711040.0_CYWL.csv</t>
  </si>
  <si>
    <t>CYWL</t>
  </si>
  <si>
    <t>711080.0_CYXX.csv</t>
  </si>
  <si>
    <t>CYXX</t>
  </si>
  <si>
    <t>711090.0_CYZT.csv</t>
  </si>
  <si>
    <t>CYZT</t>
  </si>
  <si>
    <t>711200.0_CYOD.csv</t>
  </si>
  <si>
    <t>CYOD</t>
  </si>
  <si>
    <t>711210.0_CYED.csv</t>
  </si>
  <si>
    <t>CYED</t>
  </si>
  <si>
    <t>711230.0_CYEG.csv</t>
  </si>
  <si>
    <t>CYEG</t>
  </si>
  <si>
    <t>711380.0_CYQV.csv</t>
  </si>
  <si>
    <t>CYQV</t>
  </si>
  <si>
    <t>SK</t>
  </si>
  <si>
    <t>711400.0_CYBR.csv</t>
  </si>
  <si>
    <t>CYBR</t>
  </si>
  <si>
    <t>711880.0_CYGP.csv</t>
  </si>
  <si>
    <t>CYGP</t>
  </si>
  <si>
    <t>713950.0_CYHZ.csv</t>
  </si>
  <si>
    <t>CYHZ</t>
  </si>
  <si>
    <t>NS</t>
  </si>
  <si>
    <t>713970.0_CYZX.csv</t>
  </si>
  <si>
    <t>CYZX</t>
  </si>
  <si>
    <t>715380.0_CYQG.csv</t>
  </si>
  <si>
    <t>CYQG</t>
  </si>
  <si>
    <t>716000.0_CWSA.csv</t>
  </si>
  <si>
    <t>CWSA</t>
  </si>
  <si>
    <t>716030.0_CYQI.csv</t>
  </si>
  <si>
    <t>CYQI</t>
  </si>
  <si>
    <t>716090.0_CYSJ.csv</t>
  </si>
  <si>
    <t>CYSJ</t>
  </si>
  <si>
    <t>NB</t>
  </si>
  <si>
    <t>716200.0_CYGK.csv</t>
  </si>
  <si>
    <t>CYGK</t>
  </si>
  <si>
    <t>716210.0_CYTR.csv</t>
  </si>
  <si>
    <t>CYTR</t>
  </si>
  <si>
    <t>716230.0_CYXU.csv</t>
  </si>
  <si>
    <t>CYXU</t>
  </si>
  <si>
    <t>716250.0_CYWA.csv</t>
  </si>
  <si>
    <t>CYWA</t>
  </si>
  <si>
    <t>716270.0_CYUL.csv</t>
  </si>
  <si>
    <t>CYUL</t>
  </si>
  <si>
    <t>716278.0_CYGW.csv</t>
  </si>
  <si>
    <t>CYGW</t>
  </si>
  <si>
    <t>716280.0_CYOW.csv</t>
  </si>
  <si>
    <t>CYOW</t>
  </si>
  <si>
    <t>716330.0_CYVV.csv</t>
  </si>
  <si>
    <t>CYVV</t>
  </si>
  <si>
    <t>717000.0_CYFC.csv</t>
  </si>
  <si>
    <t>CYFC</t>
  </si>
  <si>
    <t>717050.0_CYQM.csv</t>
  </si>
  <si>
    <t>CYQM</t>
  </si>
  <si>
    <t>717060.0_CYYG.csv</t>
  </si>
  <si>
    <t>CYYG</t>
  </si>
  <si>
    <t>PE</t>
  </si>
  <si>
    <t>717070.0_CYQY.csv</t>
  </si>
  <si>
    <t>CYQY</t>
  </si>
  <si>
    <t>717080.0_CYQB.csv</t>
  </si>
  <si>
    <t>CYQB</t>
  </si>
  <si>
    <t>717180.0_CYYY.csv</t>
  </si>
  <si>
    <t>CYYY</t>
  </si>
  <si>
    <t>717250.0_CYVO.csv</t>
  </si>
  <si>
    <t>CYVO</t>
  </si>
  <si>
    <t>717255.0_CYUY.csv</t>
  </si>
  <si>
    <t>CYUY</t>
  </si>
  <si>
    <t>717270.0_CYBG.csv</t>
  </si>
  <si>
    <t>CYBG</t>
  </si>
  <si>
    <t>717280.0_CYRJ.csv</t>
  </si>
  <si>
    <t>CYRJ</t>
  </si>
  <si>
    <t>717310.0_CYYB.csv</t>
  </si>
  <si>
    <t>CYYB</t>
  </si>
  <si>
    <t>717390.0_CYTS.csv</t>
  </si>
  <si>
    <t>CYTS</t>
  </si>
  <si>
    <t>717990.0_CYYJ.csv</t>
  </si>
  <si>
    <t>CYYJ</t>
  </si>
  <si>
    <t>718010.0_CYYT.csv</t>
  </si>
  <si>
    <t>CYYT</t>
  </si>
  <si>
    <t>NL</t>
  </si>
  <si>
    <t>718030.0_CYQX.csv</t>
  </si>
  <si>
    <t>CYQX</t>
  </si>
  <si>
    <t>718090.0_CYDF.csv</t>
  </si>
  <si>
    <t>CYDF</t>
  </si>
  <si>
    <t>718110.0_CYZV.csv</t>
  </si>
  <si>
    <t>CYZV</t>
  </si>
  <si>
    <t>718150.0_CYJT.csv</t>
  </si>
  <si>
    <t>CYJT</t>
  </si>
  <si>
    <t>718160.0_CYYR.csv</t>
  </si>
  <si>
    <t>CYYR</t>
  </si>
  <si>
    <t>718180.0_CYCA.csv</t>
  </si>
  <si>
    <t>CYCA</t>
  </si>
  <si>
    <t>718250.0_CYWK.csv</t>
  </si>
  <si>
    <t>CYWK</t>
  </si>
  <si>
    <t>718310.0_CYYU.csv</t>
  </si>
  <si>
    <t>CYYU</t>
  </si>
  <si>
    <t>718340.0_CYGQ.csv</t>
  </si>
  <si>
    <t>CYGQ</t>
  </si>
  <si>
    <t>718420.0_CYXL.csv</t>
  </si>
  <si>
    <t>CYXL</t>
  </si>
  <si>
    <t>718520.0_CYWG.csv</t>
  </si>
  <si>
    <t>CYWG</t>
  </si>
  <si>
    <t>718630.0_CYQR.csv</t>
  </si>
  <si>
    <t>CYQR</t>
  </si>
  <si>
    <t>718670.0_CYQD.csv</t>
  </si>
  <si>
    <t>CYQD</t>
  </si>
  <si>
    <t>718690.0_CYPA.csv</t>
  </si>
  <si>
    <t>CYPA</t>
  </si>
  <si>
    <t>718710.0_CYLL.csv</t>
  </si>
  <si>
    <t>CYLL</t>
  </si>
  <si>
    <t>718720.0_CYXH.csv</t>
  </si>
  <si>
    <t>CYXH</t>
  </si>
  <si>
    <t>718740.0_CYQL.csv</t>
  </si>
  <si>
    <t>CNBI</t>
  </si>
  <si>
    <t>718760.0_CYQW.csv</t>
  </si>
  <si>
    <t>CYQW</t>
  </si>
  <si>
    <t>718770.0_CYYC.csv</t>
  </si>
  <si>
    <t>CYYC</t>
  </si>
  <si>
    <t>718780.0_CYQF.csv</t>
  </si>
  <si>
    <t>CYQF</t>
  </si>
  <si>
    <t>718810.0_CYET.csv</t>
  </si>
  <si>
    <t>CYET</t>
  </si>
  <si>
    <t>718870.0_CYKA.csv</t>
  </si>
  <si>
    <t>CYKA</t>
  </si>
  <si>
    <t>718890.0_CYYF.csv</t>
  </si>
  <si>
    <t>CYYF</t>
  </si>
  <si>
    <t>718920.0_CYVR.csv</t>
  </si>
  <si>
    <t>CYVR</t>
  </si>
  <si>
    <t>718930.0_CYQQ.csv</t>
  </si>
  <si>
    <t>CYQQ</t>
  </si>
  <si>
    <t>718960.0_CYXS.csv</t>
  </si>
  <si>
    <t>CYXS</t>
  </si>
  <si>
    <t>718980.0_CYPR.csv</t>
  </si>
  <si>
    <t>CYPR</t>
  </si>
  <si>
    <t>719050.0_CYMX.csv</t>
  </si>
  <si>
    <t>CYMX</t>
  </si>
  <si>
    <t>719060.0_CYVP.csv</t>
  </si>
  <si>
    <t>CYVP</t>
  </si>
  <si>
    <t>719090.0_CYFB.csv</t>
  </si>
  <si>
    <t>CYFB</t>
  </si>
  <si>
    <t>719120.0_CYGX.csv</t>
  </si>
  <si>
    <t>CYGX</t>
  </si>
  <si>
    <t>719150.0_CYZS.csv</t>
  </si>
  <si>
    <t>CYZS</t>
  </si>
  <si>
    <t>719170.0_CWEU.csv</t>
  </si>
  <si>
    <t>CWEU</t>
  </si>
  <si>
    <t>719220.0_CYVC.csv</t>
  </si>
  <si>
    <t>CYVC</t>
  </si>
  <si>
    <t>719240.0_CYRB.csv</t>
  </si>
  <si>
    <t>CYRB</t>
  </si>
  <si>
    <t>719250.0_CYCB.csv</t>
  </si>
  <si>
    <t>CYCB</t>
  </si>
  <si>
    <t>719260.0_CYBK.csv</t>
  </si>
  <si>
    <t>CYBK</t>
  </si>
  <si>
    <t>719340.0_CYSM.csv</t>
  </si>
  <si>
    <t>CYSM</t>
  </si>
  <si>
    <t>719350.0_CYHY.csv</t>
  </si>
  <si>
    <t>CYHY</t>
  </si>
  <si>
    <t>719360.0_CYZF.csv</t>
  </si>
  <si>
    <t>CYZF</t>
  </si>
  <si>
    <t>719380.0_CYCO.csv</t>
  </si>
  <si>
    <t>CYCO</t>
  </si>
  <si>
    <t>719400.0_CYQU.csv</t>
  </si>
  <si>
    <t>CYQU</t>
  </si>
  <si>
    <t>719430.0_CYXJ.csv</t>
  </si>
  <si>
    <t>CYXJ</t>
  </si>
  <si>
    <t>719450.0_CYYE.csv</t>
  </si>
  <si>
    <t>CYYE</t>
  </si>
  <si>
    <t>719460.0_CYFS.csv</t>
  </si>
  <si>
    <t>CYFS</t>
  </si>
  <si>
    <t>719500.0_CYYD.csv</t>
  </si>
  <si>
    <t>CYYD</t>
  </si>
  <si>
    <t>719510.0_CYXT.csv</t>
  </si>
  <si>
    <t>CYXT</t>
  </si>
  <si>
    <t>719530.0_CYQH.csv</t>
  </si>
  <si>
    <t>CYQH</t>
  </si>
  <si>
    <t>YU</t>
  </si>
  <si>
    <t>719570.0_CYEV.csv</t>
  </si>
  <si>
    <t>CYEV</t>
  </si>
  <si>
    <t>719640.0_CYXY.csv</t>
  </si>
  <si>
    <t>CYXY</t>
  </si>
  <si>
    <t>719650.0_CYMA.csv</t>
  </si>
  <si>
    <t>CYMA</t>
  </si>
  <si>
    <t>Province</t>
  </si>
  <si>
    <t>Electricity (kWh/kg-bud) MATLAB OUTPUT</t>
  </si>
  <si>
    <t>NG (MJ/kg-bud) MATLAB OUTPUT</t>
  </si>
  <si>
    <t>carbon (kg CO2-eq/kg-bud) MATLAB OUTPUT</t>
  </si>
  <si>
    <t>for comparison with openLCA output</t>
  </si>
  <si>
    <t>OpenLCA input</t>
  </si>
  <si>
    <t>HPS light fixture</t>
  </si>
  <si>
    <t>HPS light energy</t>
  </si>
  <si>
    <t>electricity, high voltage, production mix | electricity, high voltage | Cutoff, U - CA-XX</t>
  </si>
  <si>
    <t>repaced with iron sulfate</t>
  </si>
  <si>
    <t xml:space="preserve"> Zinc sulfide</t>
  </si>
  <si>
    <t>MgNO3</t>
  </si>
  <si>
    <t>As MgSO4eq</t>
  </si>
  <si>
    <t>%Mg</t>
  </si>
  <si>
    <t>g of MgSO4</t>
  </si>
  <si>
    <t>As NH4NO3</t>
  </si>
  <si>
    <t>%N</t>
  </si>
  <si>
    <t>g of NH4NO3</t>
  </si>
  <si>
    <t>Adjustment for lacking MgNO3 process in OpenLCA</t>
  </si>
  <si>
    <t>Emission/FU</t>
  </si>
  <si>
    <t>g N2O to air (1% total N)</t>
  </si>
  <si>
    <t>g NH4 to air (4% total N)</t>
  </si>
  <si>
    <t>phosphate to water (12% total P)</t>
  </si>
  <si>
    <t>g N-Nitrate to water (1% total N)</t>
  </si>
  <si>
    <t xml:space="preserve"> (IPCC, 2014b)</t>
  </si>
  <si>
    <t>Nemecek &amp; Kagi (2007)</t>
  </si>
  <si>
    <t>Liu et al 2018</t>
  </si>
  <si>
    <t>Hasler et al 2015</t>
  </si>
  <si>
    <t>g-FU</t>
  </si>
  <si>
    <t>g Nox to air (21% of N2O)</t>
  </si>
  <si>
    <t>ammonium nitrate production | ammonium nitrate | Cutoff, U - RNA</t>
  </si>
  <si>
    <t>ammonium sulfate production | ammonium sulfate | Cutoff, U - RER</t>
  </si>
  <si>
    <t>calcium nitrate production | calcium nitrate | Cutoff, U - RoW</t>
  </si>
  <si>
    <t>copper sulfate production | copper sulfate | Cutoff, U - GLO</t>
  </si>
  <si>
    <t>iron sulfate production | iron sulfate | Cutoff, U - RoW</t>
  </si>
  <si>
    <t>magnesium sulfate production | magnesium sulfate | Cutoff, U - RoW</t>
  </si>
  <si>
    <t>borax production, anhydrous, powder | borax, anhydrous, powder | Cutoff, U - RoW</t>
  </si>
  <si>
    <t>manganese sulfate production | manganese sulfate | Cutoff, U - GLO</t>
  </si>
  <si>
    <t>molybdenum production | molybdenum | Cutoff, U - RoW</t>
  </si>
  <si>
    <t>monoammonium phosphate production | monoammonium phosphate | Cutoff, U - RoW</t>
  </si>
  <si>
    <t>market for potassium nitrate, agricultural grade | potassium nitrate, agricultural grade | Cutoff, U - GLO</t>
  </si>
  <si>
    <t>zinc sulfide production | zinc sulfide | Cutoff, U - RoW</t>
  </si>
  <si>
    <t>OpenLCA flows &amp; processes</t>
  </si>
  <si>
    <t>EcoSpold 2 elementary exchange, ID = 87883a4e-1e3e-4c9d-90c0-f1bea36f8014</t>
  </si>
  <si>
    <t>EcoSpold 2 elementary exchange, ID = 20185046-64bb-4c09-a8e7-e8a9e144ca98</t>
  </si>
  <si>
    <t>EcoSpold 2 elementary exchange, ID = 5189de76-6bbb-44ba-8c42-5714f1b4371f</t>
  </si>
  <si>
    <t>UUID d9d14565-ed4d-3ffb-b9e0-a4ebd2031b80</t>
  </si>
  <si>
    <t>EcoSpold 2 elementary exchange, ID = c8791f3c-3c4a-4278-91c0-483797d14da2</t>
  </si>
  <si>
    <t>tap water production, conventional treatment | tap water | Cutoff, U - RoW</t>
  </si>
  <si>
    <t>expanded perlite production | expanded perlite | Cutoff, U - RoW</t>
  </si>
  <si>
    <t>pesticide production, unspecified | pesticide, unspecified | Cutoff, U - RoW</t>
  </si>
  <si>
    <t xml:space="preserve">Pesticide </t>
  </si>
  <si>
    <t>soap production | soap | Cutoff, U - RoW</t>
  </si>
  <si>
    <t>km/FU</t>
  </si>
  <si>
    <t>aluminium alloy production, AlMg3 | aluminium alloy, AlMg3 | Cutoff, U - RoW</t>
  </si>
  <si>
    <t>brass production | brass | Cutoff, U - RoW</t>
  </si>
  <si>
    <t>capacitor production, auxilliaries and energy use | capacitor, auxilliaries and energy use | Cutoff, U - GLO</t>
  </si>
  <si>
    <t>capacitor production, electrolyte type, &gt; 2cm height | capacitor, electrolyte type, &gt; 2cm height | Cutoff, U - GLO</t>
  </si>
  <si>
    <t>injection moulding | injection moulding | Cutoff, U - RoW</t>
  </si>
  <si>
    <t>metal working, average for metal product manufacturing | metal working, average for metal product manufacturing | Cutoff, U - RoW</t>
  </si>
  <si>
    <t>polyvinylchloride production, bulk polymerisation | polyvinylchloride, bulk polymerised | Cutoff, U - RoW</t>
  </si>
  <si>
    <t>sanitary ceramics production | sanitary ceramics | Cutoff, U - RoW</t>
  </si>
  <si>
    <t>steel production, electric, low-alloyed | steel, low-alloyed | Cutoff, U - RoW</t>
  </si>
  <si>
    <t>MatLab Output (kWh NG) tab</t>
  </si>
  <si>
    <t>UUID 7ae371aa-8532-11e0-9d78-0800200c9a66</t>
  </si>
  <si>
    <t>transport, freight train, diesel | transport, freight train | Cutoff, U - RoW</t>
  </si>
  <si>
    <t>values from building plan from Summers (RIGHT)</t>
  </si>
  <si>
    <t>custom, see hps tab</t>
  </si>
  <si>
    <t>soap density</t>
  </si>
  <si>
    <t xml:space="preserve">kg/m^3 </t>
  </si>
  <si>
    <t>Dehumidification Percent Recirculation</t>
  </si>
  <si>
    <t>Annual Bud Yield</t>
  </si>
  <si>
    <t>Percent plants sweat at night (of day)</t>
  </si>
  <si>
    <t>Transportation distance for materials via lorry</t>
  </si>
  <si>
    <t>Transportation distance for materials via truck</t>
  </si>
  <si>
    <t>Transportation distance for materials via passenger car</t>
  </si>
  <si>
    <t>Amount of biommas that is carbon</t>
  </si>
  <si>
    <t>Amount of methane released per input</t>
  </si>
  <si>
    <t>Amount of carbon released per input</t>
  </si>
  <si>
    <t>Transportation distance to landfill</t>
  </si>
  <si>
    <t>Total mass needing transportation to facility</t>
  </si>
  <si>
    <t>Percent of product that is sequestered CO2e</t>
  </si>
  <si>
    <t>Percent of landfill mass that is sequestered CO2e</t>
  </si>
  <si>
    <t>kg waste/yr</t>
  </si>
  <si>
    <t>kg/yr</t>
  </si>
  <si>
    <t>% of grow volume</t>
  </si>
  <si>
    <t>kg-bud/year</t>
  </si>
  <si>
    <t>% of day sweat</t>
  </si>
  <si>
    <t>km</t>
  </si>
  <si>
    <t>% of biomass that is carbon</t>
  </si>
  <si>
    <t>mass CH4 out per mass in</t>
  </si>
  <si>
    <t>mass CO2 out per mass in</t>
  </si>
  <si>
    <t>tonnes/yr</t>
  </si>
  <si>
    <t>mass CO2-eq per mass product</t>
  </si>
  <si>
    <t>% sequestered CO2e</t>
  </si>
  <si>
    <t>From MATLAN INPUT tab (B90-D93)</t>
  </si>
  <si>
    <t>Transport (lorry)</t>
  </si>
  <si>
    <t>t*km (lorry)</t>
  </si>
  <si>
    <t>Growth CO2</t>
  </si>
  <si>
    <t>growth CO2</t>
  </si>
  <si>
    <t>qty</t>
  </si>
  <si>
    <t xml:space="preserve">Output from nutrient solution calculator (Incrocci, 2007), quantities of fertilizer salt to have a concentrated nutrient solution with ppm 140-23-205 N-P-K </t>
  </si>
  <si>
    <t>kg CO2/yr</t>
  </si>
  <si>
    <t>Carbon Dioxide  (Growth CO2)</t>
  </si>
  <si>
    <t>transport, freight, lorry 16-32 metric ton, EURO5 | transport, freight, lorry 16-32 metric ton, EURO5 | Cutoff, U - RoW</t>
  </si>
  <si>
    <t>transport, passenger car with internal combustion engine | transport, passenger car with internal combustion engine | Cutoff, U - RoW</t>
  </si>
  <si>
    <t>Validation use</t>
  </si>
  <si>
    <t>Electricity (CO2)</t>
  </si>
  <si>
    <t>NG (CO2)</t>
  </si>
  <si>
    <t>MJ/FU (4.10 kg CO2/kg NG)</t>
  </si>
  <si>
    <t>heat production, natural gas, at boiler condensing modulating &lt;100kW | heat, central or small-scale, natural gas | Cutoff, U - RoW</t>
  </si>
  <si>
    <t>carbon dioxide production, liquid | carbon dioxide, liquid | Cutoff, U - RoW</t>
  </si>
  <si>
    <t>co2-kwh</t>
  </si>
  <si>
    <t>Landfill CO2 emission</t>
  </si>
  <si>
    <t>Landfill CH4 emission</t>
  </si>
  <si>
    <t>Neem oil</t>
  </si>
  <si>
    <t>l/plant-cycle</t>
  </si>
  <si>
    <t>Google Dawn Dish soap</t>
  </si>
  <si>
    <t>Google</t>
  </si>
  <si>
    <t>vegetable oil density</t>
  </si>
  <si>
    <t>Neem oil (vegetable oil)</t>
  </si>
  <si>
    <t>soybean oil, refined, to generic market for vegetable oil, refined | vegetable oil, refined | Cutoff, U - GLO</t>
  </si>
  <si>
    <t>UUID 20408dd1-8534-11e0-9d78-0800200c9a66</t>
  </si>
  <si>
    <t>QC??</t>
  </si>
  <si>
    <t>717140.0_CWQB.csv</t>
  </si>
  <si>
    <t>CWQB</t>
  </si>
  <si>
    <t>Coco coir</t>
  </si>
  <si>
    <t>Coco coir density</t>
  </si>
  <si>
    <t>peat moss production, horticultural use | peat moss | Cutoff, S</t>
  </si>
  <si>
    <t>Peat moss as soil</t>
  </si>
  <si>
    <t>From Fertilizer indoor</t>
  </si>
  <si>
    <t>Data from MATLAB code output were transformed and validated using formulas in "1. Matlab output validation.xlsx" then average province values were calculated using "2. Matlab OpenLCA Figures worksheet"</t>
  </si>
  <si>
    <t>kWh total minus light (1376.98)</t>
  </si>
  <si>
    <t>NG (kg NG/kg-bud) MATLAB OUTPUT</t>
  </si>
  <si>
    <t>average</t>
  </si>
  <si>
    <t>ft2=</t>
  </si>
  <si>
    <t>m2</t>
  </si>
  <si>
    <t>Desaulniers Brousseau 2023, Other Manuscript</t>
  </si>
  <si>
    <t>cv %</t>
  </si>
  <si>
    <t>Electrical energy input minus lighting</t>
  </si>
  <si>
    <t>Condensed categories</t>
  </si>
  <si>
    <t>OpenLCA output</t>
  </si>
  <si>
    <t>MATLAB output</t>
  </si>
  <si>
    <t>% Difference</t>
  </si>
  <si>
    <t>Difference</t>
  </si>
  <si>
    <t>OpenLCA CO2 condensed cat</t>
  </si>
  <si>
    <t>MB MATLAB</t>
  </si>
  <si>
    <t>NB MATLAB</t>
  </si>
  <si>
    <t>HVAC Heating and Cooling</t>
  </si>
  <si>
    <t>HVAC Humidity Management</t>
  </si>
  <si>
    <t>Grow Lights</t>
  </si>
  <si>
    <t>Transportation</t>
  </si>
  <si>
    <t>Waste</t>
  </si>
  <si>
    <t>Sequestered CO2</t>
  </si>
  <si>
    <t>Other</t>
  </si>
  <si>
    <t>Fans</t>
  </si>
  <si>
    <t>Soil</t>
  </si>
  <si>
    <t>Water</t>
  </si>
  <si>
    <t>Nutrients</t>
  </si>
  <si>
    <t>Plant Protection</t>
  </si>
  <si>
    <t>Suppl. Air Conditioner</t>
  </si>
  <si>
    <t>Suppl. Heater</t>
  </si>
  <si>
    <t>Net GHGs</t>
  </si>
  <si>
    <t>NL MATLAB</t>
  </si>
  <si>
    <t>NS MATLAB</t>
  </si>
  <si>
    <t>ON MATLAB</t>
  </si>
  <si>
    <t>PE MATLAB</t>
  </si>
  <si>
    <t>QC MATLAB</t>
  </si>
  <si>
    <t>Table S2. Percent difference between condensed categories GWP of the OpenLCA model output versus the MATLAB model output</t>
  </si>
  <si>
    <t>Table S1. Input quantity per functionnal unit (FU) for indoor and outdoor model) See workbook for calculation details</t>
  </si>
  <si>
    <t>potassium nitrate production, agricultural grade | potassium nitrate, agricultural grade | Cutoff, U - CL</t>
  </si>
  <si>
    <t>Hasler, K., Bröring, S., Omta, S.W.F., Olfs, H.W., 2015. Life cycle assessment (LCA) of different fertilizer product types. Eur. J. Agron. 69, 41–51. https://doi.org/10.1016/j.eja.2015.06.001</t>
  </si>
  <si>
    <t>IPCC, 2014. Climate Change 2014: Synthesis Report, Contribution of Working Groups I, II and III to the Fifth Assessment Report of the Intergovernmental Panel on Climate Change. Geneva, Switzerland. https://doi.org/10.1016/S0022-0248(00)00575-3</t>
  </si>
  <si>
    <t>Liu, W., Yang, H., Ciais, P., Stamm, C., Zhao, X., Williams, J.R., Abbaspour, K.C., Schulin, R., 2018. Integrative Crop-Soil-Management Modeling to Assess Global Phosphorus Losses from Major Crop Cultivations. Global Biogeochem. Cycles 32, 1074–1086. https://doi.org/10.1029/2017GB005849</t>
  </si>
  <si>
    <t>Nemecek, T., Kägi, T., 2007. Life Cycle Inventories of Agricultural Production Systems, Ecoinvent report No. 15. Zurich and Dübendorf.</t>
  </si>
  <si>
    <t>Wilson, H., Bodwitch, H., Carah, J., Daane, K., Getz, C., Grantham, T.E., Van Butsic, 2019. First known survey of cannabis production practices in California. Calif. Agric. 73, 119–127. https://doi.org/10.3733/ca.2019a0015</t>
  </si>
  <si>
    <t>REF</t>
  </si>
  <si>
    <t>Outdoor yield in Canada from industry communication</t>
  </si>
  <si>
    <t>see "Validation_Canadian Values sheet" cell array R107:R205 in workbook "1. Matlab output validation.xlsx"</t>
  </si>
  <si>
    <t>landfill waste</t>
  </si>
  <si>
    <t>Landfill waste</t>
  </si>
  <si>
    <t>Landfill waste (sum)</t>
  </si>
  <si>
    <t>12% of BC average MatLab Output (kWh NG) tab</t>
  </si>
  <si>
    <t>Outdoor Electricity</t>
  </si>
  <si>
    <t>Outdoor NG</t>
  </si>
  <si>
    <t>kWh light indoor/kg FU</t>
  </si>
  <si>
    <t>outdoor electricity - light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</si>
</sst>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_(* #,##0.00_);_(* \(#,##0.00\);_(* &quot;-&quot;??_);_(@_)"/>
    <numFmt numFmtId="165" formatCode="#,##0.00_ ;\-#,##0.00\ "/>
    <numFmt numFmtId="166" formatCode="0.0"/>
    <numFmt numFmtId="167" formatCode="0.000000"/>
    <numFmt numFmtId="168" formatCode="_(* #,##0.00000000_);_(* \(#,##0.00000000\);_(* &quot;-&quot;??_);_(@_)"/>
    <numFmt numFmtId="169" formatCode="_(* #,##0.000000000_);_(* \(#,##0.000000000\);_(* &quot;-&quot;??_);_(@_)"/>
    <numFmt numFmtId="170" formatCode="0.000000000"/>
    <numFmt numFmtId="171" formatCode="0.000"/>
    <numFmt numFmtId="172" formatCode="_(* #,##0.0000_);_(* \(#,##0.0000\);_(* &quot;-&quot;??_);_(@_)"/>
    <numFmt numFmtId="173" formatCode="_(* #,##0.00000_);_(* \(#,##0.00000\);_(* &quot;-&quot;??_);_(@_)"/>
    <numFmt numFmtId="174" formatCode="_(* #,##0.0000000_);_(* \(#,##0.0000000\);_(* &quot;-&quot;??_);_(@_)"/>
    <numFmt numFmtId="175" formatCode="0.0000000"/>
  </numFmts>
  <fonts count="2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000000"/>
      <name val="Manrope"/>
    </font>
    <font>
      <sz val="12"/>
      <color rgb="FF000000"/>
      <name val="Manrope"/>
    </font>
    <font>
      <b/>
      <sz val="14"/>
      <name val="Arial"/>
      <family val="2"/>
    </font>
    <font>
      <b/>
      <vertAlign val="subscript"/>
      <sz val="14"/>
      <name val="Arial"/>
      <family val="2"/>
    </font>
    <font>
      <b/>
      <sz val="15"/>
      <name val="Arial"/>
      <family val="2"/>
    </font>
    <font>
      <b/>
      <i/>
      <sz val="14"/>
      <name val="Arial"/>
      <family val="2"/>
    </font>
    <font>
      <b/>
      <sz val="16"/>
      <name val="Arial"/>
      <family val="2"/>
    </font>
    <font>
      <sz val="14"/>
      <name val="Arial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2"/>
      <color rgb="FF000000"/>
      <name val="Times New Roman"/>
      <family val="1"/>
    </font>
    <font>
      <u/>
      <sz val="12"/>
      <color theme="1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</font>
    <font>
      <b/>
      <sz val="12"/>
      <name val="Helv"/>
    </font>
    <font>
      <sz val="8"/>
      <name val="Helv"/>
    </font>
    <font>
      <b/>
      <sz val="18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4D264"/>
        <bgColor indexed="64"/>
      </patternFill>
    </fill>
    <fill>
      <patternFill patternType="solid">
        <fgColor rgb="FFF7F1DA"/>
        <bgColor indexed="64"/>
      </patternFill>
    </fill>
    <fill>
      <patternFill patternType="solid">
        <fgColor rgb="FFFBEDC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36">
    <border>
      <left/>
      <right/>
      <top/>
      <bottom/>
      <diagonal/>
    </border>
    <border>
      <left style="thin">
        <color rgb="FF9E9E9E"/>
      </left>
      <right style="thin">
        <color rgb="FF9E9E9E"/>
      </right>
      <top style="thin">
        <color rgb="FF9E9E9E"/>
      </top>
      <bottom style="thin">
        <color rgb="FF9E9E9E"/>
      </bottom>
      <diagonal/>
    </border>
    <border>
      <left/>
      <right/>
      <top style="thin">
        <color rgb="FF9E9E9E"/>
      </top>
      <bottom style="thin">
        <color rgb="FF9E9E9E"/>
      </bottom>
      <diagonal/>
    </border>
    <border>
      <left style="thin">
        <color rgb="FF9E9E9E"/>
      </left>
      <right/>
      <top style="thin">
        <color rgb="FF9E9E9E"/>
      </top>
      <bottom style="thin">
        <color rgb="FF9E9E9E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9E9E9E"/>
      </left>
      <right style="thin">
        <color rgb="FF9E9E9E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9E9E9E"/>
      </bottom>
      <diagonal/>
    </border>
    <border>
      <left/>
      <right style="thin">
        <color rgb="FF9E9E9E"/>
      </right>
      <top/>
      <bottom style="thin">
        <color rgb="FF9E9E9E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0">
    <xf numFmtId="0" fontId="0" fillId="0" borderId="0"/>
    <xf numFmtId="9" fontId="11" fillId="0" borderId="0" applyFont="0" applyFill="0" applyBorder="0" applyAlignment="0" applyProtection="0"/>
    <xf numFmtId="0" fontId="12" fillId="0" borderId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2" fillId="0" borderId="0"/>
    <xf numFmtId="0" fontId="17" fillId="0" borderId="0">
      <alignment horizontal="left"/>
    </xf>
    <xf numFmtId="0" fontId="18" fillId="0" borderId="0">
      <alignment horizontal="left"/>
    </xf>
    <xf numFmtId="0" fontId="11" fillId="0" borderId="0"/>
    <xf numFmtId="0" fontId="16" fillId="0" borderId="0"/>
  </cellStyleXfs>
  <cellXfs count="199">
    <xf numFmtId="0" fontId="0" fillId="0" borderId="0" xfId="0"/>
    <xf numFmtId="0" fontId="0" fillId="0" borderId="0" xfId="0" applyAlignment="1">
      <alignment vertical="center"/>
    </xf>
    <xf numFmtId="0" fontId="3" fillId="3" borderId="1" xfId="0" applyFont="1" applyFill="1" applyBorder="1" applyAlignment="1">
      <alignment horizontal="center" readingOrder="1"/>
    </xf>
    <xf numFmtId="0" fontId="3" fillId="3" borderId="3" xfId="0" applyFont="1" applyFill="1" applyBorder="1" applyAlignment="1">
      <alignment horizontal="center" readingOrder="1"/>
    </xf>
    <xf numFmtId="0" fontId="3" fillId="3" borderId="2" xfId="0" applyFont="1" applyFill="1" applyBorder="1" applyAlignment="1">
      <alignment horizontal="center" readingOrder="1"/>
    </xf>
    <xf numFmtId="0" fontId="3" fillId="3" borderId="0" xfId="0" applyFont="1" applyFill="1" applyAlignment="1">
      <alignment horizontal="center" readingOrder="1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3" fillId="4" borderId="7" xfId="0" applyFont="1" applyFill="1" applyBorder="1" applyAlignment="1">
      <alignment horizontal="center" vertical="center" wrapText="1" readingOrder="1"/>
    </xf>
    <xf numFmtId="0" fontId="0" fillId="0" borderId="8" xfId="0" applyBorder="1"/>
    <xf numFmtId="0" fontId="0" fillId="0" borderId="9" xfId="0" applyBorder="1"/>
    <xf numFmtId="0" fontId="2" fillId="2" borderId="10" xfId="0" applyFont="1" applyFill="1" applyBorder="1" applyAlignment="1">
      <alignment horizontal="center" vertical="center" wrapText="1" readingOrder="1"/>
    </xf>
    <xf numFmtId="0" fontId="0" fillId="0" borderId="11" xfId="0" applyBorder="1"/>
    <xf numFmtId="0" fontId="3" fillId="4" borderId="10" xfId="0" applyFont="1" applyFill="1" applyBorder="1" applyAlignment="1">
      <alignment horizontal="center" vertical="center" wrapText="1" readingOrder="1"/>
    </xf>
    <xf numFmtId="0" fontId="0" fillId="0" borderId="11" xfId="0" applyBorder="1" applyAlignment="1">
      <alignment wrapText="1"/>
    </xf>
    <xf numFmtId="0" fontId="0" fillId="0" borderId="12" xfId="0" applyBorder="1"/>
    <xf numFmtId="0" fontId="4" fillId="5" borderId="11" xfId="0" applyFont="1" applyFill="1" applyBorder="1" applyAlignment="1" applyProtection="1">
      <alignment horizontal="center" shrinkToFit="1"/>
      <protection hidden="1"/>
    </xf>
    <xf numFmtId="0" fontId="4" fillId="5" borderId="12" xfId="0" applyFont="1" applyFill="1" applyBorder="1" applyAlignment="1" applyProtection="1">
      <alignment horizontal="center" shrinkToFit="1"/>
      <protection hidden="1"/>
    </xf>
    <xf numFmtId="0" fontId="4" fillId="5" borderId="4" xfId="0" applyFont="1" applyFill="1" applyBorder="1" applyAlignment="1" applyProtection="1">
      <alignment horizontal="center" shrinkToFit="1"/>
      <protection hidden="1"/>
    </xf>
    <xf numFmtId="0" fontId="4" fillId="5" borderId="0" xfId="0" applyFont="1" applyFill="1" applyAlignment="1">
      <alignment horizontal="center"/>
    </xf>
    <xf numFmtId="0" fontId="4" fillId="5" borderId="0" xfId="0" applyFont="1" applyFill="1" applyAlignment="1" applyProtection="1">
      <alignment horizontal="center" shrinkToFit="1"/>
      <protection hidden="1"/>
    </xf>
    <xf numFmtId="0" fontId="4" fillId="5" borderId="5" xfId="0" applyFont="1" applyFill="1" applyBorder="1" applyAlignment="1" applyProtection="1">
      <alignment horizontal="center" shrinkToFit="1"/>
      <protection hidden="1"/>
    </xf>
    <xf numFmtId="2" fontId="6" fillId="6" borderId="4" xfId="0" applyNumberFormat="1" applyFont="1" applyFill="1" applyBorder="1" applyAlignment="1">
      <alignment horizontal="center" shrinkToFit="1"/>
    </xf>
    <xf numFmtId="165" fontId="4" fillId="5" borderId="0" xfId="0" applyNumberFormat="1" applyFont="1" applyFill="1" applyAlignment="1" applyProtection="1">
      <alignment horizontal="center" shrinkToFit="1"/>
      <protection hidden="1"/>
    </xf>
    <xf numFmtId="166" fontId="4" fillId="5" borderId="0" xfId="0" applyNumberFormat="1" applyFont="1" applyFill="1" applyAlignment="1" applyProtection="1">
      <alignment horizontal="center" shrinkToFit="1"/>
      <protection hidden="1"/>
    </xf>
    <xf numFmtId="166" fontId="4" fillId="5" borderId="5" xfId="0" applyNumberFormat="1" applyFont="1" applyFill="1" applyBorder="1" applyAlignment="1" applyProtection="1">
      <alignment horizontal="center" shrinkToFit="1"/>
      <protection hidden="1"/>
    </xf>
    <xf numFmtId="0" fontId="7" fillId="5" borderId="6" xfId="0" applyFont="1" applyFill="1" applyBorder="1" applyAlignment="1" applyProtection="1">
      <alignment horizontal="center" shrinkToFit="1"/>
      <protection hidden="1"/>
    </xf>
    <xf numFmtId="0" fontId="7" fillId="5" borderId="7" xfId="0" applyFont="1" applyFill="1" applyBorder="1"/>
    <xf numFmtId="166" fontId="7" fillId="5" borderId="7" xfId="0" applyNumberFormat="1" applyFont="1" applyFill="1" applyBorder="1" applyAlignment="1" applyProtection="1">
      <alignment horizontal="center" shrinkToFit="1"/>
      <protection hidden="1"/>
    </xf>
    <xf numFmtId="2" fontId="7" fillId="5" borderId="7" xfId="0" applyNumberFormat="1" applyFont="1" applyFill="1" applyBorder="1" applyAlignment="1" applyProtection="1">
      <alignment horizontal="center" shrinkToFit="1"/>
      <protection hidden="1"/>
    </xf>
    <xf numFmtId="2" fontId="7" fillId="5" borderId="8" xfId="0" applyNumberFormat="1" applyFont="1" applyFill="1" applyBorder="1" applyAlignment="1" applyProtection="1">
      <alignment horizontal="center" shrinkToFit="1"/>
      <protection hidden="1"/>
    </xf>
    <xf numFmtId="0" fontId="9" fillId="5" borderId="0" xfId="0" applyFont="1" applyFill="1" applyAlignment="1" applyProtection="1">
      <alignment shrinkToFit="1"/>
      <protection hidden="1"/>
    </xf>
    <xf numFmtId="164" fontId="0" fillId="0" borderId="0" xfId="0" applyNumberFormat="1"/>
    <xf numFmtId="1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0" fontId="8" fillId="5" borderId="11" xfId="0" applyFont="1" applyFill="1" applyBorder="1" applyAlignment="1" applyProtection="1">
      <alignment shrinkToFit="1"/>
      <protection hidden="1"/>
    </xf>
    <xf numFmtId="0" fontId="8" fillId="5" borderId="0" xfId="0" applyFont="1" applyFill="1" applyAlignment="1" applyProtection="1">
      <alignment shrinkToFit="1"/>
      <protection hidden="1"/>
    </xf>
    <xf numFmtId="0" fontId="0" fillId="0" borderId="13" xfId="0" applyBorder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0" fillId="0" borderId="0" xfId="0" applyFont="1" applyAlignment="1">
      <alignment horizontal="left" readingOrder="1"/>
    </xf>
    <xf numFmtId="0" fontId="0" fillId="0" borderId="0" xfId="0" applyAlignment="1">
      <alignment horizontal="right" vertical="center"/>
    </xf>
    <xf numFmtId="0" fontId="10" fillId="0" borderId="0" xfId="0" applyFont="1" applyAlignment="1">
      <alignment horizontal="right" vertical="center" readingOrder="1"/>
    </xf>
    <xf numFmtId="0" fontId="1" fillId="0" borderId="14" xfId="0" applyFont="1" applyBorder="1"/>
    <xf numFmtId="0" fontId="1" fillId="0" borderId="15" xfId="0" applyFont="1" applyBorder="1"/>
    <xf numFmtId="0" fontId="1" fillId="0" borderId="0" xfId="0" applyFont="1"/>
    <xf numFmtId="0" fontId="1" fillId="0" borderId="16" xfId="0" applyFont="1" applyBorder="1"/>
    <xf numFmtId="0" fontId="1" fillId="0" borderId="11" xfId="0" applyFont="1" applyBorder="1"/>
    <xf numFmtId="0" fontId="1" fillId="0" borderId="12" xfId="0" applyFont="1" applyBorder="1"/>
    <xf numFmtId="0" fontId="0" fillId="0" borderId="0" xfId="0" applyAlignment="1">
      <alignment horizontal="left" vertical="center" indent="3"/>
    </xf>
    <xf numFmtId="2" fontId="0" fillId="0" borderId="13" xfId="0" applyNumberFormat="1" applyBorder="1"/>
    <xf numFmtId="0" fontId="0" fillId="7" borderId="0" xfId="0" applyFill="1"/>
    <xf numFmtId="1" fontId="0" fillId="7" borderId="0" xfId="0" applyNumberFormat="1" applyFill="1"/>
    <xf numFmtId="0" fontId="0" fillId="0" borderId="19" xfId="0" applyBorder="1"/>
    <xf numFmtId="0" fontId="0" fillId="0" borderId="20" xfId="0" applyBorder="1"/>
    <xf numFmtId="171" fontId="0" fillId="0" borderId="13" xfId="0" applyNumberFormat="1" applyBorder="1"/>
    <xf numFmtId="171" fontId="0" fillId="0" borderId="13" xfId="0" applyNumberFormat="1" applyBorder="1" applyAlignment="1">
      <alignment vertical="center"/>
    </xf>
    <xf numFmtId="0" fontId="0" fillId="7" borderId="13" xfId="0" applyFill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24" xfId="0" applyBorder="1"/>
    <xf numFmtId="9" fontId="1" fillId="0" borderId="25" xfId="1" applyFont="1" applyBorder="1"/>
    <xf numFmtId="0" fontId="0" fillId="0" borderId="26" xfId="0" applyBorder="1"/>
    <xf numFmtId="0" fontId="0" fillId="0" borderId="27" xfId="0" applyBorder="1"/>
    <xf numFmtId="9" fontId="1" fillId="0" borderId="28" xfId="1" applyFont="1" applyBorder="1"/>
    <xf numFmtId="0" fontId="1" fillId="0" borderId="21" xfId="0" applyFont="1" applyBorder="1"/>
    <xf numFmtId="0" fontId="1" fillId="0" borderId="22" xfId="0" applyFont="1" applyBorder="1"/>
    <xf numFmtId="0" fontId="1" fillId="0" borderId="23" xfId="0" applyFont="1" applyBorder="1"/>
    <xf numFmtId="0" fontId="3" fillId="4" borderId="0" xfId="0" applyFont="1" applyFill="1" applyAlignment="1">
      <alignment horizontal="center" vertical="center" wrapText="1" readingOrder="1"/>
    </xf>
    <xf numFmtId="0" fontId="0" fillId="0" borderId="9" xfId="0" applyBorder="1" applyAlignment="1">
      <alignment wrapText="1"/>
    </xf>
    <xf numFmtId="0" fontId="0" fillId="0" borderId="19" xfId="0" applyBorder="1" applyAlignment="1">
      <alignment vertical="center"/>
    </xf>
    <xf numFmtId="0" fontId="12" fillId="0" borderId="13" xfId="2" applyBorder="1" applyAlignment="1">
      <alignment horizontal="left"/>
    </xf>
    <xf numFmtId="0" fontId="0" fillId="0" borderId="11" xfId="0" applyBorder="1" applyAlignment="1">
      <alignment horizontal="center" vertical="center" wrapText="1"/>
    </xf>
    <xf numFmtId="0" fontId="0" fillId="0" borderId="11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7" xfId="0" applyBorder="1" applyAlignment="1">
      <alignment horizontal="center" wrapText="1"/>
    </xf>
    <xf numFmtId="0" fontId="0" fillId="0" borderId="8" xfId="0" applyBorder="1" applyAlignment="1">
      <alignment horizontal="center" wrapText="1"/>
    </xf>
    <xf numFmtId="0" fontId="0" fillId="0" borderId="0" xfId="0" applyAlignment="1">
      <alignment wrapText="1"/>
    </xf>
    <xf numFmtId="0" fontId="0" fillId="0" borderId="7" xfId="0" applyBorder="1" applyAlignment="1">
      <alignment wrapText="1"/>
    </xf>
    <xf numFmtId="0" fontId="0" fillId="7" borderId="21" xfId="0" applyFill="1" applyBorder="1"/>
    <xf numFmtId="0" fontId="0" fillId="7" borderId="24" xfId="0" applyFill="1" applyBorder="1"/>
    <xf numFmtId="0" fontId="0" fillId="7" borderId="26" xfId="0" applyFill="1" applyBorder="1"/>
    <xf numFmtId="0" fontId="13" fillId="0" borderId="0" xfId="0" applyFont="1"/>
    <xf numFmtId="0" fontId="14" fillId="0" borderId="0" xfId="3" applyAlignment="1"/>
    <xf numFmtId="0" fontId="0" fillId="0" borderId="4" xfId="0" applyBorder="1" applyAlignment="1">
      <alignment wrapText="1"/>
    </xf>
    <xf numFmtId="0" fontId="0" fillId="0" borderId="17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10" fillId="8" borderId="0" xfId="0" applyFont="1" applyFill="1" applyAlignment="1">
      <alignment horizontal="right" vertical="center" readingOrder="1"/>
    </xf>
    <xf numFmtId="0" fontId="0" fillId="8" borderId="0" xfId="0" applyFill="1"/>
    <xf numFmtId="0" fontId="0" fillId="8" borderId="0" xfId="0" applyFill="1" applyAlignment="1">
      <alignment horizontal="right" vertical="center"/>
    </xf>
    <xf numFmtId="11" fontId="0" fillId="0" borderId="13" xfId="0" applyNumberFormat="1" applyBorder="1"/>
    <xf numFmtId="9" fontId="0" fillId="0" borderId="13" xfId="1" applyFont="1" applyBorder="1"/>
    <xf numFmtId="2" fontId="0" fillId="0" borderId="13" xfId="1" applyNumberFormat="1" applyFont="1" applyBorder="1"/>
    <xf numFmtId="9" fontId="0" fillId="0" borderId="13" xfId="1" applyFont="1" applyFill="1" applyBorder="1"/>
    <xf numFmtId="10" fontId="0" fillId="0" borderId="13" xfId="1" applyNumberFormat="1" applyFont="1" applyBorder="1"/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0" xfId="0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0" fillId="0" borderId="4" xfId="0" applyBorder="1" applyAlignment="1">
      <alignment horizontal="left" vertical="center"/>
    </xf>
    <xf numFmtId="168" fontId="0" fillId="0" borderId="0" xfId="0" applyNumberFormat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3" fillId="3" borderId="1" xfId="0" applyFont="1" applyFill="1" applyBorder="1" applyAlignment="1">
      <alignment horizontal="left" vertical="center" readingOrder="1"/>
    </xf>
    <xf numFmtId="0" fontId="3" fillId="3" borderId="3" xfId="0" applyFont="1" applyFill="1" applyBorder="1" applyAlignment="1">
      <alignment horizontal="left" vertical="center" readingOrder="1"/>
    </xf>
    <xf numFmtId="0" fontId="3" fillId="3" borderId="2" xfId="0" applyFont="1" applyFill="1" applyBorder="1" applyAlignment="1">
      <alignment horizontal="left" vertical="center" readingOrder="1"/>
    </xf>
    <xf numFmtId="0" fontId="3" fillId="3" borderId="0" xfId="0" applyFont="1" applyFill="1" applyAlignment="1">
      <alignment horizontal="left" vertical="center" readingOrder="1"/>
    </xf>
    <xf numFmtId="174" fontId="0" fillId="0" borderId="0" xfId="0" applyNumberFormat="1" applyAlignment="1">
      <alignment horizontal="left" vertical="center"/>
    </xf>
    <xf numFmtId="0" fontId="0" fillId="0" borderId="9" xfId="0" applyBorder="1" applyAlignment="1">
      <alignment horizontal="left" vertical="center" wrapText="1"/>
    </xf>
    <xf numFmtId="0" fontId="2" fillId="2" borderId="10" xfId="0" applyFont="1" applyFill="1" applyBorder="1" applyAlignment="1">
      <alignment horizontal="left" vertical="center" wrapText="1" readingOrder="1"/>
    </xf>
    <xf numFmtId="0" fontId="3" fillId="4" borderId="10" xfId="0" applyFont="1" applyFill="1" applyBorder="1" applyAlignment="1">
      <alignment horizontal="left" vertical="center" wrapText="1" readingOrder="1"/>
    </xf>
    <xf numFmtId="0" fontId="0" fillId="0" borderId="11" xfId="0" applyBorder="1" applyAlignment="1">
      <alignment horizontal="left" vertical="center" wrapText="1"/>
    </xf>
    <xf numFmtId="0" fontId="3" fillId="4" borderId="0" xfId="0" applyFont="1" applyFill="1" applyAlignment="1">
      <alignment horizontal="left" vertical="center" wrapText="1" readingOrder="1"/>
    </xf>
    <xf numFmtId="0" fontId="0" fillId="0" borderId="6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3" fillId="4" borderId="7" xfId="0" applyFont="1" applyFill="1" applyBorder="1" applyAlignment="1">
      <alignment horizontal="left" vertical="center" wrapText="1" readingOrder="1"/>
    </xf>
    <xf numFmtId="0" fontId="0" fillId="0" borderId="8" xfId="0" applyBorder="1" applyAlignment="1">
      <alignment horizontal="left" vertical="center"/>
    </xf>
    <xf numFmtId="0" fontId="0" fillId="7" borderId="21" xfId="0" applyFill="1" applyBorder="1" applyAlignment="1">
      <alignment horizontal="left" vertical="center"/>
    </xf>
    <xf numFmtId="0" fontId="13" fillId="0" borderId="0" xfId="0" applyFont="1" applyAlignment="1">
      <alignment horizontal="left" vertical="center"/>
    </xf>
    <xf numFmtId="173" fontId="0" fillId="0" borderId="0" xfId="0" applyNumberFormat="1" applyAlignment="1">
      <alignment horizontal="left" vertical="center"/>
    </xf>
    <xf numFmtId="172" fontId="0" fillId="0" borderId="0" xfId="0" applyNumberFormat="1" applyAlignment="1">
      <alignment horizontal="left" vertical="center"/>
    </xf>
    <xf numFmtId="173" fontId="0" fillId="0" borderId="5" xfId="0" applyNumberFormat="1" applyBorder="1" applyAlignment="1">
      <alignment horizontal="left" vertical="center"/>
    </xf>
    <xf numFmtId="0" fontId="0" fillId="7" borderId="24" xfId="0" applyFill="1" applyBorder="1" applyAlignment="1">
      <alignment horizontal="left" vertical="center"/>
    </xf>
    <xf numFmtId="164" fontId="0" fillId="0" borderId="0" xfId="0" applyNumberFormat="1" applyAlignment="1">
      <alignment horizontal="left" vertical="center"/>
    </xf>
    <xf numFmtId="0" fontId="14" fillId="0" borderId="0" xfId="3" applyBorder="1" applyAlignment="1">
      <alignment horizontal="left" vertical="center"/>
    </xf>
    <xf numFmtId="0" fontId="0" fillId="7" borderId="26" xfId="0" applyFill="1" applyBorder="1" applyAlignment="1">
      <alignment horizontal="left" vertical="center"/>
    </xf>
    <xf numFmtId="0" fontId="4" fillId="5" borderId="11" xfId="0" applyFont="1" applyFill="1" applyBorder="1" applyAlignment="1" applyProtection="1">
      <alignment horizontal="left" vertical="center" shrinkToFit="1"/>
      <protection hidden="1"/>
    </xf>
    <xf numFmtId="0" fontId="4" fillId="5" borderId="12" xfId="0" applyFont="1" applyFill="1" applyBorder="1" applyAlignment="1" applyProtection="1">
      <alignment horizontal="left" vertical="center" shrinkToFit="1"/>
      <protection hidden="1"/>
    </xf>
    <xf numFmtId="0" fontId="4" fillId="5" borderId="4" xfId="0" applyFont="1" applyFill="1" applyBorder="1" applyAlignment="1" applyProtection="1">
      <alignment horizontal="left" vertical="center" shrinkToFit="1"/>
      <protection hidden="1"/>
    </xf>
    <xf numFmtId="0" fontId="4" fillId="5" borderId="0" xfId="0" applyFont="1" applyFill="1" applyAlignment="1">
      <alignment horizontal="left" vertical="center"/>
    </xf>
    <xf numFmtId="0" fontId="4" fillId="5" borderId="0" xfId="0" applyFont="1" applyFill="1" applyAlignment="1" applyProtection="1">
      <alignment horizontal="left" vertical="center" shrinkToFit="1"/>
      <protection hidden="1"/>
    </xf>
    <xf numFmtId="0" fontId="4" fillId="5" borderId="5" xfId="0" applyFont="1" applyFill="1" applyBorder="1" applyAlignment="1" applyProtection="1">
      <alignment horizontal="left" vertical="center" shrinkToFit="1"/>
      <protection hidden="1"/>
    </xf>
    <xf numFmtId="2" fontId="6" fillId="6" borderId="4" xfId="0" applyNumberFormat="1" applyFont="1" applyFill="1" applyBorder="1" applyAlignment="1">
      <alignment horizontal="left" vertical="center" shrinkToFit="1"/>
    </xf>
    <xf numFmtId="165" fontId="4" fillId="5" borderId="0" xfId="0" applyNumberFormat="1" applyFont="1" applyFill="1" applyAlignment="1" applyProtection="1">
      <alignment horizontal="left" vertical="center" shrinkToFit="1"/>
      <protection hidden="1"/>
    </xf>
    <xf numFmtId="166" fontId="4" fillId="5" borderId="0" xfId="0" applyNumberFormat="1" applyFont="1" applyFill="1" applyAlignment="1" applyProtection="1">
      <alignment horizontal="left" vertical="center" shrinkToFit="1"/>
      <protection hidden="1"/>
    </xf>
    <xf numFmtId="166" fontId="4" fillId="5" borderId="5" xfId="0" applyNumberFormat="1" applyFont="1" applyFill="1" applyBorder="1" applyAlignment="1" applyProtection="1">
      <alignment horizontal="left" vertical="center" shrinkToFit="1"/>
      <protection hidden="1"/>
    </xf>
    <xf numFmtId="0" fontId="7" fillId="5" borderId="6" xfId="0" applyFont="1" applyFill="1" applyBorder="1" applyAlignment="1" applyProtection="1">
      <alignment horizontal="left" vertical="center" shrinkToFit="1"/>
      <protection hidden="1"/>
    </xf>
    <xf numFmtId="0" fontId="7" fillId="5" borderId="7" xfId="0" applyFont="1" applyFill="1" applyBorder="1" applyAlignment="1">
      <alignment horizontal="left" vertical="center"/>
    </xf>
    <xf numFmtId="166" fontId="7" fillId="5" borderId="7" xfId="0" applyNumberFormat="1" applyFont="1" applyFill="1" applyBorder="1" applyAlignment="1" applyProtection="1">
      <alignment horizontal="left" vertical="center" shrinkToFit="1"/>
      <protection hidden="1"/>
    </xf>
    <xf numFmtId="2" fontId="7" fillId="5" borderId="7" xfId="0" applyNumberFormat="1" applyFont="1" applyFill="1" applyBorder="1" applyAlignment="1" applyProtection="1">
      <alignment horizontal="left" vertical="center" shrinkToFit="1"/>
      <protection hidden="1"/>
    </xf>
    <xf numFmtId="2" fontId="7" fillId="5" borderId="8" xfId="0" applyNumberFormat="1" applyFont="1" applyFill="1" applyBorder="1" applyAlignment="1" applyProtection="1">
      <alignment horizontal="left" vertical="center" shrinkToFit="1"/>
      <protection hidden="1"/>
    </xf>
    <xf numFmtId="0" fontId="8" fillId="5" borderId="11" xfId="0" applyFont="1" applyFill="1" applyBorder="1" applyAlignment="1" applyProtection="1">
      <alignment horizontal="left" vertical="center" shrinkToFit="1"/>
      <protection hidden="1"/>
    </xf>
    <xf numFmtId="0" fontId="8" fillId="5" borderId="0" xfId="0" applyFont="1" applyFill="1" applyAlignment="1" applyProtection="1">
      <alignment horizontal="left" vertical="center" shrinkToFit="1"/>
      <protection hidden="1"/>
    </xf>
    <xf numFmtId="0" fontId="9" fillId="5" borderId="0" xfId="0" applyFont="1" applyFill="1" applyAlignment="1" applyProtection="1">
      <alignment horizontal="left" vertical="center" shrinkToFit="1"/>
      <protection hidden="1"/>
    </xf>
    <xf numFmtId="167" fontId="0" fillId="0" borderId="0" xfId="0" applyNumberFormat="1" applyAlignment="1">
      <alignment horizontal="left" vertical="center"/>
    </xf>
    <xf numFmtId="170" fontId="0" fillId="0" borderId="0" xfId="0" applyNumberFormat="1" applyAlignment="1">
      <alignment horizontal="left" vertical="center"/>
    </xf>
    <xf numFmtId="169" fontId="0" fillId="0" borderId="0" xfId="0" applyNumberFormat="1" applyAlignment="1">
      <alignment horizontal="left" vertical="center"/>
    </xf>
    <xf numFmtId="11" fontId="0" fillId="0" borderId="0" xfId="0" applyNumberFormat="1"/>
    <xf numFmtId="0" fontId="0" fillId="0" borderId="18" xfId="0" applyBorder="1"/>
    <xf numFmtId="0" fontId="0" fillId="0" borderId="32" xfId="0" applyBorder="1" applyAlignment="1">
      <alignment wrapText="1"/>
    </xf>
    <xf numFmtId="0" fontId="0" fillId="0" borderId="32" xfId="0" applyBorder="1"/>
    <xf numFmtId="0" fontId="0" fillId="0" borderId="32" xfId="0" applyBorder="1" applyAlignment="1">
      <alignment horizontal="center" vertical="center" wrapText="1"/>
    </xf>
    <xf numFmtId="0" fontId="0" fillId="0" borderId="33" xfId="0" applyBorder="1" applyAlignment="1">
      <alignment wrapText="1"/>
    </xf>
    <xf numFmtId="0" fontId="0" fillId="0" borderId="34" xfId="0" applyBorder="1" applyAlignment="1">
      <alignment wrapText="1"/>
    </xf>
    <xf numFmtId="0" fontId="0" fillId="0" borderId="35" xfId="0" applyBorder="1"/>
    <xf numFmtId="10" fontId="0" fillId="7" borderId="13" xfId="1" applyNumberFormat="1" applyFont="1" applyFill="1" applyBorder="1"/>
    <xf numFmtId="164" fontId="0" fillId="0" borderId="0" xfId="0" applyNumberFormat="1" applyAlignment="1">
      <alignment horizontal="center"/>
    </xf>
    <xf numFmtId="175" fontId="0" fillId="0" borderId="0" xfId="0" applyNumberFormat="1"/>
    <xf numFmtId="171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1" xfId="0" applyBorder="1" applyAlignment="1">
      <alignment horizontal="center" wrapText="1"/>
    </xf>
    <xf numFmtId="0" fontId="0" fillId="0" borderId="7" xfId="0" applyBorder="1" applyAlignment="1">
      <alignment horizontal="center" wrapText="1"/>
    </xf>
    <xf numFmtId="0" fontId="2" fillId="2" borderId="0" xfId="0" applyFont="1" applyFill="1" applyAlignment="1">
      <alignment horizontal="center" readingOrder="1"/>
    </xf>
    <xf numFmtId="0" fontId="0" fillId="0" borderId="0" xfId="0" applyAlignment="1">
      <alignment horizontal="center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4" fillId="5" borderId="9" xfId="0" applyFont="1" applyFill="1" applyBorder="1" applyAlignment="1" applyProtection="1">
      <alignment horizontal="left" vertical="center" shrinkToFit="1"/>
      <protection hidden="1"/>
    </xf>
    <xf numFmtId="0" fontId="4" fillId="5" borderId="11" xfId="0" applyFont="1" applyFill="1" applyBorder="1" applyAlignment="1" applyProtection="1">
      <alignment horizontal="left" vertical="center" shrinkToFit="1"/>
      <protection hidden="1"/>
    </xf>
    <xf numFmtId="0" fontId="1" fillId="0" borderId="9" xfId="0" applyFont="1" applyBorder="1" applyAlignment="1">
      <alignment horizontal="left" vertical="center"/>
    </xf>
    <xf numFmtId="0" fontId="1" fillId="0" borderId="11" xfId="0" applyFont="1" applyBorder="1" applyAlignment="1">
      <alignment horizontal="left" vertical="center"/>
    </xf>
    <xf numFmtId="0" fontId="1" fillId="0" borderId="12" xfId="0" applyFont="1" applyBorder="1" applyAlignment="1">
      <alignment horizontal="left" vertical="center"/>
    </xf>
    <xf numFmtId="0" fontId="2" fillId="2" borderId="30" xfId="0" applyFont="1" applyFill="1" applyBorder="1" applyAlignment="1">
      <alignment horizontal="left" vertical="center" readingOrder="1"/>
    </xf>
    <xf numFmtId="0" fontId="2" fillId="2" borderId="31" xfId="0" applyFont="1" applyFill="1" applyBorder="1" applyAlignment="1">
      <alignment horizontal="left" vertical="center" readingOrder="1"/>
    </xf>
    <xf numFmtId="0" fontId="4" fillId="5" borderId="9" xfId="0" applyFont="1" applyFill="1" applyBorder="1" applyAlignment="1" applyProtection="1">
      <alignment horizontal="center" shrinkToFit="1"/>
      <protection hidden="1"/>
    </xf>
    <xf numFmtId="0" fontId="4" fillId="5" borderId="11" xfId="0" applyFont="1" applyFill="1" applyBorder="1" applyAlignment="1" applyProtection="1">
      <alignment horizontal="center" shrinkToFit="1"/>
      <protection hidden="1"/>
    </xf>
    <xf numFmtId="0" fontId="0" fillId="0" borderId="17" xfId="0" applyBorder="1" applyAlignment="1">
      <alignment horizontal="center"/>
    </xf>
    <xf numFmtId="0" fontId="0" fillId="0" borderId="29" xfId="0" applyBorder="1" applyAlignment="1">
      <alignment horizontal="center"/>
    </xf>
    <xf numFmtId="0" fontId="19" fillId="0" borderId="0" xfId="0" applyFont="1" applyAlignment="1">
      <alignment horizontal="center" wrapText="1"/>
    </xf>
    <xf numFmtId="0" fontId="0" fillId="0" borderId="18" xfId="0" applyBorder="1" applyAlignment="1">
      <alignment horizontal="center"/>
    </xf>
    <xf numFmtId="0" fontId="0" fillId="0" borderId="0" xfId="0" applyAlignment="1">
      <alignment horizontal="center" wrapText="1"/>
    </xf>
  </cellXfs>
  <cellStyles count="10">
    <cellStyle name="Hyperlink" xfId="3" builtinId="8"/>
    <cellStyle name="Hyperlink 2" xfId="4" xr:uid="{77B9537E-67BB-46C3-B97A-FAF434B0D425}"/>
    <cellStyle name="Normal" xfId="0" builtinId="0"/>
    <cellStyle name="Normal 2" xfId="5" xr:uid="{E2FF4E7C-5D2D-4B02-BA57-A0DA1219C1F7}"/>
    <cellStyle name="Normal 2 3" xfId="2" xr:uid="{AA71F7A7-18C9-4505-BF74-0F729944074C}"/>
    <cellStyle name="Normal 3" xfId="9" xr:uid="{219F4800-3B2A-47E8-BD7F-54F413704519}"/>
    <cellStyle name="Normal 8" xfId="8" xr:uid="{75BCFE24-0CE7-4BFB-8779-8C211535EB78}"/>
    <cellStyle name="Percent" xfId="1" builtinId="5"/>
    <cellStyle name="Source Text" xfId="7" xr:uid="{2B2D5886-E692-4812-9B9A-F6B02DED2809}"/>
    <cellStyle name="Title-2" xfId="6" xr:uid="{32B5CCCA-8B0B-4704-AC4F-5042ADD84F6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197922</xdr:colOff>
      <xdr:row>40</xdr:row>
      <xdr:rowOff>0</xdr:rowOff>
    </xdr:from>
    <xdr:to>
      <xdr:col>37</xdr:col>
      <xdr:colOff>2450</xdr:colOff>
      <xdr:row>73</xdr:row>
      <xdr:rowOff>461811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E6B1F3-123D-490F-A92F-292991244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594786" y="8347364"/>
          <a:ext cx="8896573" cy="684712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TILIS~1\AppData\Local\Temp\Rar$DIa10808.48894\Indoor%20Cannabis%20Model.xlsx" TargetMode="External"/><Relationship Id="rId1" Type="http://schemas.openxmlformats.org/officeDocument/2006/relationships/externalLinkPath" Target="file:///C:\Users\UTILIS~1\AppData\Local\Temp\Rar$DIa10808.48894\Indoor%20Cannabis%20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oor Inputs"/>
      <sheetName val="Greenhouse Inputs"/>
      <sheetName val="Outdoor Inputs"/>
      <sheetName val="Process Model"/>
      <sheetName val="LCI Support"/>
      <sheetName val="LCI"/>
      <sheetName val="LCA"/>
      <sheetName val="States"/>
      <sheetName val="eGrid"/>
      <sheetName val="Sensitivity Analysis"/>
      <sheetName val="Figures"/>
      <sheetName val="Tables"/>
      <sheetName val="CO Tax"/>
      <sheetName val="Outdoor Backup Calcs"/>
      <sheetName val="Indoor Backup Calcs"/>
      <sheetName val="Indoor Raw Data"/>
      <sheetName val="CO Growers"/>
      <sheetName val="Validation"/>
      <sheetName val="Transportation"/>
      <sheetName val="Fuel Economy"/>
      <sheetName val="Conversions"/>
      <sheetName val="Properties"/>
      <sheetName val="Sources"/>
      <sheetName val="TE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0">
          <cell r="G10">
            <v>3.7854099999999999E-3</v>
          </cell>
        </row>
        <row r="42">
          <cell r="G42">
            <v>2.9573999999999998E-5</v>
          </cell>
        </row>
      </sheetData>
      <sheetData sheetId="21"/>
      <sheetData sheetId="22"/>
      <sheetData sheetId="2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F3ADD-9FD9-4F5D-B46D-C26A070CD077}">
  <dimension ref="A1:T128"/>
  <sheetViews>
    <sheetView tabSelected="1" zoomScale="55" zoomScaleNormal="55" workbookViewId="0">
      <selection activeCell="I42" sqref="I42"/>
    </sheetView>
  </sheetViews>
  <sheetFormatPr defaultRowHeight="15"/>
  <cols>
    <col min="2" max="2" width="22.5703125" customWidth="1"/>
    <col min="3" max="3" width="40.85546875" customWidth="1"/>
    <col min="4" max="4" width="19.140625" customWidth="1"/>
    <col min="5" max="5" width="18.7109375" customWidth="1"/>
    <col min="7" max="7" width="16.85546875" customWidth="1"/>
    <col min="9" max="9" width="22.7109375" customWidth="1"/>
    <col min="10" max="10" width="23" customWidth="1"/>
    <col min="11" max="11" width="13.85546875" bestFit="1" customWidth="1"/>
    <col min="12" max="12" width="23" customWidth="1"/>
    <col min="13" max="13" width="12.7109375" customWidth="1"/>
    <col min="14" max="14" width="26.28515625" customWidth="1"/>
    <col min="15" max="15" width="19.85546875" customWidth="1"/>
    <col min="16" max="16" width="36.5703125" customWidth="1"/>
    <col min="17" max="17" width="16.42578125" customWidth="1"/>
  </cols>
  <sheetData>
    <row r="1" spans="1:17" ht="15.75" thickBot="1">
      <c r="A1" t="s">
        <v>208</v>
      </c>
      <c r="C1" t="s">
        <v>0</v>
      </c>
      <c r="D1" t="s">
        <v>698</v>
      </c>
      <c r="E1" t="s">
        <v>37</v>
      </c>
      <c r="F1" s="178" t="s">
        <v>1</v>
      </c>
      <c r="G1" s="178"/>
      <c r="H1" t="s">
        <v>640</v>
      </c>
      <c r="P1" t="s">
        <v>311</v>
      </c>
      <c r="Q1" t="s">
        <v>302</v>
      </c>
    </row>
    <row r="2" spans="1:17" ht="15" customHeight="1">
      <c r="C2" s="12" t="s">
        <v>203</v>
      </c>
      <c r="D2" s="14" t="s">
        <v>205</v>
      </c>
      <c r="E2" s="14" t="s">
        <v>206</v>
      </c>
      <c r="F2" s="169" t="s">
        <v>661</v>
      </c>
      <c r="G2" s="170"/>
      <c r="H2" t="s">
        <v>606</v>
      </c>
      <c r="N2" s="177" t="s">
        <v>103</v>
      </c>
      <c r="O2" s="177"/>
      <c r="P2" s="177"/>
      <c r="Q2" t="s">
        <v>305</v>
      </c>
    </row>
    <row r="3" spans="1:17" ht="15.75" thickBot="1">
      <c r="C3" s="6" t="s">
        <v>204</v>
      </c>
      <c r="D3" t="s">
        <v>205</v>
      </c>
      <c r="E3" t="s">
        <v>707</v>
      </c>
      <c r="F3" s="171"/>
      <c r="G3" s="172"/>
      <c r="H3" s="75" t="s">
        <v>708</v>
      </c>
      <c r="N3" s="42" t="s">
        <v>41</v>
      </c>
      <c r="O3" s="42">
        <v>0.43899789299999997</v>
      </c>
      <c r="P3" s="42" t="s">
        <v>200</v>
      </c>
    </row>
    <row r="4" spans="1:17" ht="15" customHeight="1">
      <c r="C4" s="12" t="s">
        <v>83</v>
      </c>
      <c r="D4" s="14">
        <f>'Fertilizer Indoor'!H11</f>
        <v>327.82617478303024</v>
      </c>
      <c r="E4" s="14" t="s">
        <v>104</v>
      </c>
      <c r="F4" s="169" t="s">
        <v>201</v>
      </c>
      <c r="G4" s="170"/>
      <c r="H4" t="s">
        <v>646</v>
      </c>
      <c r="N4" s="42" t="s">
        <v>42</v>
      </c>
      <c r="O4" s="42">
        <v>0.16319624275092937</v>
      </c>
      <c r="P4" s="42" t="s">
        <v>199</v>
      </c>
    </row>
    <row r="5" spans="1:17">
      <c r="C5" s="6" t="s">
        <v>86</v>
      </c>
      <c r="D5">
        <f>'Fertilizer Indoor'!K2</f>
        <v>4.0443565936270354E-2</v>
      </c>
      <c r="E5" t="s">
        <v>114</v>
      </c>
      <c r="F5" s="171"/>
      <c r="G5" s="172"/>
      <c r="H5" t="s">
        <v>628</v>
      </c>
      <c r="N5" s="42" t="s">
        <v>105</v>
      </c>
      <c r="O5" s="42">
        <v>6.1275920520192564</v>
      </c>
      <c r="P5" s="42" t="s">
        <v>107</v>
      </c>
    </row>
    <row r="6" spans="1:17">
      <c r="C6" s="6" t="s">
        <v>91</v>
      </c>
      <c r="D6">
        <f>'Fertilizer Indoor'!K3</f>
        <v>7.7050850154031583E-3</v>
      </c>
      <c r="E6" t="s">
        <v>113</v>
      </c>
      <c r="F6" s="171"/>
      <c r="G6" s="172"/>
      <c r="H6" t="s">
        <v>629</v>
      </c>
      <c r="N6" s="42" t="s">
        <v>106</v>
      </c>
      <c r="O6" s="42">
        <v>2.2779152609737015</v>
      </c>
      <c r="P6" s="42" t="s">
        <v>300</v>
      </c>
    </row>
    <row r="7" spans="1:17">
      <c r="C7" s="6" t="s">
        <v>94</v>
      </c>
      <c r="D7">
        <f>'Fertilizer Indoor'!K4</f>
        <v>2.8140413888124284E-4</v>
      </c>
      <c r="E7" t="s">
        <v>212</v>
      </c>
      <c r="F7" s="171"/>
      <c r="G7" s="172"/>
      <c r="H7" t="s">
        <v>634</v>
      </c>
      <c r="N7" s="42" t="s">
        <v>12</v>
      </c>
      <c r="O7" s="42">
        <v>2.6909749999999999</v>
      </c>
      <c r="P7" t="s">
        <v>301</v>
      </c>
    </row>
    <row r="8" spans="1:17">
      <c r="C8" s="6" t="s">
        <v>84</v>
      </c>
      <c r="D8">
        <f>'Fertilizer Indoor'!K5</f>
        <v>5.9247532578320536E-2</v>
      </c>
      <c r="E8" t="s">
        <v>114</v>
      </c>
      <c r="F8" s="171"/>
      <c r="G8" s="172"/>
      <c r="H8" t="s">
        <v>630</v>
      </c>
      <c r="N8" s="42" t="s">
        <v>13</v>
      </c>
      <c r="O8" s="42">
        <v>1669.0896233712692</v>
      </c>
      <c r="P8" s="42" t="s">
        <v>299</v>
      </c>
    </row>
    <row r="9" spans="1:17">
      <c r="C9" s="6" t="s">
        <v>95</v>
      </c>
      <c r="D9">
        <f>'Fertilizer Indoor'!K6</f>
        <v>5.503282494354675E-4</v>
      </c>
      <c r="E9" t="s">
        <v>113</v>
      </c>
      <c r="F9" s="171"/>
      <c r="G9" s="172"/>
      <c r="H9" t="s">
        <v>631</v>
      </c>
      <c r="N9" s="58" t="s">
        <v>355</v>
      </c>
      <c r="O9">
        <f>'Transport Indoor'!C26</f>
        <v>232.72385402665782</v>
      </c>
      <c r="P9" s="59" t="s">
        <v>207</v>
      </c>
    </row>
    <row r="10" spans="1:17">
      <c r="C10" s="6" t="s">
        <v>88</v>
      </c>
      <c r="D10">
        <f>'Fertilizer Indoor'!K7</f>
        <v>2.6352617383168147E-3</v>
      </c>
      <c r="E10" t="s">
        <v>212</v>
      </c>
      <c r="F10" s="171"/>
      <c r="G10" s="172"/>
      <c r="H10" t="s">
        <v>632</v>
      </c>
      <c r="N10" s="42" t="s">
        <v>242</v>
      </c>
      <c r="O10" s="55">
        <v>3.7854100000000002</v>
      </c>
      <c r="P10" s="42" t="s">
        <v>210</v>
      </c>
    </row>
    <row r="11" spans="1:17">
      <c r="C11" s="6" t="s">
        <v>89</v>
      </c>
      <c r="D11">
        <f>'Fertilizer Indoor'!K9</f>
        <v>0.10316461180835396</v>
      </c>
      <c r="E11" t="s">
        <v>113</v>
      </c>
      <c r="F11" s="171"/>
      <c r="G11" s="172"/>
      <c r="H11" t="s">
        <v>633</v>
      </c>
      <c r="O11">
        <f>N71*O7*O5</f>
        <v>15469.864842629417</v>
      </c>
      <c r="P11" s="58" t="s">
        <v>364</v>
      </c>
    </row>
    <row r="12" spans="1:17" ht="15.75">
      <c r="C12" s="6" t="s">
        <v>97</v>
      </c>
      <c r="D12">
        <f>'Fertilizer Indoor'!K10</f>
        <v>3.3181743648343953E-5</v>
      </c>
      <c r="E12" t="s">
        <v>114</v>
      </c>
      <c r="F12" s="171"/>
      <c r="G12" s="172"/>
      <c r="H12" t="s">
        <v>635</v>
      </c>
      <c r="N12" s="177" t="s">
        <v>336</v>
      </c>
      <c r="O12" s="177"/>
      <c r="P12" s="177"/>
    </row>
    <row r="13" spans="1:17">
      <c r="C13" s="6" t="s">
        <v>358</v>
      </c>
      <c r="D13">
        <f>'Fertilizer Indoor'!K1</f>
        <v>7.4936240666456724E-6</v>
      </c>
      <c r="E13" t="s">
        <v>113</v>
      </c>
      <c r="F13" s="171"/>
      <c r="G13" s="172"/>
      <c r="H13" t="s">
        <v>636</v>
      </c>
      <c r="N13" s="62" t="s">
        <v>41</v>
      </c>
      <c r="O13" s="61">
        <v>0.12491186261159025</v>
      </c>
      <c r="P13" s="42" t="s">
        <v>200</v>
      </c>
      <c r="Q13" t="s">
        <v>333</v>
      </c>
    </row>
    <row r="14" spans="1:17">
      <c r="C14" s="6" t="s">
        <v>92</v>
      </c>
      <c r="D14">
        <f>'Fertilizer Indoor'!K11</f>
        <v>1.3389164125126796E-2</v>
      </c>
      <c r="E14" t="s">
        <v>114</v>
      </c>
      <c r="F14" s="171"/>
      <c r="G14" s="172"/>
      <c r="H14" t="s">
        <v>637</v>
      </c>
      <c r="N14" s="63" t="s">
        <v>42</v>
      </c>
      <c r="O14" s="61">
        <f>O13/O18</f>
        <v>0.53228415045998023</v>
      </c>
      <c r="P14" s="42" t="s">
        <v>199</v>
      </c>
    </row>
    <row r="15" spans="1:17">
      <c r="C15" s="6" t="s">
        <v>87</v>
      </c>
      <c r="D15">
        <f>'Fertilizer Indoor'!K12</f>
        <v>0.13031237482963245</v>
      </c>
      <c r="E15" t="s">
        <v>114</v>
      </c>
      <c r="F15" s="171"/>
      <c r="G15" s="172"/>
      <c r="H15" t="s">
        <v>638</v>
      </c>
      <c r="N15" s="63" t="s">
        <v>105</v>
      </c>
      <c r="O15" s="61">
        <f>1/O14</f>
        <v>1.8786958039908517</v>
      </c>
      <c r="P15" s="42" t="s">
        <v>107</v>
      </c>
    </row>
    <row r="16" spans="1:17">
      <c r="C16" s="6" t="s">
        <v>608</v>
      </c>
      <c r="D16">
        <f>'Fertilizer Indoor'!K13</f>
        <v>3.5334014755776646E-4</v>
      </c>
      <c r="E16" t="s">
        <v>113</v>
      </c>
      <c r="F16" s="171"/>
      <c r="G16" s="172"/>
      <c r="H16" t="s">
        <v>639</v>
      </c>
      <c r="N16" s="63" t="s">
        <v>106</v>
      </c>
      <c r="O16" s="61">
        <f>1/O13</f>
        <v>8.005644772982615</v>
      </c>
      <c r="P16" s="42" t="s">
        <v>300</v>
      </c>
    </row>
    <row r="17" spans="3:17">
      <c r="C17" s="6" t="s">
        <v>618</v>
      </c>
      <c r="D17">
        <f>'Fertilizer Indoor'!B18</f>
        <v>0.45895664469624226</v>
      </c>
      <c r="E17" t="s">
        <v>113</v>
      </c>
      <c r="F17" s="171"/>
      <c r="G17" s="172"/>
      <c r="H17" t="s">
        <v>642</v>
      </c>
      <c r="N17" s="63"/>
      <c r="O17" s="61"/>
      <c r="P17" s="42"/>
    </row>
    <row r="18" spans="3:17">
      <c r="C18" s="6" t="s">
        <v>627</v>
      </c>
      <c r="D18">
        <f>'Fertilizer Indoor'!B19</f>
        <v>9.6380895386210877E-2</v>
      </c>
      <c r="E18" t="s">
        <v>113</v>
      </c>
      <c r="F18" s="171"/>
      <c r="G18" s="172"/>
      <c r="H18" t="s">
        <v>644</v>
      </c>
      <c r="N18" s="62" t="s">
        <v>12</v>
      </c>
      <c r="O18" s="61">
        <v>0.23467139215707636</v>
      </c>
      <c r="P18" s="42" t="s">
        <v>301</v>
      </c>
      <c r="Q18" t="s">
        <v>333</v>
      </c>
    </row>
    <row r="19" spans="3:17" ht="15" customHeight="1">
      <c r="C19" s="6" t="s">
        <v>619</v>
      </c>
      <c r="D19">
        <f>'Fertilizer Indoor'!B20</f>
        <v>1.835826578784969</v>
      </c>
      <c r="E19" t="s">
        <v>113</v>
      </c>
      <c r="F19" s="171"/>
      <c r="G19" s="172"/>
      <c r="H19" t="s">
        <v>641</v>
      </c>
      <c r="N19" s="63" t="s">
        <v>13</v>
      </c>
      <c r="O19" s="61">
        <f>O18*N71</f>
        <v>220.16443336918437</v>
      </c>
      <c r="P19" s="42" t="s">
        <v>299</v>
      </c>
    </row>
    <row r="20" spans="3:17">
      <c r="C20" s="6" t="s">
        <v>620</v>
      </c>
      <c r="D20">
        <f>'Fertilizer Indoor'!B21</f>
        <v>0.57828537231726518</v>
      </c>
      <c r="E20" t="s">
        <v>113</v>
      </c>
      <c r="F20" s="171"/>
      <c r="G20" s="172"/>
      <c r="H20" t="s">
        <v>645</v>
      </c>
      <c r="N20" s="74" t="s">
        <v>363</v>
      </c>
      <c r="O20">
        <f>N71*O18*O14</f>
        <v>117.19003837741923</v>
      </c>
      <c r="P20" s="58" t="s">
        <v>364</v>
      </c>
    </row>
    <row r="21" spans="3:17" ht="16.5" thickBot="1">
      <c r="C21" s="8" t="s">
        <v>621</v>
      </c>
      <c r="D21" s="9">
        <f>'Fertilizer Indoor'!B22</f>
        <v>0.45895664469624226</v>
      </c>
      <c r="E21" s="9" t="s">
        <v>113</v>
      </c>
      <c r="F21" s="173"/>
      <c r="G21" s="174"/>
      <c r="H21" t="s">
        <v>643</v>
      </c>
      <c r="N21" s="177" t="s">
        <v>335</v>
      </c>
      <c r="O21" s="177"/>
      <c r="P21" s="177"/>
      <c r="Q21" t="s">
        <v>735</v>
      </c>
    </row>
    <row r="22" spans="3:17" ht="17.25" customHeight="1">
      <c r="C22" s="12" t="s">
        <v>697</v>
      </c>
      <c r="D22" s="14">
        <f>'Transport Indoor'!C17</f>
        <v>652.74790664419925</v>
      </c>
      <c r="E22" s="14" t="s">
        <v>207</v>
      </c>
      <c r="F22" s="179" t="s">
        <v>39</v>
      </c>
      <c r="G22" s="180"/>
      <c r="H22" t="s">
        <v>709</v>
      </c>
      <c r="N22" s="42" t="s">
        <v>41</v>
      </c>
      <c r="O22" s="60">
        <f>O26*O23</f>
        <v>0.19600000000000001</v>
      </c>
      <c r="P22" s="42" t="s">
        <v>200</v>
      </c>
    </row>
    <row r="23" spans="3:17">
      <c r="C23" s="6" t="s">
        <v>649</v>
      </c>
      <c r="D23">
        <f>'MATLAB INPUT'!C17/'MATLAB INPUT'!C26*'MATLAB INPUT'!C15</f>
        <v>1.7924470140060287</v>
      </c>
      <c r="E23" t="s">
        <v>207</v>
      </c>
      <c r="F23" s="181"/>
      <c r="G23" s="182"/>
      <c r="H23" t="s">
        <v>648</v>
      </c>
      <c r="N23" s="42" t="s">
        <v>42</v>
      </c>
      <c r="O23" s="61">
        <v>3.5000000000000003E-2</v>
      </c>
      <c r="P23" s="42" t="s">
        <v>199</v>
      </c>
    </row>
    <row r="24" spans="3:17">
      <c r="C24" s="6" t="s">
        <v>18</v>
      </c>
      <c r="D24">
        <f>'Transport Indoor'!C16</f>
        <v>2.6999506298222711</v>
      </c>
      <c r="E24" t="s">
        <v>207</v>
      </c>
      <c r="F24" s="181"/>
      <c r="G24" s="182"/>
      <c r="H24" t="s">
        <v>647</v>
      </c>
      <c r="N24" s="42" t="s">
        <v>105</v>
      </c>
      <c r="O24" s="61">
        <f>1/O23</f>
        <v>28.571428571428569</v>
      </c>
      <c r="P24" s="42" t="s">
        <v>107</v>
      </c>
    </row>
    <row r="25" spans="3:17">
      <c r="C25" s="6" t="s">
        <v>727</v>
      </c>
      <c r="D25">
        <f>'Transport Indoor'!C18/'MATLAB INPUT'!C22</f>
        <v>0.19687140009120727</v>
      </c>
      <c r="E25" t="s">
        <v>209</v>
      </c>
      <c r="F25" s="181"/>
      <c r="G25" s="182"/>
      <c r="H25" s="163" t="s">
        <v>726</v>
      </c>
      <c r="N25" s="42" t="s">
        <v>106</v>
      </c>
      <c r="O25" s="61">
        <f>1/O22</f>
        <v>5.1020408163265305</v>
      </c>
      <c r="P25" s="42" t="s">
        <v>300</v>
      </c>
    </row>
    <row r="26" spans="3:17" ht="15" customHeight="1">
      <c r="C26" s="6" t="s">
        <v>718</v>
      </c>
      <c r="D26">
        <f>'MATLAB INPUT'!C20*'MATLAB INPUT'!C15/1000*O30</f>
        <v>1.2564014743460283</v>
      </c>
      <c r="E26" t="s">
        <v>207</v>
      </c>
      <c r="F26" s="181"/>
      <c r="G26" s="182"/>
      <c r="H26" t="s">
        <v>719</v>
      </c>
      <c r="N26" s="42" t="s">
        <v>12</v>
      </c>
      <c r="O26" s="61">
        <v>5.6</v>
      </c>
      <c r="P26" s="42" t="s">
        <v>301</v>
      </c>
    </row>
    <row r="27" spans="3:17">
      <c r="C27" s="6" t="s">
        <v>20</v>
      </c>
      <c r="D27">
        <f>'MATLAB INPUT'!C23*'MATLAB INPUT'!C15/1000*O30</f>
        <v>0.30963511774668129</v>
      </c>
      <c r="E27" t="s">
        <v>207</v>
      </c>
      <c r="F27" s="181"/>
      <c r="G27" s="182"/>
      <c r="H27" t="s">
        <v>650</v>
      </c>
      <c r="N27" s="42" t="s">
        <v>13</v>
      </c>
      <c r="O27" s="61">
        <f>N71*O26</f>
        <v>5253.8181818181811</v>
      </c>
      <c r="P27" s="42" t="s">
        <v>299</v>
      </c>
    </row>
    <row r="28" spans="3:17">
      <c r="C28" s="6" t="s">
        <v>179</v>
      </c>
      <c r="D28">
        <f>(O10*'MATLAB INPUT'!C15*('MATLAB INPUT'!C35+'MATLAB INPUT'!C36)*7)-D4</f>
        <v>2154.0867857878306</v>
      </c>
      <c r="E28" t="s">
        <v>104</v>
      </c>
      <c r="F28" s="181"/>
      <c r="G28" s="182"/>
      <c r="H28" t="s">
        <v>646</v>
      </c>
      <c r="N28" s="74" t="s">
        <v>363</v>
      </c>
      <c r="O28">
        <f>N71*O26*O23</f>
        <v>183.88363636363636</v>
      </c>
      <c r="P28" s="58" t="s">
        <v>364</v>
      </c>
    </row>
    <row r="29" spans="3:17">
      <c r="C29" s="6" t="s">
        <v>712</v>
      </c>
      <c r="D29">
        <f>'MATLAB INPUT'!C105*'Transport Indoor'!C26</f>
        <v>17.017931825699353</v>
      </c>
      <c r="E29" t="s">
        <v>207</v>
      </c>
      <c r="F29" s="181"/>
      <c r="G29" s="182"/>
      <c r="H29" t="s">
        <v>720</v>
      </c>
      <c r="N29" t="s">
        <v>717</v>
      </c>
      <c r="O29">
        <v>914</v>
      </c>
      <c r="P29" t="s">
        <v>232</v>
      </c>
      <c r="Q29" t="s">
        <v>716</v>
      </c>
    </row>
    <row r="30" spans="3:17">
      <c r="C30" s="6" t="s">
        <v>711</v>
      </c>
      <c r="D30">
        <f>'MATLAB INPUT'!C106*'Transport Indoor'!C26</f>
        <v>16.072491168716056</v>
      </c>
      <c r="E30" t="s">
        <v>207</v>
      </c>
      <c r="F30" s="181"/>
      <c r="G30" s="182"/>
      <c r="H30" t="s">
        <v>662</v>
      </c>
      <c r="N30" t="s">
        <v>666</v>
      </c>
      <c r="O30">
        <v>932</v>
      </c>
      <c r="P30" t="s">
        <v>667</v>
      </c>
      <c r="Q30" t="s">
        <v>715</v>
      </c>
    </row>
    <row r="31" spans="3:17">
      <c r="C31" s="6" t="s">
        <v>337</v>
      </c>
      <c r="D31" s="167">
        <f>'MATLAB INPUT'!C109*1</f>
        <v>1.0883489225330734E-3</v>
      </c>
      <c r="E31" t="s">
        <v>211</v>
      </c>
      <c r="F31" s="181"/>
      <c r="G31" s="182"/>
      <c r="H31" t="s">
        <v>662</v>
      </c>
      <c r="J31" s="1"/>
    </row>
    <row r="32" spans="3:17" ht="15.75" thickBot="1">
      <c r="C32" s="8" t="s">
        <v>338</v>
      </c>
      <c r="D32" s="9">
        <f>'MATLAB INPUT'!C110*'Transport Indoor'!C26</f>
        <v>120.62686493910925</v>
      </c>
      <c r="E32" s="9" t="s">
        <v>211</v>
      </c>
      <c r="F32" s="183"/>
      <c r="G32" s="184"/>
      <c r="H32" t="s">
        <v>662</v>
      </c>
    </row>
    <row r="33" spans="1:19">
      <c r="C33" s="6" t="s">
        <v>240</v>
      </c>
      <c r="D33">
        <f>'Transport Indoor'!D61</f>
        <v>643.13683139582918</v>
      </c>
      <c r="E33" t="s">
        <v>239</v>
      </c>
      <c r="F33" s="169" t="s">
        <v>243</v>
      </c>
      <c r="G33" s="170"/>
      <c r="H33" t="s">
        <v>663</v>
      </c>
    </row>
    <row r="34" spans="1:19" ht="15" customHeight="1">
      <c r="C34" s="6" t="s">
        <v>694</v>
      </c>
      <c r="D34">
        <f>'Transport Indoor'!E61</f>
        <v>74.634946367018927</v>
      </c>
      <c r="E34" t="s">
        <v>239</v>
      </c>
      <c r="F34" s="171"/>
      <c r="G34" s="172"/>
      <c r="H34" t="s">
        <v>702</v>
      </c>
      <c r="Q34" s="1"/>
    </row>
    <row r="35" spans="1:19" ht="15.75" thickBot="1">
      <c r="C35" s="6" t="s">
        <v>241</v>
      </c>
      <c r="D35">
        <f>'Transport Indoor'!F61</f>
        <v>15</v>
      </c>
      <c r="E35" t="s">
        <v>651</v>
      </c>
      <c r="F35" s="173"/>
      <c r="G35" s="174"/>
      <c r="H35" t="s">
        <v>703</v>
      </c>
    </row>
    <row r="36" spans="1:19">
      <c r="C36" s="12" t="s">
        <v>605</v>
      </c>
      <c r="D36" s="14">
        <f>'Matlab Output (kWh NG)'!K3</f>
        <v>1376.98</v>
      </c>
      <c r="E36" s="14" t="s">
        <v>206</v>
      </c>
      <c r="F36" s="99" t="s">
        <v>244</v>
      </c>
      <c r="G36" s="100"/>
      <c r="H36" t="s">
        <v>606</v>
      </c>
    </row>
    <row r="37" spans="1:19" ht="18" customHeight="1" thickBot="1">
      <c r="C37" s="8" t="s">
        <v>604</v>
      </c>
      <c r="D37" s="9">
        <f>HPS!C9</f>
        <v>743.1349052972032</v>
      </c>
      <c r="E37" s="9" t="s">
        <v>289</v>
      </c>
      <c r="F37" s="9" t="s">
        <v>290</v>
      </c>
      <c r="G37" s="11"/>
      <c r="H37" t="s">
        <v>665</v>
      </c>
    </row>
    <row r="40" spans="1:19" ht="15.75" thickBot="1">
      <c r="A40" t="s">
        <v>350</v>
      </c>
      <c r="C40" t="s">
        <v>0</v>
      </c>
      <c r="E40" t="s">
        <v>37</v>
      </c>
    </row>
    <row r="41" spans="1:19">
      <c r="C41" s="12" t="s">
        <v>737</v>
      </c>
      <c r="D41" s="14">
        <f>'Matlab Output (kWh NG)'!E6*0.12</f>
        <v>61.029287249999975</v>
      </c>
      <c r="E41" s="14" t="s">
        <v>206</v>
      </c>
      <c r="F41" s="175" t="s">
        <v>780</v>
      </c>
      <c r="G41" s="175"/>
    </row>
    <row r="42" spans="1:19" ht="15.75" thickBot="1">
      <c r="C42" s="8" t="s">
        <v>204</v>
      </c>
      <c r="D42" s="9">
        <f>'Matlab Output (kWh NG)'!D6*0.12</f>
        <v>3677.1139785</v>
      </c>
      <c r="E42" s="9" t="s">
        <v>707</v>
      </c>
      <c r="F42" s="176"/>
      <c r="G42" s="176"/>
      <c r="J42" s="1"/>
      <c r="K42" s="1"/>
    </row>
    <row r="43" spans="1:19">
      <c r="C43" s="12" t="s">
        <v>83</v>
      </c>
      <c r="D43" s="14">
        <f>'Fertilizer outdoor'!H12</f>
        <v>171.90066606516294</v>
      </c>
      <c r="E43" s="14" t="s">
        <v>104</v>
      </c>
      <c r="F43" s="99" t="s">
        <v>201</v>
      </c>
      <c r="G43" s="100"/>
      <c r="J43" s="1"/>
      <c r="K43" s="1"/>
      <c r="N43" t="s">
        <v>664</v>
      </c>
    </row>
    <row r="44" spans="1:19">
      <c r="C44" s="44" t="s">
        <v>86</v>
      </c>
      <c r="D44">
        <f>'Fertilizer outdoor'!K2</f>
        <v>2.1207208852516563E-2</v>
      </c>
      <c r="E44" t="s">
        <v>207</v>
      </c>
      <c r="F44" s="1"/>
      <c r="G44" s="101"/>
      <c r="J44" s="1"/>
      <c r="K44" s="1"/>
      <c r="N44" t="s">
        <v>332</v>
      </c>
      <c r="O44" t="s">
        <v>380</v>
      </c>
      <c r="R44" t="s">
        <v>332</v>
      </c>
      <c r="S44" t="s">
        <v>380</v>
      </c>
    </row>
    <row r="45" spans="1:19">
      <c r="C45" s="44" t="s">
        <v>91</v>
      </c>
      <c r="D45">
        <f>'Fertilizer outdoor'!K3</f>
        <v>4.040275050669128E-3</v>
      </c>
      <c r="E45" t="s">
        <v>207</v>
      </c>
      <c r="F45" s="1"/>
      <c r="G45" s="101"/>
      <c r="J45" s="1"/>
      <c r="K45" s="1"/>
      <c r="M45" t="s">
        <v>366</v>
      </c>
      <c r="N45">
        <f>24*26.5</f>
        <v>636</v>
      </c>
      <c r="O45">
        <f t="shared" ref="O45:O60" si="0">N45/$N$61*100</f>
        <v>6.5535678174481014</v>
      </c>
      <c r="Q45" t="s">
        <v>387</v>
      </c>
      <c r="R45">
        <f>N50+N52</f>
        <v>306</v>
      </c>
      <c r="S45">
        <f t="shared" ref="S45:S50" si="1">R45/$N$61*100</f>
        <v>3.153131685753332</v>
      </c>
    </row>
    <row r="46" spans="1:19">
      <c r="C46" s="44" t="s">
        <v>94</v>
      </c>
      <c r="D46">
        <f>'Fertilizer outdoor'!K4</f>
        <v>1.4755269311884963E-4</v>
      </c>
      <c r="E46" t="s">
        <v>226</v>
      </c>
      <c r="F46" s="1"/>
      <c r="G46" s="101"/>
      <c r="J46" s="1"/>
      <c r="K46" s="1"/>
      <c r="M46" t="s">
        <v>367</v>
      </c>
      <c r="N46">
        <f>23.7*26.5</f>
        <v>628.04999999999995</v>
      </c>
      <c r="O46">
        <f t="shared" si="0"/>
        <v>6.4716482197299987</v>
      </c>
      <c r="Q46" t="s">
        <v>383</v>
      </c>
      <c r="R46">
        <f>N45+N53</f>
        <v>1531</v>
      </c>
      <c r="S46">
        <f t="shared" si="1"/>
        <v>15.775962780680885</v>
      </c>
    </row>
    <row r="47" spans="1:19">
      <c r="C47" s="44" t="s">
        <v>84</v>
      </c>
      <c r="D47">
        <f>'Fertilizer outdoor'!K5</f>
        <v>3.1067340842573215E-2</v>
      </c>
      <c r="E47" t="s">
        <v>207</v>
      </c>
      <c r="F47" s="1"/>
      <c r="G47" s="101"/>
      <c r="J47" s="1"/>
      <c r="K47" s="1"/>
      <c r="M47" t="s">
        <v>368</v>
      </c>
      <c r="N47">
        <f>16.6*47.5</f>
        <v>788.50000000000011</v>
      </c>
      <c r="O47">
        <f t="shared" si="0"/>
        <v>8.1249814843676553</v>
      </c>
      <c r="Q47" t="s">
        <v>384</v>
      </c>
      <c r="R47">
        <f>N51+N54+N49+N48+N46</f>
        <v>4969.7000000000007</v>
      </c>
      <c r="S47">
        <f t="shared" si="1"/>
        <v>51.209537708131812</v>
      </c>
    </row>
    <row r="48" spans="1:19">
      <c r="C48" s="44" t="s">
        <v>95</v>
      </c>
      <c r="D48">
        <f>'Fertilizer outdoor'!K6</f>
        <v>2.8858057232922994E-4</v>
      </c>
      <c r="E48" t="s">
        <v>226</v>
      </c>
      <c r="F48" s="1"/>
      <c r="G48" s="101"/>
      <c r="J48" s="1"/>
      <c r="K48" s="1"/>
      <c r="M48" t="s">
        <v>369</v>
      </c>
      <c r="N48">
        <f>23*26.5</f>
        <v>609.5</v>
      </c>
      <c r="O48">
        <f t="shared" si="0"/>
        <v>6.2805024917210979</v>
      </c>
      <c r="Q48" t="s">
        <v>375</v>
      </c>
      <c r="R48">
        <f>N58+N59</f>
        <v>573.5</v>
      </c>
      <c r="S48">
        <f t="shared" si="1"/>
        <v>5.9095458228089397</v>
      </c>
    </row>
    <row r="49" spans="3:20">
      <c r="C49" s="44" t="s">
        <v>88</v>
      </c>
      <c r="D49">
        <f>'Fertilizer outdoor'!K7</f>
        <v>1.3818453072688679E-3</v>
      </c>
      <c r="E49" t="s">
        <v>226</v>
      </c>
      <c r="F49" s="1"/>
      <c r="G49" s="101"/>
      <c r="J49" s="1"/>
      <c r="K49" s="1"/>
      <c r="M49" t="s">
        <v>365</v>
      </c>
      <c r="N49">
        <f>23.7*26.5</f>
        <v>628.04999999999995</v>
      </c>
      <c r="O49">
        <f t="shared" si="0"/>
        <v>6.4716482197299987</v>
      </c>
      <c r="Q49" t="s">
        <v>385</v>
      </c>
      <c r="R49">
        <f>N47+N60</f>
        <v>1038.25</v>
      </c>
      <c r="S49">
        <f t="shared" si="1"/>
        <v>10.698493374945741</v>
      </c>
    </row>
    <row r="50" spans="3:20" ht="15" customHeight="1">
      <c r="C50" s="44" t="s">
        <v>89</v>
      </c>
      <c r="D50">
        <f>'Fertilizer outdoor'!K9</f>
        <v>2.4425036368966854E-2</v>
      </c>
      <c r="E50" s="44" t="s">
        <v>207</v>
      </c>
      <c r="F50" s="1"/>
      <c r="G50" s="101"/>
      <c r="J50" s="1"/>
      <c r="K50" s="1"/>
      <c r="M50" t="s">
        <v>370</v>
      </c>
      <c r="N50">
        <f>8.5*13.5</f>
        <v>114.75</v>
      </c>
      <c r="O50">
        <f t="shared" si="0"/>
        <v>1.1824243821574993</v>
      </c>
      <c r="Q50" t="s">
        <v>386</v>
      </c>
      <c r="R50">
        <f>N57+N56+N55</f>
        <v>1286.1875</v>
      </c>
      <c r="S50">
        <f t="shared" si="1"/>
        <v>13.253328627679291</v>
      </c>
    </row>
    <row r="51" spans="3:20">
      <c r="C51" s="44" t="s">
        <v>97</v>
      </c>
      <c r="D51">
        <f>'Fertilizer outdoor'!K10</f>
        <v>1.7405630341747704E-5</v>
      </c>
      <c r="E51" t="s">
        <v>226</v>
      </c>
      <c r="F51" s="1"/>
      <c r="G51" s="101"/>
      <c r="J51" s="1"/>
      <c r="K51" s="1"/>
      <c r="M51" t="s">
        <v>62</v>
      </c>
      <c r="N51">
        <f>40.5*35.7</f>
        <v>1445.8500000000001</v>
      </c>
      <c r="O51">
        <f t="shared" si="0"/>
        <v>14.898547215184493</v>
      </c>
    </row>
    <row r="52" spans="3:20">
      <c r="C52" s="44" t="s">
        <v>92</v>
      </c>
      <c r="D52">
        <f>'Fertilizer outdoor'!K11</f>
        <v>7.0208100440579081E-3</v>
      </c>
      <c r="E52" t="s">
        <v>207</v>
      </c>
      <c r="F52" s="1"/>
      <c r="G52" s="101"/>
      <c r="J52" s="1"/>
      <c r="K52" s="1"/>
      <c r="M52" t="s">
        <v>371</v>
      </c>
      <c r="N52">
        <f>8.5*22.5</f>
        <v>191.25</v>
      </c>
      <c r="O52">
        <f t="shared" si="0"/>
        <v>1.9707073035958322</v>
      </c>
      <c r="Q52">
        <v>1</v>
      </c>
      <c r="R52" t="s">
        <v>733</v>
      </c>
      <c r="S52">
        <v>9.2902999999999999E-2</v>
      </c>
      <c r="T52" t="s">
        <v>734</v>
      </c>
    </row>
    <row r="53" spans="3:20">
      <c r="C53" s="44" t="s">
        <v>87</v>
      </c>
      <c r="D53">
        <f>'Fertilizer outdoor'!K12</f>
        <v>6.8331288264140977E-2</v>
      </c>
      <c r="E53" t="s">
        <v>207</v>
      </c>
      <c r="F53" s="1"/>
      <c r="G53" s="101"/>
      <c r="J53" s="1"/>
      <c r="K53" s="1"/>
      <c r="M53" t="s">
        <v>372</v>
      </c>
      <c r="N53">
        <f>25*35.8</f>
        <v>894.99999999999989</v>
      </c>
      <c r="O53">
        <f t="shared" si="0"/>
        <v>9.2223949632327837</v>
      </c>
    </row>
    <row r="54" spans="3:20">
      <c r="C54" s="44" t="s">
        <v>608</v>
      </c>
      <c r="D54">
        <f>'Fertilizer outdoor'!K13</f>
        <v>1.8528633524303974E-4</v>
      </c>
      <c r="E54" t="s">
        <v>226</v>
      </c>
      <c r="F54" s="1"/>
      <c r="G54" s="101"/>
      <c r="J54" s="1"/>
      <c r="K54" s="1"/>
      <c r="M54" t="s">
        <v>373</v>
      </c>
      <c r="N54">
        <f>49.5*33.5</f>
        <v>1658.25</v>
      </c>
      <c r="O54">
        <f t="shared" si="0"/>
        <v>17.087191561766215</v>
      </c>
    </row>
    <row r="55" spans="3:20">
      <c r="C55" s="44" t="s">
        <v>66</v>
      </c>
      <c r="D55">
        <f>'Fertilizer outdoor'!K14</f>
        <v>3.9252032169313296E-6</v>
      </c>
      <c r="E55" t="s">
        <v>226</v>
      </c>
      <c r="J55" s="1"/>
      <c r="K55" s="1"/>
      <c r="M55" t="s">
        <v>374</v>
      </c>
      <c r="N55">
        <f>13.75*48.75</f>
        <v>670.3125</v>
      </c>
      <c r="O55">
        <f t="shared" si="0"/>
        <v>6.9071358925050008</v>
      </c>
    </row>
    <row r="56" spans="3:20">
      <c r="C56" s="6" t="s">
        <v>618</v>
      </c>
      <c r="D56">
        <f>'Fertilizer outdoor'!B19</f>
        <v>0.24066093249122811</v>
      </c>
      <c r="E56" t="s">
        <v>226</v>
      </c>
      <c r="F56" s="1"/>
      <c r="G56" s="101"/>
      <c r="J56" s="1"/>
      <c r="K56" s="1"/>
      <c r="M56" t="s">
        <v>376</v>
      </c>
      <c r="N56">
        <f>24.5*12</f>
        <v>294</v>
      </c>
      <c r="O56">
        <f t="shared" si="0"/>
        <v>3.0294794627826129</v>
      </c>
    </row>
    <row r="57" spans="3:20" ht="14.25" customHeight="1">
      <c r="C57" s="6" t="s">
        <v>627</v>
      </c>
      <c r="D57">
        <f>'Fertilizer outdoor'!B20</f>
        <v>5.05387958231579E-2</v>
      </c>
      <c r="E57" t="s">
        <v>226</v>
      </c>
      <c r="F57" s="1"/>
      <c r="G57" s="101"/>
      <c r="J57" s="1"/>
      <c r="K57" s="1"/>
      <c r="M57" t="s">
        <v>377</v>
      </c>
      <c r="N57">
        <f>12.5*25.75</f>
        <v>321.875</v>
      </c>
      <c r="O57">
        <f t="shared" si="0"/>
        <v>3.3167132723916781</v>
      </c>
    </row>
    <row r="58" spans="3:20">
      <c r="C58" s="6" t="s">
        <v>619</v>
      </c>
      <c r="D58">
        <f>'Fertilizer outdoor'!B21</f>
        <v>0.96264372996491243</v>
      </c>
      <c r="E58" t="s">
        <v>226</v>
      </c>
      <c r="F58" s="1"/>
      <c r="G58" s="101"/>
      <c r="J58" s="1"/>
      <c r="K58" s="1"/>
      <c r="M58" t="s">
        <v>379</v>
      </c>
      <c r="N58">
        <f>23.2*12.5</f>
        <v>290</v>
      </c>
      <c r="O58">
        <f t="shared" si="0"/>
        <v>2.9882620551257064</v>
      </c>
    </row>
    <row r="59" spans="3:20">
      <c r="C59" s="6" t="s">
        <v>620</v>
      </c>
      <c r="D59">
        <f>'Fertilizer outdoor'!B22</f>
        <v>0.3032327749389474</v>
      </c>
      <c r="E59" t="s">
        <v>226</v>
      </c>
      <c r="F59" s="1"/>
      <c r="G59" s="101"/>
      <c r="J59" s="1"/>
      <c r="K59" s="1"/>
      <c r="M59" t="s">
        <v>378</v>
      </c>
      <c r="N59">
        <f>21*13.5</f>
        <v>283.5</v>
      </c>
      <c r="O59">
        <f t="shared" si="0"/>
        <v>2.9212837676832337</v>
      </c>
    </row>
    <row r="60" spans="3:20" ht="15.75" customHeight="1" thickBot="1">
      <c r="C60" s="8" t="s">
        <v>621</v>
      </c>
      <c r="D60" s="9">
        <f>'Fertilizer outdoor'!B23</f>
        <v>0.24066093249122811</v>
      </c>
      <c r="E60" s="9" t="s">
        <v>226</v>
      </c>
      <c r="F60" s="102"/>
      <c r="G60" s="103"/>
      <c r="J60" s="1"/>
      <c r="K60" s="1"/>
      <c r="M60" t="s">
        <v>368</v>
      </c>
      <c r="N60">
        <f>18.5*13.5</f>
        <v>249.75</v>
      </c>
      <c r="O60">
        <f t="shared" si="0"/>
        <v>2.5735118905780867</v>
      </c>
    </row>
    <row r="61" spans="3:20">
      <c r="C61" s="12" t="s">
        <v>649</v>
      </c>
      <c r="D61" s="14">
        <f>'Transport Outdoor'!C15</f>
        <v>0.54955725764729402</v>
      </c>
      <c r="E61" s="14" t="s">
        <v>207</v>
      </c>
      <c r="F61" s="99" t="s">
        <v>39</v>
      </c>
      <c r="G61" s="100"/>
      <c r="J61" s="1"/>
      <c r="K61" s="1"/>
      <c r="M61" t="s">
        <v>381</v>
      </c>
      <c r="N61">
        <f>SUM(N45:N60)</f>
        <v>9704.6375000000007</v>
      </c>
    </row>
    <row r="62" spans="3:20">
      <c r="C62" s="6" t="s">
        <v>18</v>
      </c>
      <c r="D62">
        <f>'Transport Outdoor'!C16</f>
        <v>0.82779432380098295</v>
      </c>
      <c r="E62" t="s">
        <v>207</v>
      </c>
      <c r="F62" s="1"/>
      <c r="G62" s="101"/>
      <c r="J62" s="1"/>
      <c r="K62" s="1"/>
      <c r="M62" t="s">
        <v>382</v>
      </c>
      <c r="N62" s="42">
        <f>N61*S52</f>
        <v>901.58993766250001</v>
      </c>
    </row>
    <row r="63" spans="3:20" ht="15.75" thickBot="1">
      <c r="C63" s="6" t="s">
        <v>727</v>
      </c>
      <c r="D63">
        <f>'Transport Outdoor'!C17/'MATLAB INPUT'!C22</f>
        <v>6.0360002777155003E-2</v>
      </c>
      <c r="E63" t="s">
        <v>209</v>
      </c>
      <c r="F63" s="1"/>
      <c r="G63" s="101"/>
      <c r="J63" s="1"/>
      <c r="K63" s="1"/>
    </row>
    <row r="64" spans="3:20" ht="15.75" thickBot="1">
      <c r="C64" s="6" t="s">
        <v>718</v>
      </c>
      <c r="D64">
        <f>'Transport Outdoor'!C18</f>
        <v>0.38520778765028424</v>
      </c>
      <c r="E64" t="s">
        <v>207</v>
      </c>
      <c r="F64" s="1"/>
      <c r="G64" s="101"/>
      <c r="J64" s="1"/>
      <c r="K64" s="1"/>
      <c r="N64" s="69" t="s">
        <v>348</v>
      </c>
    </row>
    <row r="65" spans="3:16">
      <c r="C65" s="6" t="s">
        <v>20</v>
      </c>
      <c r="D65">
        <f>'Transport Outdoor'!C19</f>
        <v>9.4932918435261943E-2</v>
      </c>
      <c r="E65" t="s">
        <v>207</v>
      </c>
      <c r="F65" s="1"/>
      <c r="G65" s="101"/>
      <c r="J65" s="1"/>
      <c r="K65" s="1"/>
      <c r="M65" s="69" t="s">
        <v>348</v>
      </c>
      <c r="N65" s="70" t="s">
        <v>342</v>
      </c>
      <c r="O65" s="70" t="s">
        <v>38</v>
      </c>
      <c r="P65" s="71" t="s">
        <v>343</v>
      </c>
    </row>
    <row r="66" spans="3:16">
      <c r="C66" s="6" t="s">
        <v>179</v>
      </c>
      <c r="D66">
        <f>D28*$O$15/$O$5</f>
        <v>660.43460000868549</v>
      </c>
      <c r="E66" t="s">
        <v>104</v>
      </c>
      <c r="F66" s="1"/>
      <c r="G66" s="101"/>
      <c r="J66" s="1"/>
      <c r="K66" s="1"/>
      <c r="M66" s="64" t="s">
        <v>344</v>
      </c>
      <c r="N66" s="42">
        <f>16*16</f>
        <v>256</v>
      </c>
      <c r="O66" s="42">
        <f>N66*0.092903</f>
        <v>23.783168</v>
      </c>
      <c r="P66" s="65">
        <f>O66/SUM(O66:O69)</f>
        <v>3.5179332142366362E-2</v>
      </c>
    </row>
    <row r="67" spans="3:16">
      <c r="C67" s="6" t="s">
        <v>712</v>
      </c>
      <c r="D67">
        <f>D29*$O$15/$O$5</f>
        <v>5.2176314679773785</v>
      </c>
      <c r="E67" t="s">
        <v>207</v>
      </c>
      <c r="F67" s="1"/>
      <c r="G67" s="101"/>
      <c r="J67" s="1"/>
      <c r="K67" s="1"/>
      <c r="M67" s="64" t="s">
        <v>345</v>
      </c>
      <c r="N67" s="42">
        <f>26*24+24*35+8*22</f>
        <v>1640</v>
      </c>
      <c r="O67" s="42">
        <f t="shared" ref="O67:O69" si="2">N67*0.092903</f>
        <v>152.36091999999999</v>
      </c>
      <c r="P67" s="65">
        <f>O67/SUM(O66:O69)</f>
        <v>0.2253675965370345</v>
      </c>
    </row>
    <row r="68" spans="3:16">
      <c r="C68" s="6" t="s">
        <v>711</v>
      </c>
      <c r="D68">
        <f>D30*$O$15/$O$5</f>
        <v>4.9277630530897465</v>
      </c>
      <c r="E68" t="s">
        <v>207</v>
      </c>
      <c r="F68" s="1"/>
      <c r="G68" s="101"/>
      <c r="J68" s="1"/>
      <c r="K68" s="1"/>
      <c r="M68" s="64" t="s">
        <v>346</v>
      </c>
      <c r="N68" s="42">
        <f>49*33+35*40+26*23+23*26+23*26</f>
        <v>4811</v>
      </c>
      <c r="O68" s="42">
        <f t="shared" si="2"/>
        <v>446.95633299999997</v>
      </c>
      <c r="P68" s="65">
        <f>O68/SUM(O66:O69)</f>
        <v>0.66112408959736157</v>
      </c>
    </row>
    <row r="69" spans="3:16" ht="15.75" thickBot="1">
      <c r="C69" s="6" t="s">
        <v>337</v>
      </c>
      <c r="D69" s="167">
        <f>D31</f>
        <v>1.0883489225330734E-3</v>
      </c>
      <c r="E69" t="s">
        <v>211</v>
      </c>
      <c r="F69" s="1"/>
      <c r="G69" s="101"/>
      <c r="J69" s="1"/>
      <c r="K69" s="1"/>
      <c r="M69" s="66" t="s">
        <v>347</v>
      </c>
      <c r="N69" s="67">
        <f>21*14+23*12</f>
        <v>570</v>
      </c>
      <c r="O69" s="42">
        <f t="shared" si="2"/>
        <v>52.954709999999999</v>
      </c>
      <c r="P69" s="68">
        <f>O69/SUM(O66:O69)</f>
        <v>7.8328981723237601E-2</v>
      </c>
    </row>
    <row r="70" spans="3:16" ht="15.75" thickBot="1">
      <c r="C70" s="8" t="s">
        <v>338</v>
      </c>
      <c r="D70" s="9">
        <f>'MATLAB INPUT'!C110*'Transport Outdoor'!C25</f>
        <v>36.983725921342312</v>
      </c>
      <c r="E70" s="9" t="s">
        <v>211</v>
      </c>
      <c r="F70" s="102"/>
      <c r="G70" s="103"/>
      <c r="J70" s="1"/>
      <c r="K70" s="1"/>
    </row>
    <row r="71" spans="3:16">
      <c r="C71" s="12" t="s">
        <v>240</v>
      </c>
      <c r="D71" s="14">
        <f>'Transport Outdoor'!D57</f>
        <v>1.3601609849857361</v>
      </c>
      <c r="E71" s="14" t="s">
        <v>239</v>
      </c>
      <c r="F71" s="99" t="s">
        <v>243</v>
      </c>
      <c r="G71" s="100"/>
      <c r="J71" s="1"/>
      <c r="K71" s="1"/>
      <c r="M71" s="1" t="s">
        <v>4</v>
      </c>
      <c r="N71" s="1">
        <v>938.18181818181813</v>
      </c>
      <c r="O71" t="s">
        <v>23</v>
      </c>
    </row>
    <row r="72" spans="3:16">
      <c r="C72" s="6" t="s">
        <v>694</v>
      </c>
      <c r="D72">
        <f>'Transport Outdoor'!E57</f>
        <v>3.3004751148064977</v>
      </c>
      <c r="E72" t="s">
        <v>239</v>
      </c>
      <c r="F72" s="1"/>
      <c r="G72" s="101"/>
      <c r="J72" s="1"/>
      <c r="K72" s="1"/>
      <c r="N72" t="s">
        <v>389</v>
      </c>
    </row>
    <row r="73" spans="3:16" ht="15" customHeight="1" thickBot="1">
      <c r="C73" s="6" t="s">
        <v>241</v>
      </c>
      <c r="D73">
        <f>'Transport Outdoor'!F57</f>
        <v>15</v>
      </c>
      <c r="E73" t="s">
        <v>239</v>
      </c>
      <c r="F73" s="102"/>
      <c r="G73" s="103"/>
      <c r="J73" s="1"/>
      <c r="K73" s="1"/>
      <c r="M73" t="s">
        <v>389</v>
      </c>
      <c r="N73" t="s">
        <v>332</v>
      </c>
      <c r="O73" t="s">
        <v>380</v>
      </c>
    </row>
    <row r="74" spans="3:16" ht="60">
      <c r="C74" s="12" t="s">
        <v>605</v>
      </c>
      <c r="D74" s="14">
        <f>D36*(P66+P69)</f>
        <v>156.29867802665936</v>
      </c>
      <c r="E74" s="14" t="s">
        <v>206</v>
      </c>
      <c r="F74" s="77" t="s">
        <v>349</v>
      </c>
      <c r="G74" s="78"/>
      <c r="J74" s="1"/>
      <c r="K74" s="1"/>
      <c r="M74" t="s">
        <v>387</v>
      </c>
      <c r="N74">
        <f>6*16</f>
        <v>96</v>
      </c>
      <c r="O74">
        <f>(N74+N75)/N61*100</f>
        <v>12.859831188954765</v>
      </c>
    </row>
    <row r="75" spans="3:16" ht="15.75" thickBot="1">
      <c r="C75" s="8" t="s">
        <v>604</v>
      </c>
      <c r="D75" s="9">
        <f>D37*(P66+P69)</f>
        <v>84.351990074960824</v>
      </c>
      <c r="E75" s="9" t="s">
        <v>289</v>
      </c>
      <c r="F75" s="79"/>
      <c r="G75" s="80"/>
      <c r="J75" s="1"/>
      <c r="K75" s="1"/>
      <c r="M75" t="s">
        <v>383</v>
      </c>
      <c r="N75">
        <f>1152</f>
        <v>1152</v>
      </c>
    </row>
    <row r="76" spans="3:16">
      <c r="J76" s="1"/>
      <c r="K76" s="1"/>
      <c r="M76" t="s">
        <v>388</v>
      </c>
      <c r="N76">
        <v>1000</v>
      </c>
    </row>
    <row r="77" spans="3:16">
      <c r="J77" s="1"/>
      <c r="K77" s="1"/>
      <c r="N77" t="s">
        <v>390</v>
      </c>
    </row>
    <row r="78" spans="3:16">
      <c r="J78" s="1"/>
      <c r="K78" s="1"/>
      <c r="M78" t="s">
        <v>390</v>
      </c>
    </row>
    <row r="79" spans="3:16">
      <c r="J79" s="1"/>
      <c r="K79" s="1"/>
      <c r="M79" t="s">
        <v>387</v>
      </c>
      <c r="N79">
        <v>800</v>
      </c>
      <c r="O79">
        <f>N79/N61*100</f>
        <v>8.2434815313812599</v>
      </c>
    </row>
    <row r="80" spans="3:16">
      <c r="J80" s="1"/>
      <c r="K80" s="1"/>
      <c r="M80" t="s">
        <v>391</v>
      </c>
    </row>
    <row r="81" spans="10:11">
      <c r="J81" s="1"/>
      <c r="K81" s="1"/>
    </row>
    <row r="82" spans="10:11">
      <c r="J82" s="1"/>
      <c r="K82" s="1"/>
    </row>
    <row r="83" spans="10:11">
      <c r="J83" s="1"/>
      <c r="K83" s="1"/>
    </row>
    <row r="84" spans="10:11">
      <c r="J84" s="1"/>
      <c r="K84" s="1"/>
    </row>
    <row r="85" spans="10:11">
      <c r="J85" s="1"/>
      <c r="K85" s="1"/>
    </row>
    <row r="86" spans="10:11">
      <c r="J86" s="1"/>
      <c r="K86" s="1"/>
    </row>
    <row r="87" spans="10:11">
      <c r="J87" s="1"/>
      <c r="K87" s="1"/>
    </row>
    <row r="88" spans="10:11">
      <c r="J88" s="1"/>
      <c r="K88" s="1"/>
    </row>
    <row r="89" spans="10:11">
      <c r="J89" s="1"/>
      <c r="K89" s="1"/>
    </row>
    <row r="90" spans="10:11">
      <c r="J90" s="1"/>
      <c r="K90" s="1"/>
    </row>
    <row r="91" spans="10:11">
      <c r="J91" s="1"/>
      <c r="K91" s="1"/>
    </row>
    <row r="92" spans="10:11">
      <c r="J92" s="1"/>
      <c r="K92" s="1"/>
    </row>
    <row r="93" spans="10:11">
      <c r="J93" s="1"/>
      <c r="K93" s="1"/>
    </row>
    <row r="94" spans="10:11">
      <c r="J94" s="1"/>
      <c r="K94" s="1"/>
    </row>
    <row r="95" spans="10:11">
      <c r="J95" s="1"/>
      <c r="K95" s="1"/>
    </row>
    <row r="96" spans="10:11">
      <c r="J96" s="1"/>
      <c r="K96" s="1"/>
    </row>
    <row r="97" spans="10:11">
      <c r="J97" s="1"/>
      <c r="K97" s="1"/>
    </row>
    <row r="98" spans="10:11">
      <c r="J98" s="1"/>
      <c r="K98" s="1"/>
    </row>
    <row r="99" spans="10:11">
      <c r="J99" s="1"/>
      <c r="K99" s="1"/>
    </row>
    <row r="100" spans="10:11">
      <c r="J100" s="1"/>
      <c r="K100" s="1"/>
    </row>
    <row r="101" spans="10:11">
      <c r="J101" s="1"/>
      <c r="K101" s="1"/>
    </row>
    <row r="102" spans="10:11">
      <c r="J102" s="1"/>
      <c r="K102" s="1"/>
    </row>
    <row r="103" spans="10:11">
      <c r="J103" s="1"/>
      <c r="K103" s="1"/>
    </row>
    <row r="104" spans="10:11">
      <c r="J104" s="1"/>
      <c r="K104" s="1"/>
    </row>
    <row r="105" spans="10:11">
      <c r="J105" s="1"/>
      <c r="K105" s="1"/>
    </row>
    <row r="106" spans="10:11">
      <c r="J106" s="1"/>
      <c r="K106" s="1"/>
    </row>
    <row r="107" spans="10:11">
      <c r="J107" s="1"/>
      <c r="K107" s="1"/>
    </row>
    <row r="108" spans="10:11">
      <c r="J108" s="1"/>
      <c r="K108" s="1"/>
    </row>
    <row r="109" spans="10:11">
      <c r="J109" s="1"/>
      <c r="K109" s="1"/>
    </row>
    <row r="110" spans="10:11">
      <c r="J110" s="1"/>
      <c r="K110" s="1"/>
    </row>
    <row r="111" spans="10:11">
      <c r="J111" s="1"/>
      <c r="K111" s="1"/>
    </row>
    <row r="112" spans="10:11">
      <c r="J112" s="1"/>
      <c r="K112" s="1"/>
    </row>
    <row r="113" spans="10:11">
      <c r="J113" s="1"/>
      <c r="K113" s="1"/>
    </row>
    <row r="114" spans="10:11">
      <c r="J114" s="1"/>
      <c r="K114" s="1"/>
    </row>
    <row r="115" spans="10:11">
      <c r="J115" s="1"/>
      <c r="K115" s="1"/>
    </row>
    <row r="116" spans="10:11">
      <c r="J116" s="1"/>
      <c r="K116" s="1"/>
    </row>
    <row r="117" spans="10:11">
      <c r="J117" s="1"/>
      <c r="K117" s="1"/>
    </row>
    <row r="118" spans="10:11">
      <c r="J118" s="1"/>
      <c r="K118" s="1"/>
    </row>
    <row r="119" spans="10:11">
      <c r="J119" s="1"/>
      <c r="K119" s="1"/>
    </row>
    <row r="120" spans="10:11">
      <c r="J120" s="1"/>
      <c r="K120" s="1"/>
    </row>
    <row r="121" spans="10:11">
      <c r="J121" s="1"/>
      <c r="K121" s="1"/>
    </row>
    <row r="122" spans="10:11">
      <c r="J122" s="1"/>
      <c r="K122" s="1"/>
    </row>
    <row r="123" spans="10:11">
      <c r="J123" s="1"/>
      <c r="K123" s="1"/>
    </row>
    <row r="124" spans="10:11">
      <c r="J124" s="1"/>
      <c r="K124" s="1"/>
    </row>
    <row r="125" spans="10:11">
      <c r="J125" s="1"/>
      <c r="K125" s="1"/>
    </row>
    <row r="126" spans="10:11">
      <c r="J126" s="1"/>
      <c r="K126" s="1"/>
    </row>
    <row r="127" spans="10:11">
      <c r="J127" s="1"/>
      <c r="K127" s="1"/>
    </row>
    <row r="128" spans="10:11">
      <c r="J128" s="1"/>
      <c r="K128" s="1"/>
    </row>
  </sheetData>
  <mergeCells count="9">
    <mergeCell ref="F33:G35"/>
    <mergeCell ref="F41:G42"/>
    <mergeCell ref="N2:P2"/>
    <mergeCell ref="F4:G21"/>
    <mergeCell ref="F1:G1"/>
    <mergeCell ref="F2:G3"/>
    <mergeCell ref="N21:P21"/>
    <mergeCell ref="N12:P12"/>
    <mergeCell ref="F22:G3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CFD52-2AEE-4E5E-BB76-750FD8390AA9}">
  <dimension ref="A1:V64"/>
  <sheetViews>
    <sheetView zoomScale="55" zoomScaleNormal="55" workbookViewId="0">
      <selection activeCell="S25" sqref="S25:S26"/>
    </sheetView>
  </sheetViews>
  <sheetFormatPr defaultRowHeight="15"/>
  <cols>
    <col min="1" max="1" width="35.42578125" style="104" customWidth="1"/>
    <col min="2" max="8" width="9.140625" style="104"/>
    <col min="9" max="9" width="29.42578125" style="104" customWidth="1"/>
    <col min="10" max="10" width="14.7109375" style="104" customWidth="1"/>
    <col min="11" max="11" width="18.5703125" style="104" customWidth="1"/>
    <col min="12" max="12" width="16.28515625" style="104" customWidth="1"/>
    <col min="13" max="13" width="18.42578125" style="104" customWidth="1"/>
    <col min="14" max="14" width="14.85546875" style="104" bestFit="1" customWidth="1"/>
    <col min="15" max="15" width="9.140625" style="104"/>
    <col min="16" max="16" width="15.5703125" style="104" customWidth="1"/>
    <col min="17" max="17" width="9.140625" style="104"/>
    <col min="18" max="18" width="22.7109375" style="104" customWidth="1"/>
    <col min="19" max="19" width="20" style="104" customWidth="1"/>
    <col min="20" max="16384" width="9.140625" style="104"/>
  </cols>
  <sheetData>
    <row r="1" spans="1:16">
      <c r="J1" s="105" t="s">
        <v>66</v>
      </c>
      <c r="K1" s="106">
        <f>S44</f>
        <v>7.4936240666456724E-6</v>
      </c>
      <c r="L1" s="107" t="s">
        <v>226</v>
      </c>
      <c r="N1" s="105">
        <f t="shared" ref="N1:N13" si="0">K1/$B$6</f>
        <v>1.2229312922645138E-6</v>
      </c>
      <c r="O1" s="107" t="s">
        <v>111</v>
      </c>
    </row>
    <row r="2" spans="1:16" ht="15" customHeight="1">
      <c r="A2" s="190" t="s">
        <v>103</v>
      </c>
      <c r="B2" s="191"/>
      <c r="I2" s="108" t="s">
        <v>102</v>
      </c>
      <c r="J2" s="109" t="s">
        <v>86</v>
      </c>
      <c r="K2" s="110">
        <f>S45+N20</f>
        <v>4.0443565936270354E-2</v>
      </c>
      <c r="L2" s="111" t="s">
        <v>207</v>
      </c>
      <c r="M2" s="104" t="s">
        <v>109</v>
      </c>
      <c r="N2" s="109">
        <f t="shared" si="0"/>
        <v>6.6002380042487945E-3</v>
      </c>
      <c r="O2" s="111" t="s">
        <v>110</v>
      </c>
    </row>
    <row r="3" spans="1:16">
      <c r="A3" s="112" t="s">
        <v>40</v>
      </c>
      <c r="B3" s="112">
        <v>2.69</v>
      </c>
      <c r="I3" s="108" t="s">
        <v>354</v>
      </c>
      <c r="J3" s="109" t="s">
        <v>91</v>
      </c>
      <c r="K3" s="110">
        <f>S46</f>
        <v>7.7050850154031583E-3</v>
      </c>
      <c r="L3" s="111" t="s">
        <v>207</v>
      </c>
      <c r="N3" s="109">
        <f t="shared" si="0"/>
        <v>1.2574409245902822E-3</v>
      </c>
      <c r="O3" s="111" t="s">
        <v>111</v>
      </c>
    </row>
    <row r="4" spans="1:16">
      <c r="A4" s="112" t="s">
        <v>41</v>
      </c>
      <c r="B4" s="112">
        <v>0.43899789299999997</v>
      </c>
      <c r="J4" s="109" t="s">
        <v>94</v>
      </c>
      <c r="K4" s="110">
        <f>S47</f>
        <v>2.8140413888124284E-4</v>
      </c>
      <c r="L4" s="111" t="s">
        <v>226</v>
      </c>
      <c r="N4" s="109">
        <f t="shared" si="0"/>
        <v>4.5924098159979551E-5</v>
      </c>
      <c r="O4" s="111" t="s">
        <v>112</v>
      </c>
    </row>
    <row r="5" spans="1:16">
      <c r="A5" s="112" t="s">
        <v>42</v>
      </c>
      <c r="B5" s="112">
        <f>B4/B3</f>
        <v>0.16319624275092937</v>
      </c>
      <c r="J5" s="109" t="s">
        <v>84</v>
      </c>
      <c r="K5" s="110">
        <f>S48</f>
        <v>5.9247532578320536E-2</v>
      </c>
      <c r="L5" s="111" t="s">
        <v>207</v>
      </c>
      <c r="N5" s="109">
        <f t="shared" si="0"/>
        <v>9.6689747090451944E-3</v>
      </c>
      <c r="O5" s="111" t="s">
        <v>111</v>
      </c>
    </row>
    <row r="6" spans="1:16">
      <c r="A6" s="113" t="s">
        <v>107</v>
      </c>
      <c r="B6" s="114">
        <f>1/B5</f>
        <v>6.1275920520192564</v>
      </c>
      <c r="J6" s="109" t="s">
        <v>95</v>
      </c>
      <c r="K6" s="110">
        <f t="shared" ref="K6:K8" si="1">S49</f>
        <v>5.503282494354675E-4</v>
      </c>
      <c r="L6" s="111" t="s">
        <v>226</v>
      </c>
      <c r="N6" s="109">
        <f t="shared" si="0"/>
        <v>8.9811502587564568E-5</v>
      </c>
      <c r="O6" s="111" t="s">
        <v>111</v>
      </c>
    </row>
    <row r="7" spans="1:16">
      <c r="A7" s="113" t="s">
        <v>108</v>
      </c>
      <c r="B7" s="114">
        <f>1/B4</f>
        <v>2.2779152609737015</v>
      </c>
      <c r="J7" s="109" t="s">
        <v>88</v>
      </c>
      <c r="K7" s="110">
        <f>S50</f>
        <v>2.6352617383168147E-3</v>
      </c>
      <c r="L7" s="111" t="s">
        <v>226</v>
      </c>
      <c r="N7" s="109">
        <f t="shared" si="0"/>
        <v>4.3006481435858699E-4</v>
      </c>
      <c r="O7" s="111" t="s">
        <v>112</v>
      </c>
    </row>
    <row r="8" spans="1:16">
      <c r="J8" s="109" t="s">
        <v>90</v>
      </c>
      <c r="K8" s="110">
        <f t="shared" si="1"/>
        <v>5.7338857806534797E-2</v>
      </c>
      <c r="L8" s="111" t="s">
        <v>207</v>
      </c>
      <c r="N8" s="109">
        <f t="shared" si="0"/>
        <v>9.3574861576562751E-3</v>
      </c>
      <c r="O8" s="111" t="s">
        <v>112</v>
      </c>
    </row>
    <row r="9" spans="1:16" ht="15.75" thickBot="1">
      <c r="A9" s="115" t="s">
        <v>43</v>
      </c>
      <c r="B9" s="104" t="s">
        <v>44</v>
      </c>
      <c r="F9" s="104" t="s">
        <v>115</v>
      </c>
      <c r="J9" s="109" t="s">
        <v>89</v>
      </c>
      <c r="K9" s="116">
        <f>S52+N18</f>
        <v>0.10316461180835396</v>
      </c>
      <c r="L9" s="111" t="s">
        <v>207</v>
      </c>
      <c r="N9" s="109">
        <f t="shared" si="0"/>
        <v>1.6836077031981526E-2</v>
      </c>
      <c r="O9" s="111" t="s">
        <v>111</v>
      </c>
    </row>
    <row r="10" spans="1:16" ht="45">
      <c r="A10" s="117" t="s">
        <v>362</v>
      </c>
      <c r="B10" s="118" t="s">
        <v>45</v>
      </c>
      <c r="C10" s="106" t="s">
        <v>46</v>
      </c>
      <c r="D10" s="119" t="s">
        <v>47</v>
      </c>
      <c r="E10" s="120" t="s">
        <v>52</v>
      </c>
      <c r="F10" s="120" t="s">
        <v>78</v>
      </c>
      <c r="G10" s="120" t="s">
        <v>48</v>
      </c>
      <c r="H10" s="107" t="s">
        <v>104</v>
      </c>
      <c r="J10" s="109" t="s">
        <v>97</v>
      </c>
      <c r="K10" s="104">
        <f>S53</f>
        <v>3.3181743648343953E-5</v>
      </c>
      <c r="L10" s="111" t="s">
        <v>226</v>
      </c>
      <c r="N10" s="109">
        <f t="shared" si="0"/>
        <v>5.4151358913342484E-6</v>
      </c>
      <c r="O10" s="111" t="s">
        <v>110</v>
      </c>
    </row>
    <row r="11" spans="1:16">
      <c r="A11" s="109" t="s">
        <v>49</v>
      </c>
      <c r="B11" s="104">
        <f>('MATLAB INPUT'!C35+'MATLAB INPUT'!C36)*7</f>
        <v>107</v>
      </c>
      <c r="C11" s="121">
        <v>500</v>
      </c>
      <c r="D11" s="104">
        <v>140</v>
      </c>
      <c r="E11" s="104">
        <f>B11*C11/1000*D11</f>
        <v>7490</v>
      </c>
      <c r="F11" s="104">
        <f>E11*B6</f>
        <v>45895.664469624229</v>
      </c>
      <c r="G11" s="104">
        <f>C11/1000*B11</f>
        <v>53.5</v>
      </c>
      <c r="H11" s="111">
        <f>G11*B6</f>
        <v>327.82617478303024</v>
      </c>
      <c r="J11" s="109" t="s">
        <v>92</v>
      </c>
      <c r="K11" s="110">
        <f>S54</f>
        <v>1.3389164125126796E-2</v>
      </c>
      <c r="L11" s="111" t="s">
        <v>207</v>
      </c>
      <c r="N11" s="109">
        <f t="shared" si="0"/>
        <v>2.1850612787962277E-3</v>
      </c>
      <c r="O11" s="111" t="s">
        <v>110</v>
      </c>
    </row>
    <row r="12" spans="1:16">
      <c r="A12" s="109" t="s">
        <v>51</v>
      </c>
      <c r="B12" s="104">
        <v>107</v>
      </c>
      <c r="C12" s="121">
        <v>500</v>
      </c>
      <c r="D12" s="104">
        <v>14.7</v>
      </c>
      <c r="E12" s="104">
        <f t="shared" ref="E12" si="2">B12*C12/1000*D12</f>
        <v>786.44999999999993</v>
      </c>
      <c r="F12" s="104">
        <f>E12*B6</f>
        <v>4819.0447693105434</v>
      </c>
      <c r="H12" s="111"/>
      <c r="J12" s="109" t="s">
        <v>87</v>
      </c>
      <c r="K12" s="110">
        <f>S55</f>
        <v>0.13031237482963245</v>
      </c>
      <c r="L12" s="111" t="s">
        <v>207</v>
      </c>
      <c r="N12" s="109">
        <f t="shared" si="0"/>
        <v>2.1266489956146797E-2</v>
      </c>
      <c r="O12" s="111" t="s">
        <v>110</v>
      </c>
    </row>
    <row r="13" spans="1:16" ht="15.75" thickBot="1">
      <c r="A13" s="122" t="s">
        <v>50</v>
      </c>
      <c r="B13" s="123">
        <v>107</v>
      </c>
      <c r="C13" s="124">
        <v>500</v>
      </c>
      <c r="D13" s="123">
        <v>205</v>
      </c>
      <c r="E13" s="123">
        <f>B13*C13/1000*D13</f>
        <v>10967.5</v>
      </c>
      <c r="F13" s="123">
        <f>E13*B6</f>
        <v>67204.365830521201</v>
      </c>
      <c r="G13" s="123"/>
      <c r="H13" s="125"/>
      <c r="J13" s="109" t="s">
        <v>608</v>
      </c>
      <c r="K13" s="123">
        <f>S56</f>
        <v>3.5334014755776646E-4</v>
      </c>
      <c r="L13" s="125" t="s">
        <v>226</v>
      </c>
      <c r="N13" s="122">
        <f t="shared" si="0"/>
        <v>5.7663784494486462E-5</v>
      </c>
      <c r="O13" s="125" t="s">
        <v>111</v>
      </c>
    </row>
    <row r="15" spans="1:16" ht="15.75" thickBot="1"/>
    <row r="16" spans="1:16" ht="15.75" thickBot="1">
      <c r="J16" s="187" t="s">
        <v>616</v>
      </c>
      <c r="K16" s="188"/>
      <c r="L16" s="188"/>
      <c r="M16" s="188"/>
      <c r="N16" s="188"/>
      <c r="O16" s="188"/>
      <c r="P16" s="189"/>
    </row>
    <row r="17" spans="1:21" ht="15.75" thickBot="1">
      <c r="A17" s="105" t="s">
        <v>617</v>
      </c>
      <c r="B17" s="106" t="s">
        <v>626</v>
      </c>
      <c r="C17" s="106"/>
      <c r="D17" s="107"/>
      <c r="J17" s="109" t="s">
        <v>609</v>
      </c>
      <c r="K17" s="104" t="s">
        <v>380</v>
      </c>
      <c r="L17" s="104" t="s">
        <v>70</v>
      </c>
      <c r="N17" s="104" t="s">
        <v>612</v>
      </c>
      <c r="O17" s="104" t="s">
        <v>611</v>
      </c>
      <c r="P17" s="111"/>
    </row>
    <row r="18" spans="1:21" ht="15.75">
      <c r="A18" s="126" t="s">
        <v>618</v>
      </c>
      <c r="B18" s="104">
        <f>0.01*F11/1000</f>
        <v>0.45895664469624226</v>
      </c>
      <c r="C18" s="127" t="s">
        <v>622</v>
      </c>
      <c r="D18" s="111"/>
      <c r="J18" s="109" t="s">
        <v>57</v>
      </c>
      <c r="K18" s="104">
        <v>16.39</v>
      </c>
      <c r="L18" s="128">
        <f>K8*K18/100</f>
        <v>9.3978387944910532E-3</v>
      </c>
      <c r="M18" s="104" t="s">
        <v>610</v>
      </c>
      <c r="N18" s="129">
        <f>L18/0.2019</f>
        <v>4.6546997496240979E-2</v>
      </c>
      <c r="O18" s="104">
        <v>0.2019</v>
      </c>
      <c r="P18" s="130">
        <f>N18*O18</f>
        <v>9.3978387944910532E-3</v>
      </c>
    </row>
    <row r="19" spans="1:21" ht="15" customHeight="1">
      <c r="A19" s="131" t="s">
        <v>627</v>
      </c>
      <c r="B19" s="104">
        <f>0.21*B18</f>
        <v>9.6380895386210877E-2</v>
      </c>
      <c r="C19" s="104" t="s">
        <v>623</v>
      </c>
      <c r="D19" s="111"/>
      <c r="J19" s="109" t="s">
        <v>49</v>
      </c>
      <c r="K19" s="104">
        <v>18.89</v>
      </c>
      <c r="L19" s="128">
        <f>K8*K19/100</f>
        <v>1.0831310239654423E-2</v>
      </c>
      <c r="N19" s="104" t="s">
        <v>615</v>
      </c>
      <c r="O19" s="104" t="s">
        <v>614</v>
      </c>
      <c r="P19" s="111"/>
    </row>
    <row r="20" spans="1:21" ht="20.25" customHeight="1">
      <c r="A20" s="131" t="s">
        <v>619</v>
      </c>
      <c r="B20" s="104">
        <f>0.04*F11/1000</f>
        <v>1.835826578784969</v>
      </c>
      <c r="C20" s="104" t="s">
        <v>623</v>
      </c>
      <c r="D20" s="111"/>
      <c r="J20" s="109"/>
      <c r="M20" s="104" t="s">
        <v>613</v>
      </c>
      <c r="N20" s="132">
        <f>L19/0.35</f>
        <v>3.0946600684726926E-2</v>
      </c>
      <c r="O20" s="104">
        <v>0.35</v>
      </c>
      <c r="P20" s="130">
        <f>N20*O20</f>
        <v>1.0831310239654423E-2</v>
      </c>
    </row>
    <row r="21" spans="1:21" ht="18" customHeight="1" thickBot="1">
      <c r="A21" s="131" t="s">
        <v>620</v>
      </c>
      <c r="B21" s="104">
        <f>0.12*F12/1000</f>
        <v>0.57828537231726518</v>
      </c>
      <c r="C21" s="133" t="s">
        <v>624</v>
      </c>
      <c r="D21" s="111"/>
      <c r="J21" s="122"/>
      <c r="K21" s="123"/>
      <c r="L21" s="123"/>
      <c r="M21" s="123"/>
      <c r="N21" s="123"/>
      <c r="O21" s="123"/>
      <c r="P21" s="125"/>
    </row>
    <row r="22" spans="1:21" ht="18" customHeight="1" thickBot="1">
      <c r="A22" s="134" t="s">
        <v>621</v>
      </c>
      <c r="B22" s="123">
        <f>0.01*F11/1000</f>
        <v>0.45895664469624226</v>
      </c>
      <c r="C22" s="123" t="s">
        <v>625</v>
      </c>
      <c r="D22" s="125"/>
      <c r="U22" s="110">
        <f>AC65+X40</f>
        <v>0</v>
      </c>
    </row>
    <row r="23" spans="1:21" ht="18" customHeight="1"/>
    <row r="24" spans="1:21" ht="18" customHeight="1"/>
    <row r="25" spans="1:21" ht="18" customHeight="1"/>
    <row r="26" spans="1:21" ht="18" customHeight="1"/>
    <row r="27" spans="1:21" ht="18" customHeight="1"/>
    <row r="28" spans="1:21" ht="35.25" customHeight="1" thickBot="1">
      <c r="A28" s="108" t="s">
        <v>699</v>
      </c>
    </row>
    <row r="29" spans="1:21" ht="18" customHeight="1">
      <c r="A29" s="185" t="s">
        <v>69</v>
      </c>
      <c r="B29" s="186"/>
      <c r="C29" s="186"/>
      <c r="D29" s="186"/>
      <c r="E29" s="186"/>
      <c r="F29" s="186"/>
      <c r="G29" s="186"/>
      <c r="H29" s="186"/>
      <c r="I29" s="186"/>
      <c r="J29" s="186"/>
      <c r="K29" s="186"/>
      <c r="L29" s="186"/>
      <c r="M29" s="186"/>
      <c r="N29" s="186"/>
      <c r="O29" s="186"/>
      <c r="P29" s="135"/>
      <c r="Q29" s="136"/>
    </row>
    <row r="30" spans="1:21" ht="15" customHeight="1">
      <c r="A30" s="137" t="s">
        <v>53</v>
      </c>
      <c r="B30" s="138"/>
      <c r="C30" s="139" t="s">
        <v>54</v>
      </c>
      <c r="D30" s="139" t="s">
        <v>55</v>
      </c>
      <c r="E30" s="139" t="s">
        <v>51</v>
      </c>
      <c r="F30" s="139" t="s">
        <v>50</v>
      </c>
      <c r="G30" s="139" t="s">
        <v>56</v>
      </c>
      <c r="H30" s="139" t="s">
        <v>57</v>
      </c>
      <c r="I30" s="139" t="s">
        <v>58</v>
      </c>
      <c r="J30" s="139" t="s">
        <v>59</v>
      </c>
      <c r="K30" s="139" t="s">
        <v>60</v>
      </c>
      <c r="L30" s="139" t="s">
        <v>61</v>
      </c>
      <c r="M30" s="139" t="s">
        <v>62</v>
      </c>
      <c r="N30" s="139" t="s">
        <v>63</v>
      </c>
      <c r="O30" s="139" t="s">
        <v>64</v>
      </c>
      <c r="P30" s="139" t="s">
        <v>65</v>
      </c>
      <c r="Q30" s="140" t="s">
        <v>66</v>
      </c>
    </row>
    <row r="31" spans="1:21" ht="18" customHeight="1">
      <c r="A31" s="141">
        <f>IF((D31+F31+G31*2+H31*2+I31)=0,0,(D31+F31+G31*2+H31*2+I31)*0.095+ 0.19)</f>
        <v>1.4033853548768691</v>
      </c>
      <c r="B31" s="142" t="s">
        <v>67</v>
      </c>
      <c r="C31" s="142">
        <v>10</v>
      </c>
      <c r="D31" s="142">
        <v>1.6500005288715935</v>
      </c>
      <c r="E31" s="142">
        <v>0.47360655274231939</v>
      </c>
      <c r="F31" s="142">
        <v>5.2424708545026473</v>
      </c>
      <c r="G31" s="142">
        <v>1.1200000000000001</v>
      </c>
      <c r="H31" s="142">
        <v>1.82</v>
      </c>
      <c r="I31" s="142">
        <v>6.0363822755716919E-6</v>
      </c>
      <c r="J31" s="142">
        <v>1.1513926205409655</v>
      </c>
      <c r="K31" s="142">
        <v>0</v>
      </c>
      <c r="L31" s="143">
        <v>2.5000000000000001E-2</v>
      </c>
      <c r="M31" s="143">
        <v>1.2E-2</v>
      </c>
      <c r="N31" s="143">
        <v>9.0000000000000011E-3</v>
      </c>
      <c r="O31" s="143">
        <v>4.9999999999999992E-3</v>
      </c>
      <c r="P31" s="143">
        <v>8.0000000000000004E-4</v>
      </c>
      <c r="Q31" s="144">
        <v>2.9999999999999992E-4</v>
      </c>
    </row>
    <row r="32" spans="1:21" ht="18" customHeight="1" thickBot="1">
      <c r="A32" s="145"/>
      <c r="B32" s="146" t="s">
        <v>68</v>
      </c>
      <c r="C32" s="147">
        <v>140.07</v>
      </c>
      <c r="D32" s="147">
        <v>23.11155740790441</v>
      </c>
      <c r="E32" s="147">
        <v>14.66759493842963</v>
      </c>
      <c r="F32" s="147">
        <v>204.9806104110535</v>
      </c>
      <c r="G32" s="147">
        <v>44.889600000000002</v>
      </c>
      <c r="H32" s="147">
        <v>44.244199999999999</v>
      </c>
      <c r="I32" s="147">
        <v>1.3877522123893808E-4</v>
      </c>
      <c r="J32" s="147">
        <v>36.844563857310895</v>
      </c>
      <c r="K32" s="147">
        <v>0</v>
      </c>
      <c r="L32" s="148">
        <v>1.3962500000000001E-3</v>
      </c>
      <c r="M32" s="148">
        <v>1.2960000000000003E-4</v>
      </c>
      <c r="N32" s="148">
        <v>5.7195000000000011E-4</v>
      </c>
      <c r="O32" s="148">
        <v>3.2689999999999992E-4</v>
      </c>
      <c r="P32" s="148">
        <v>4.3951999999999995E-5</v>
      </c>
      <c r="Q32" s="149">
        <v>2.8784999999999996E-5</v>
      </c>
    </row>
    <row r="33" spans="1:21" ht="18" customHeight="1">
      <c r="A33" s="150"/>
      <c r="B33" s="150"/>
      <c r="C33" s="150"/>
      <c r="D33" s="150"/>
      <c r="E33" s="150"/>
    </row>
    <row r="34" spans="1:21" ht="18" customHeight="1">
      <c r="A34" s="151"/>
      <c r="B34" s="151"/>
      <c r="C34" s="151"/>
      <c r="D34" s="151"/>
      <c r="E34" s="151"/>
      <c r="F34" s="152"/>
      <c r="G34" s="152"/>
      <c r="H34" s="104" t="s">
        <v>74</v>
      </c>
      <c r="J34" s="104" t="s">
        <v>80</v>
      </c>
      <c r="M34" s="104" t="s">
        <v>77</v>
      </c>
      <c r="U34" s="104" t="s">
        <v>85</v>
      </c>
    </row>
    <row r="35" spans="1:21" ht="18" customHeight="1">
      <c r="E35" s="104" t="s">
        <v>84</v>
      </c>
      <c r="F35" s="104">
        <v>16.903020000000001</v>
      </c>
      <c r="G35" s="104" t="s">
        <v>228</v>
      </c>
      <c r="H35" s="104">
        <f>14.01*2/164.1</f>
        <v>0.17074954296160877</v>
      </c>
      <c r="J35" s="132">
        <f>F35*H35+F38*H38+F40*H40+F43*H43+F45*H45+F47*H47+F49*H49</f>
        <v>13.093803475910708</v>
      </c>
      <c r="L35" s="132"/>
      <c r="M35" s="110">
        <f>F35*$J$44</f>
        <v>5.9247516267567218E-2</v>
      </c>
      <c r="N35" s="104" t="s">
        <v>82</v>
      </c>
      <c r="P35" s="104" t="s">
        <v>84</v>
      </c>
    </row>
    <row r="36" spans="1:21" ht="18" customHeight="1">
      <c r="E36" s="104" t="s">
        <v>85</v>
      </c>
      <c r="F36" s="104" t="s">
        <v>227</v>
      </c>
      <c r="G36" s="104" t="s">
        <v>227</v>
      </c>
      <c r="M36" s="110"/>
      <c r="P36" s="104" t="s">
        <v>85</v>
      </c>
    </row>
    <row r="37" spans="1:21" ht="18" customHeight="1">
      <c r="E37" s="104" t="s">
        <v>85</v>
      </c>
      <c r="F37" s="104" t="s">
        <v>227</v>
      </c>
      <c r="G37" s="104" t="s">
        <v>227</v>
      </c>
      <c r="H37" s="104" t="s">
        <v>71</v>
      </c>
      <c r="J37" s="104" t="s">
        <v>79</v>
      </c>
      <c r="M37" s="110"/>
      <c r="P37" s="104" t="s">
        <v>85</v>
      </c>
    </row>
    <row r="38" spans="1:21" ht="18" customHeight="1">
      <c r="E38" s="104" t="s">
        <v>86</v>
      </c>
      <c r="F38" s="104">
        <v>2.7094399999999998</v>
      </c>
      <c r="G38" s="104" t="s">
        <v>228</v>
      </c>
      <c r="H38" s="104">
        <f>14.01*2/80.05</f>
        <v>0.35003123048094942</v>
      </c>
      <c r="J38" s="104">
        <f>F11/1000000</f>
        <v>4.5895664469624231E-2</v>
      </c>
      <c r="M38" s="110">
        <f>F38*$J$44</f>
        <v>9.4969768997491162E-3</v>
      </c>
      <c r="N38" s="104" t="s">
        <v>82</v>
      </c>
      <c r="P38" s="104" t="s">
        <v>86</v>
      </c>
    </row>
    <row r="39" spans="1:21" ht="18" customHeight="1">
      <c r="H39" s="104" t="s">
        <v>72</v>
      </c>
      <c r="M39" s="110"/>
    </row>
    <row r="40" spans="1:21" ht="18" customHeight="1">
      <c r="E40" s="104" t="s">
        <v>87</v>
      </c>
      <c r="F40" s="104">
        <v>28.046949999999999</v>
      </c>
      <c r="G40" s="104" t="s">
        <v>228</v>
      </c>
      <c r="H40" s="104">
        <f>14.01/101.11</f>
        <v>0.13856196221936504</v>
      </c>
      <c r="M40" s="110">
        <f>F40*J44+F49*J44</f>
        <v>0.1303123795991481</v>
      </c>
      <c r="N40" s="104" t="s">
        <v>82</v>
      </c>
      <c r="P40" s="104" t="s">
        <v>87</v>
      </c>
    </row>
    <row r="41" spans="1:21" ht="18" customHeight="1">
      <c r="E41" s="104" t="s">
        <v>88</v>
      </c>
      <c r="F41" s="104">
        <v>0.75183</v>
      </c>
      <c r="G41" s="104" t="s">
        <v>229</v>
      </c>
      <c r="M41" s="110">
        <f>F41*$J$44</f>
        <v>2.6352722859846974E-3</v>
      </c>
      <c r="N41" s="104" t="s">
        <v>70</v>
      </c>
      <c r="P41" s="104" t="s">
        <v>88</v>
      </c>
    </row>
    <row r="42" spans="1:21" ht="18" customHeight="1">
      <c r="E42" s="104" t="s">
        <v>89</v>
      </c>
      <c r="F42" s="104">
        <v>16.152719999999999</v>
      </c>
      <c r="G42" s="104" t="s">
        <v>228</v>
      </c>
      <c r="H42" s="104" t="s">
        <v>75</v>
      </c>
      <c r="M42" s="110">
        <f>F42*$J$44</f>
        <v>5.6617606851642972E-2</v>
      </c>
      <c r="N42" s="104" t="s">
        <v>82</v>
      </c>
      <c r="P42" s="104" t="s">
        <v>89</v>
      </c>
    </row>
    <row r="43" spans="1:21" ht="18" customHeight="1">
      <c r="E43" s="104" t="s">
        <v>90</v>
      </c>
      <c r="F43" s="104">
        <v>16.35849</v>
      </c>
      <c r="G43" s="104" t="s">
        <v>228</v>
      </c>
      <c r="H43" s="104">
        <f>14.01*2/148.33</f>
        <v>0.18890312141845883</v>
      </c>
      <c r="J43" s="104" t="s">
        <v>81</v>
      </c>
      <c r="M43" s="110">
        <f>F43*$J$44</f>
        <v>5.7338860297617561E-2</v>
      </c>
      <c r="N43" s="104" t="s">
        <v>82</v>
      </c>
      <c r="P43" s="104" t="s">
        <v>90</v>
      </c>
    </row>
    <row r="44" spans="1:21" ht="18" customHeight="1">
      <c r="H44" s="104" t="s">
        <v>76</v>
      </c>
      <c r="J44" s="153">
        <f>J38/J35</f>
        <v>3.5051438303668348E-3</v>
      </c>
      <c r="M44" s="110"/>
      <c r="R44" s="104" t="s">
        <v>66</v>
      </c>
      <c r="S44" s="104">
        <v>7.4936240666456724E-6</v>
      </c>
      <c r="T44" s="104" t="s">
        <v>70</v>
      </c>
    </row>
    <row r="45" spans="1:21" ht="18" customHeight="1">
      <c r="D45" s="154"/>
      <c r="E45" s="104" t="s">
        <v>91</v>
      </c>
      <c r="F45" s="104">
        <v>2.1982200000000001</v>
      </c>
      <c r="G45" s="104" t="s">
        <v>228</v>
      </c>
      <c r="H45" s="104">
        <f>14.01*2/132.17</f>
        <v>0.21199969735946131</v>
      </c>
      <c r="M45" s="110">
        <f>F45*$J$44</f>
        <v>7.7050772707889835E-3</v>
      </c>
      <c r="N45" s="104" t="s">
        <v>82</v>
      </c>
      <c r="P45" s="104" t="s">
        <v>91</v>
      </c>
      <c r="R45" s="104" t="s">
        <v>86</v>
      </c>
      <c r="S45" s="110">
        <v>9.4969652515434263E-3</v>
      </c>
      <c r="T45" s="104" t="s">
        <v>82</v>
      </c>
    </row>
    <row r="46" spans="1:21" ht="18" customHeight="1">
      <c r="H46" s="104" t="s">
        <v>73</v>
      </c>
      <c r="M46" s="110"/>
      <c r="R46" s="104" t="s">
        <v>91</v>
      </c>
      <c r="S46" s="110">
        <v>7.7050850154031583E-3</v>
      </c>
      <c r="T46" s="104" t="s">
        <v>82</v>
      </c>
    </row>
    <row r="47" spans="1:21" ht="18" customHeight="1">
      <c r="E47" s="104" t="s">
        <v>92</v>
      </c>
      <c r="F47" s="104">
        <v>3.8198599999999998</v>
      </c>
      <c r="G47" s="104" t="s">
        <v>228</v>
      </c>
      <c r="H47" s="104">
        <f>14.01/97.01</f>
        <v>0.14441810122667764</v>
      </c>
      <c r="M47" s="110">
        <f>F47*$J$44</f>
        <v>1.3389158711865056E-2</v>
      </c>
      <c r="N47" s="104" t="s">
        <v>82</v>
      </c>
      <c r="P47" s="104" t="s">
        <v>92</v>
      </c>
      <c r="R47" s="104" t="s">
        <v>94</v>
      </c>
      <c r="S47" s="110">
        <v>2.8140413888124284E-4</v>
      </c>
      <c r="T47" s="104" t="s">
        <v>70</v>
      </c>
    </row>
    <row r="48" spans="1:21" ht="18" customHeight="1">
      <c r="E48" s="104" t="s">
        <v>85</v>
      </c>
      <c r="F48" s="104" t="s">
        <v>227</v>
      </c>
      <c r="G48" s="104" t="s">
        <v>227</v>
      </c>
      <c r="H48" s="104" t="s">
        <v>72</v>
      </c>
      <c r="M48" s="110"/>
      <c r="P48" s="104" t="s">
        <v>85</v>
      </c>
      <c r="R48" s="104" t="s">
        <v>84</v>
      </c>
      <c r="S48" s="110">
        <v>5.9247532578320536E-2</v>
      </c>
      <c r="T48" s="104" t="s">
        <v>82</v>
      </c>
    </row>
    <row r="49" spans="1:22" ht="15" customHeight="1">
      <c r="E49" s="104" t="s">
        <v>87</v>
      </c>
      <c r="F49" s="104">
        <v>9.1305200000000006</v>
      </c>
      <c r="G49" s="104" t="s">
        <v>228</v>
      </c>
      <c r="H49" s="104">
        <f>14.01/101.11</f>
        <v>0.13856196221936504</v>
      </c>
      <c r="M49" s="110"/>
      <c r="P49" s="104" t="s">
        <v>93</v>
      </c>
      <c r="R49" s="104" t="s">
        <v>95</v>
      </c>
      <c r="S49" s="110">
        <v>5.503282494354675E-4</v>
      </c>
      <c r="T49" s="104" t="s">
        <v>70</v>
      </c>
    </row>
    <row r="50" spans="1:22">
      <c r="E50" s="104" t="s">
        <v>85</v>
      </c>
      <c r="F50" s="104" t="s">
        <v>227</v>
      </c>
      <c r="G50" s="104" t="s">
        <v>227</v>
      </c>
      <c r="M50" s="110">
        <f>F54*$J$44</f>
        <v>2.813929467018495E-4</v>
      </c>
      <c r="N50" s="104" t="s">
        <v>70</v>
      </c>
      <c r="P50" s="104" t="s">
        <v>94</v>
      </c>
      <c r="R50" s="104" t="s">
        <v>88</v>
      </c>
      <c r="S50" s="110">
        <v>2.6352617383168147E-3</v>
      </c>
      <c r="T50" s="104" t="s">
        <v>70</v>
      </c>
      <c r="U50" s="104" t="s">
        <v>607</v>
      </c>
    </row>
    <row r="51" spans="1:22">
      <c r="E51" s="104" t="s">
        <v>85</v>
      </c>
      <c r="F51" s="104" t="s">
        <v>227</v>
      </c>
      <c r="G51" s="104" t="s">
        <v>227</v>
      </c>
      <c r="M51" s="110"/>
      <c r="P51" s="104" t="s">
        <v>85</v>
      </c>
      <c r="R51" s="104" t="s">
        <v>90</v>
      </c>
      <c r="S51" s="110">
        <v>5.7338857806534797E-2</v>
      </c>
      <c r="T51" s="104" t="s">
        <v>82</v>
      </c>
    </row>
    <row r="52" spans="1:22">
      <c r="E52" s="104" t="s">
        <v>85</v>
      </c>
      <c r="F52" s="104" t="s">
        <v>227</v>
      </c>
      <c r="G52" s="104" t="s">
        <v>227</v>
      </c>
      <c r="M52" s="110">
        <f>F56*$J$44</f>
        <v>5.5034263280589676E-4</v>
      </c>
      <c r="N52" s="104" t="s">
        <v>70</v>
      </c>
      <c r="P52" s="104" t="s">
        <v>95</v>
      </c>
      <c r="R52" s="104" t="s">
        <v>89</v>
      </c>
      <c r="S52" s="110">
        <v>5.6617614312112971E-2</v>
      </c>
      <c r="T52" s="104" t="s">
        <v>82</v>
      </c>
    </row>
    <row r="53" spans="1:22">
      <c r="E53" s="104" t="s">
        <v>93</v>
      </c>
      <c r="M53" s="110"/>
      <c r="P53" s="104" t="s">
        <v>85</v>
      </c>
      <c r="R53" s="104" t="s">
        <v>97</v>
      </c>
      <c r="S53" s="104">
        <v>3.3181743648343953E-5</v>
      </c>
      <c r="T53" s="104" t="s">
        <v>70</v>
      </c>
    </row>
    <row r="54" spans="1:22">
      <c r="E54" s="104" t="s">
        <v>94</v>
      </c>
      <c r="F54" s="104">
        <v>8.0280000000000004E-2</v>
      </c>
      <c r="G54" s="104" t="s">
        <v>229</v>
      </c>
      <c r="M54" s="110">
        <f>F58*$J$44</f>
        <v>3.5335354953928061E-4</v>
      </c>
      <c r="N54" s="104" t="s">
        <v>70</v>
      </c>
      <c r="P54" s="104" t="s">
        <v>96</v>
      </c>
      <c r="R54" s="104" t="s">
        <v>92</v>
      </c>
      <c r="S54" s="110">
        <v>1.3389164125126796E-2</v>
      </c>
      <c r="T54" s="104" t="s">
        <v>82</v>
      </c>
    </row>
    <row r="55" spans="1:22">
      <c r="E55" s="104" t="s">
        <v>85</v>
      </c>
      <c r="F55" s="104" t="s">
        <v>227</v>
      </c>
      <c r="G55" s="104" t="s">
        <v>227</v>
      </c>
      <c r="M55" s="110"/>
      <c r="P55" s="104" t="s">
        <v>85</v>
      </c>
      <c r="R55" s="104" t="s">
        <v>87</v>
      </c>
      <c r="S55" s="110">
        <v>0.13031237482963245</v>
      </c>
      <c r="T55" s="104" t="s">
        <v>82</v>
      </c>
    </row>
    <row r="56" spans="1:22">
      <c r="E56" s="104" t="s">
        <v>95</v>
      </c>
      <c r="F56" s="104">
        <v>0.15701000000000001</v>
      </c>
      <c r="G56" s="104" t="s">
        <v>229</v>
      </c>
      <c r="M56" s="110">
        <f>F60*$J$44</f>
        <v>3.3193712073573925E-5</v>
      </c>
      <c r="N56" s="104" t="s">
        <v>70</v>
      </c>
      <c r="P56" s="104" t="s">
        <v>97</v>
      </c>
      <c r="R56" s="109" t="s">
        <v>608</v>
      </c>
      <c r="S56" s="104">
        <v>3.5334014755776646E-4</v>
      </c>
      <c r="T56" s="104" t="s">
        <v>70</v>
      </c>
    </row>
    <row r="57" spans="1:22">
      <c r="E57" s="104" t="s">
        <v>85</v>
      </c>
      <c r="F57" s="104" t="s">
        <v>227</v>
      </c>
      <c r="G57" s="104" t="s">
        <v>227</v>
      </c>
      <c r="M57" s="110"/>
      <c r="P57" s="104" t="s">
        <v>85</v>
      </c>
      <c r="S57" s="110"/>
      <c r="V57" s="104" t="s">
        <v>85</v>
      </c>
    </row>
    <row r="58" spans="1:22">
      <c r="E58" s="109" t="s">
        <v>608</v>
      </c>
      <c r="F58" s="104">
        <v>0.10081</v>
      </c>
      <c r="G58" s="104" t="s">
        <v>229</v>
      </c>
      <c r="J58" s="104" t="s">
        <v>100</v>
      </c>
      <c r="M58" s="110">
        <f>J59*$J$44</f>
        <v>7.485627515630793E-6</v>
      </c>
      <c r="N58" s="104" t="s">
        <v>70</v>
      </c>
      <c r="P58" s="104" t="s">
        <v>66</v>
      </c>
      <c r="S58" s="110"/>
      <c r="V58" s="104" t="s">
        <v>85</v>
      </c>
    </row>
    <row r="59" spans="1:22">
      <c r="E59" s="104" t="s">
        <v>85</v>
      </c>
      <c r="F59" s="104" t="s">
        <v>227</v>
      </c>
      <c r="G59" s="104" t="s">
        <v>227</v>
      </c>
      <c r="J59" s="110">
        <f>H62*F62</f>
        <v>2.135612082670906E-3</v>
      </c>
      <c r="V59" s="104" t="s">
        <v>85</v>
      </c>
    </row>
    <row r="60" spans="1:22">
      <c r="E60" s="104" t="s">
        <v>97</v>
      </c>
      <c r="F60" s="104">
        <v>9.4699999999999993E-3</v>
      </c>
      <c r="G60" s="104" t="s">
        <v>229</v>
      </c>
      <c r="V60" s="104" t="s">
        <v>85</v>
      </c>
    </row>
    <row r="61" spans="1:22">
      <c r="E61" s="104" t="s">
        <v>85</v>
      </c>
      <c r="F61" s="104" t="s">
        <v>227</v>
      </c>
      <c r="G61" s="104" t="s">
        <v>227</v>
      </c>
      <c r="H61" s="104" t="s">
        <v>99</v>
      </c>
      <c r="J61" s="104" t="s">
        <v>101</v>
      </c>
      <c r="V61" s="104" t="s">
        <v>85</v>
      </c>
    </row>
    <row r="62" spans="1:22">
      <c r="E62" s="104" t="s">
        <v>98</v>
      </c>
      <c r="F62" s="104">
        <v>3.7000000000000002E-3</v>
      </c>
      <c r="G62" s="104" t="s">
        <v>229</v>
      </c>
      <c r="H62" s="104">
        <f>7*95.95/1163.65</f>
        <v>0.57719245477592052</v>
      </c>
      <c r="J62" s="155">
        <f>J44*J59</f>
        <v>7.485627515630793E-6</v>
      </c>
    </row>
    <row r="63" spans="1:22" ht="20.25">
      <c r="A63" s="151"/>
      <c r="B63" s="151"/>
      <c r="C63" s="151"/>
      <c r="D63" s="151"/>
      <c r="E63" s="151"/>
      <c r="F63" s="151"/>
      <c r="G63" s="151"/>
    </row>
    <row r="64" spans="1:22">
      <c r="S64" s="110"/>
    </row>
  </sheetData>
  <sortState xmlns:xlrd2="http://schemas.microsoft.com/office/spreadsheetml/2017/richdata2" ref="S41:V64">
    <sortCondition ref="V41:V64"/>
  </sortState>
  <mergeCells count="3">
    <mergeCell ref="A29:O29"/>
    <mergeCell ref="J16:P16"/>
    <mergeCell ref="A2:B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48E9C-9E54-4984-971E-4367F6EE5BB3}">
  <dimension ref="A1:W65"/>
  <sheetViews>
    <sheetView zoomScale="55" zoomScaleNormal="55" workbookViewId="0">
      <selection activeCell="J2" sqref="J2:L14"/>
    </sheetView>
  </sheetViews>
  <sheetFormatPr defaultRowHeight="15"/>
  <cols>
    <col min="1" max="1" width="22.140625" customWidth="1"/>
    <col min="9" max="9" width="29.42578125" customWidth="1"/>
    <col min="10" max="10" width="14.7109375" customWidth="1"/>
    <col min="11" max="11" width="18.5703125" customWidth="1"/>
    <col min="12" max="12" width="16.28515625" customWidth="1"/>
    <col min="13" max="13" width="18.42578125" customWidth="1"/>
    <col min="14" max="14" width="14.85546875" bestFit="1" customWidth="1"/>
    <col min="16" max="16" width="19.5703125" customWidth="1"/>
    <col min="19" max="19" width="20" customWidth="1"/>
  </cols>
  <sheetData>
    <row r="1" spans="1:15" ht="15.75" thickBot="1"/>
    <row r="2" spans="1:15">
      <c r="J2" t="s">
        <v>86</v>
      </c>
      <c r="K2" s="34">
        <f>S42+N21</f>
        <v>2.1207208852516563E-2</v>
      </c>
      <c r="L2" t="s">
        <v>207</v>
      </c>
      <c r="N2">
        <f t="shared" ref="N2:N14" si="0">K2/$B$7</f>
        <v>1.128826114768915E-2</v>
      </c>
      <c r="O2" s="17" t="s">
        <v>111</v>
      </c>
    </row>
    <row r="3" spans="1:15" ht="15" customHeight="1">
      <c r="A3" s="177" t="s">
        <v>339</v>
      </c>
      <c r="B3" s="177"/>
      <c r="C3" s="177"/>
      <c r="D3" s="177"/>
      <c r="I3" t="s">
        <v>102</v>
      </c>
      <c r="J3" t="s">
        <v>91</v>
      </c>
      <c r="K3" s="37">
        <f t="shared" ref="K3:K8" si="1">S43</f>
        <v>4.040275050669128E-3</v>
      </c>
      <c r="L3" t="s">
        <v>207</v>
      </c>
      <c r="M3" t="s">
        <v>109</v>
      </c>
      <c r="N3">
        <f t="shared" si="0"/>
        <v>2.1505743729700703E-3</v>
      </c>
      <c r="O3" s="7" t="s">
        <v>110</v>
      </c>
    </row>
    <row r="4" spans="1:15" ht="15.75">
      <c r="A4" s="2" t="s">
        <v>40</v>
      </c>
      <c r="B4" s="2">
        <v>0.23467139215707636</v>
      </c>
      <c r="J4" t="s">
        <v>94</v>
      </c>
      <c r="K4" s="37">
        <f t="shared" si="1"/>
        <v>1.4755269311884963E-4</v>
      </c>
      <c r="L4" t="s">
        <v>226</v>
      </c>
      <c r="N4">
        <f t="shared" si="0"/>
        <v>7.8539959904849049E-5</v>
      </c>
      <c r="O4" s="7" t="s">
        <v>111</v>
      </c>
    </row>
    <row r="5" spans="1:15" ht="15.75">
      <c r="A5" s="2" t="s">
        <v>41</v>
      </c>
      <c r="B5" s="2">
        <v>0.12491186261159025</v>
      </c>
      <c r="J5" t="s">
        <v>84</v>
      </c>
      <c r="K5">
        <f t="shared" si="1"/>
        <v>3.1067340842573215E-2</v>
      </c>
      <c r="L5" t="s">
        <v>207</v>
      </c>
      <c r="N5">
        <f t="shared" si="0"/>
        <v>1.6536653127439731E-2</v>
      </c>
      <c r="O5" s="7" t="s">
        <v>112</v>
      </c>
    </row>
    <row r="6" spans="1:15" ht="15.75">
      <c r="A6" s="2" t="s">
        <v>42</v>
      </c>
      <c r="B6" s="2">
        <f>B5/B4</f>
        <v>0.53228415045998023</v>
      </c>
      <c r="J6" t="s">
        <v>95</v>
      </c>
      <c r="K6" s="37">
        <f t="shared" si="1"/>
        <v>2.8858057232922994E-4</v>
      </c>
      <c r="L6" t="s">
        <v>226</v>
      </c>
      <c r="N6">
        <f t="shared" si="0"/>
        <v>1.5360686478151902E-4</v>
      </c>
      <c r="O6" s="7" t="s">
        <v>111</v>
      </c>
    </row>
    <row r="7" spans="1:15" ht="15.75">
      <c r="A7" s="3" t="s">
        <v>107</v>
      </c>
      <c r="B7" s="4">
        <f>1/B6</f>
        <v>1.8786958039908517</v>
      </c>
      <c r="J7" t="s">
        <v>88</v>
      </c>
      <c r="K7">
        <f t="shared" si="1"/>
        <v>1.3818453072688679E-3</v>
      </c>
      <c r="L7" t="s">
        <v>226</v>
      </c>
      <c r="N7">
        <f t="shared" si="0"/>
        <v>7.3553435544671973E-4</v>
      </c>
      <c r="O7" s="7" t="s">
        <v>111</v>
      </c>
    </row>
    <row r="8" spans="1:15" ht="15.75">
      <c r="A8" s="3" t="s">
        <v>108</v>
      </c>
      <c r="B8" s="4">
        <f>1/B5</f>
        <v>8.005644772982615</v>
      </c>
      <c r="J8" t="s">
        <v>90</v>
      </c>
      <c r="K8" s="37">
        <f t="shared" si="1"/>
        <v>3.0066507908043976E-2</v>
      </c>
      <c r="L8" t="s">
        <v>207</v>
      </c>
      <c r="N8">
        <f t="shared" si="0"/>
        <v>1.6003925619131464E-2</v>
      </c>
      <c r="O8" s="7" t="s">
        <v>112</v>
      </c>
    </row>
    <row r="9" spans="1:15">
      <c r="J9" s="43" t="s">
        <v>89</v>
      </c>
      <c r="K9" s="165">
        <f>S50+N19</f>
        <v>2.4425036368966854E-2</v>
      </c>
      <c r="L9" s="44" t="s">
        <v>207</v>
      </c>
      <c r="N9">
        <f t="shared" si="0"/>
        <v>1.3001059733609642E-2</v>
      </c>
      <c r="O9" s="7" t="s">
        <v>112</v>
      </c>
    </row>
    <row r="10" spans="1:15" ht="16.5" thickBot="1">
      <c r="A10" s="5" t="s">
        <v>43</v>
      </c>
      <c r="B10" s="1" t="s">
        <v>44</v>
      </c>
      <c r="F10" t="s">
        <v>115</v>
      </c>
      <c r="J10" t="s">
        <v>97</v>
      </c>
      <c r="K10">
        <f>S50</f>
        <v>1.7405630341747704E-5</v>
      </c>
      <c r="L10" t="s">
        <v>226</v>
      </c>
      <c r="N10">
        <f t="shared" si="0"/>
        <v>9.2647411596776318E-6</v>
      </c>
      <c r="O10" s="7" t="s">
        <v>111</v>
      </c>
    </row>
    <row r="11" spans="1:15" ht="18.75" customHeight="1">
      <c r="A11" s="73" t="s">
        <v>341</v>
      </c>
      <c r="B11" s="13" t="s">
        <v>340</v>
      </c>
      <c r="C11" s="14" t="s">
        <v>46</v>
      </c>
      <c r="D11" s="15" t="s">
        <v>47</v>
      </c>
      <c r="E11" s="16" t="s">
        <v>52</v>
      </c>
      <c r="F11" s="16" t="s">
        <v>78</v>
      </c>
      <c r="G11" s="16" t="s">
        <v>48</v>
      </c>
      <c r="H11" s="17" t="s">
        <v>104</v>
      </c>
      <c r="J11" t="s">
        <v>92</v>
      </c>
      <c r="K11" s="37">
        <f>S51</f>
        <v>7.0208100440579081E-3</v>
      </c>
      <c r="L11" t="s">
        <v>207</v>
      </c>
      <c r="N11">
        <f t="shared" si="0"/>
        <v>3.73706590984226E-3</v>
      </c>
      <c r="O11" s="7" t="s">
        <v>110</v>
      </c>
    </row>
    <row r="12" spans="1:15">
      <c r="A12" s="6" t="s">
        <v>49</v>
      </c>
      <c r="B12">
        <f>6*30.5</f>
        <v>183</v>
      </c>
      <c r="C12" s="72">
        <v>500</v>
      </c>
      <c r="D12">
        <v>140</v>
      </c>
      <c r="E12">
        <f>B12*C12/1000*D12</f>
        <v>12810</v>
      </c>
      <c r="F12">
        <f>E12*B7</f>
        <v>24066.093249122809</v>
      </c>
      <c r="G12">
        <f>C12/1000*B12</f>
        <v>91.5</v>
      </c>
      <c r="H12" s="7">
        <f>G12*B7</f>
        <v>171.90066606516294</v>
      </c>
      <c r="J12" t="s">
        <v>87</v>
      </c>
      <c r="K12">
        <f>S52</f>
        <v>6.8331288264140977E-2</v>
      </c>
      <c r="L12" t="s">
        <v>207</v>
      </c>
      <c r="N12">
        <f t="shared" si="0"/>
        <v>3.6371661723514297E-2</v>
      </c>
      <c r="O12" s="7" t="s">
        <v>110</v>
      </c>
    </row>
    <row r="13" spans="1:15">
      <c r="A13" s="6" t="s">
        <v>51</v>
      </c>
      <c r="B13">
        <v>183</v>
      </c>
      <c r="C13" s="72">
        <v>500</v>
      </c>
      <c r="D13">
        <v>14.7</v>
      </c>
      <c r="E13">
        <f t="shared" ref="E13:E14" si="2">B13*C13/1000*D13</f>
        <v>1345.05</v>
      </c>
      <c r="F13">
        <f>E13*B7</f>
        <v>2526.9397911578949</v>
      </c>
      <c r="H13" s="7"/>
      <c r="J13" t="s">
        <v>608</v>
      </c>
      <c r="K13" s="37">
        <f>S53</f>
        <v>1.8528633524303974E-4</v>
      </c>
      <c r="L13" t="s">
        <v>226</v>
      </c>
      <c r="N13">
        <f t="shared" si="0"/>
        <v>9.8624979546684498E-5</v>
      </c>
      <c r="O13" s="7" t="s">
        <v>110</v>
      </c>
    </row>
    <row r="14" spans="1:15" ht="15.75" thickBot="1">
      <c r="A14" s="8" t="s">
        <v>50</v>
      </c>
      <c r="B14" s="9">
        <v>183</v>
      </c>
      <c r="C14" s="10">
        <v>500</v>
      </c>
      <c r="D14" s="9">
        <v>205</v>
      </c>
      <c r="E14">
        <f t="shared" si="2"/>
        <v>18757.5</v>
      </c>
      <c r="F14">
        <f>E14*B7</f>
        <v>35239.6365433584</v>
      </c>
      <c r="G14" s="9"/>
      <c r="H14" s="11"/>
      <c r="J14" t="s">
        <v>66</v>
      </c>
      <c r="K14" s="37">
        <f>S54</f>
        <v>3.9252032169313296E-6</v>
      </c>
      <c r="L14" t="s">
        <v>226</v>
      </c>
      <c r="N14">
        <f t="shared" si="0"/>
        <v>2.089323459707074E-6</v>
      </c>
      <c r="O14" s="11" t="s">
        <v>111</v>
      </c>
    </row>
    <row r="16" spans="1:15" ht="15.75" thickBot="1"/>
    <row r="17" spans="1:17">
      <c r="J17" s="187" t="s">
        <v>616</v>
      </c>
      <c r="K17" s="188"/>
      <c r="L17" s="188"/>
      <c r="M17" s="188"/>
      <c r="N17" s="188"/>
      <c r="O17" s="188"/>
      <c r="P17" s="189"/>
    </row>
    <row r="18" spans="1:17" ht="15.75" thickBot="1">
      <c r="A18" t="s">
        <v>617</v>
      </c>
      <c r="B18" t="s">
        <v>626</v>
      </c>
      <c r="J18" s="109" t="s">
        <v>609</v>
      </c>
      <c r="K18" s="104" t="s">
        <v>380</v>
      </c>
      <c r="L18" s="104" t="s">
        <v>70</v>
      </c>
      <c r="M18" s="104"/>
      <c r="N18" s="104" t="s">
        <v>612</v>
      </c>
      <c r="O18" s="104" t="s">
        <v>611</v>
      </c>
      <c r="P18" s="111"/>
    </row>
    <row r="19" spans="1:17" ht="15.75">
      <c r="A19" s="83" t="s">
        <v>618</v>
      </c>
      <c r="B19">
        <f>0.01*F12/1000</f>
        <v>0.24066093249122811</v>
      </c>
      <c r="C19" s="86" t="s">
        <v>622</v>
      </c>
      <c r="J19" s="109" t="s">
        <v>57</v>
      </c>
      <c r="K19" s="104">
        <v>16.39</v>
      </c>
      <c r="L19" s="128">
        <f>K8*K19/100</f>
        <v>4.9279006461284084E-3</v>
      </c>
      <c r="M19" s="104" t="s">
        <v>610</v>
      </c>
      <c r="N19" s="129">
        <f>L19/0.2019</f>
        <v>2.4407630738625105E-2</v>
      </c>
      <c r="O19" s="104">
        <v>0.2019</v>
      </c>
      <c r="P19" s="130">
        <f>N19*O19</f>
        <v>4.9279006461284084E-3</v>
      </c>
    </row>
    <row r="20" spans="1:17" ht="15" customHeight="1">
      <c r="A20" s="84" t="s">
        <v>627</v>
      </c>
      <c r="B20">
        <f>0.21*B19</f>
        <v>5.05387958231579E-2</v>
      </c>
      <c r="C20" t="s">
        <v>623</v>
      </c>
      <c r="J20" s="109" t="s">
        <v>49</v>
      </c>
      <c r="K20" s="104">
        <v>18.89</v>
      </c>
      <c r="L20" s="128">
        <f>K8*K20/100</f>
        <v>5.6795633438295069E-3</v>
      </c>
      <c r="M20" s="104"/>
      <c r="N20" s="104" t="s">
        <v>615</v>
      </c>
      <c r="O20" s="104" t="s">
        <v>614</v>
      </c>
      <c r="P20" s="111"/>
    </row>
    <row r="21" spans="1:17" ht="20.25" customHeight="1">
      <c r="A21" s="84" t="s">
        <v>619</v>
      </c>
      <c r="B21">
        <f>0.04*F12/1000</f>
        <v>0.96264372996491243</v>
      </c>
      <c r="C21" t="s">
        <v>623</v>
      </c>
      <c r="J21" s="109"/>
      <c r="K21" s="104"/>
      <c r="L21" s="104"/>
      <c r="M21" s="104" t="s">
        <v>613</v>
      </c>
      <c r="N21" s="132">
        <f>L20/0.35</f>
        <v>1.6227323839512878E-2</v>
      </c>
      <c r="O21" s="104">
        <v>0.35</v>
      </c>
      <c r="P21" s="130">
        <f>N21*O21</f>
        <v>5.6795633438295069E-3</v>
      </c>
    </row>
    <row r="22" spans="1:17" ht="18" customHeight="1" thickBot="1">
      <c r="A22" s="84" t="s">
        <v>620</v>
      </c>
      <c r="B22">
        <f>0.12*F13/1000</f>
        <v>0.3032327749389474</v>
      </c>
      <c r="C22" s="87" t="s">
        <v>624</v>
      </c>
      <c r="J22" s="122"/>
      <c r="K22" s="123"/>
      <c r="L22" s="123"/>
      <c r="M22" s="123"/>
      <c r="N22" s="123"/>
      <c r="O22" s="123"/>
      <c r="P22" s="125"/>
    </row>
    <row r="23" spans="1:17" ht="18" customHeight="1" thickBot="1">
      <c r="A23" s="85" t="s">
        <v>621</v>
      </c>
      <c r="B23">
        <f>0.01*F12/1000</f>
        <v>0.24066093249122811</v>
      </c>
      <c r="C23" t="s">
        <v>625</v>
      </c>
    </row>
    <row r="24" spans="1:17" ht="18" customHeight="1"/>
    <row r="25" spans="1:17" ht="18" customHeight="1"/>
    <row r="26" spans="1:17" ht="18" customHeight="1"/>
    <row r="27" spans="1:17" ht="18" customHeight="1"/>
    <row r="28" spans="1:17" ht="18" customHeight="1"/>
    <row r="29" spans="1:17" ht="35.25" customHeight="1" thickBot="1">
      <c r="A29" t="s">
        <v>356</v>
      </c>
    </row>
    <row r="30" spans="1:17" ht="18" customHeight="1">
      <c r="A30" s="192" t="s">
        <v>69</v>
      </c>
      <c r="B30" s="193"/>
      <c r="C30" s="193"/>
      <c r="D30" s="193"/>
      <c r="E30" s="193"/>
      <c r="F30" s="193"/>
      <c r="G30" s="193"/>
      <c r="H30" s="193"/>
      <c r="I30" s="193"/>
      <c r="J30" s="193"/>
      <c r="K30" s="193"/>
      <c r="L30" s="193"/>
      <c r="M30" s="193"/>
      <c r="N30" s="193"/>
      <c r="O30" s="193"/>
      <c r="P30" s="18"/>
      <c r="Q30" s="19"/>
    </row>
    <row r="31" spans="1:17" ht="15" customHeight="1">
      <c r="A31" s="20" t="s">
        <v>53</v>
      </c>
      <c r="B31" s="21"/>
      <c r="C31" s="22" t="s">
        <v>54</v>
      </c>
      <c r="D31" s="22" t="s">
        <v>55</v>
      </c>
      <c r="E31" s="22" t="s">
        <v>51</v>
      </c>
      <c r="F31" s="22" t="s">
        <v>50</v>
      </c>
      <c r="G31" s="22" t="s">
        <v>56</v>
      </c>
      <c r="H31" s="22" t="s">
        <v>57</v>
      </c>
      <c r="I31" s="22" t="s">
        <v>58</v>
      </c>
      <c r="J31" s="22" t="s">
        <v>59</v>
      </c>
      <c r="K31" s="22" t="s">
        <v>60</v>
      </c>
      <c r="L31" s="22" t="s">
        <v>61</v>
      </c>
      <c r="M31" s="22" t="s">
        <v>62</v>
      </c>
      <c r="N31" s="22" t="s">
        <v>63</v>
      </c>
      <c r="O31" s="22" t="s">
        <v>64</v>
      </c>
      <c r="P31" s="22" t="s">
        <v>65</v>
      </c>
      <c r="Q31" s="23" t="s">
        <v>66</v>
      </c>
    </row>
    <row r="32" spans="1:17" ht="18" customHeight="1">
      <c r="A32" s="24">
        <f>IF((D32+F32+G32*2+H32*2+I32)=0,0,(D32+F32+G32*2+H32*2+I32)*0.095+ 0.19)</f>
        <v>1.4033853548768691</v>
      </c>
      <c r="B32" s="25" t="s">
        <v>67</v>
      </c>
      <c r="C32" s="25">
        <v>10</v>
      </c>
      <c r="D32" s="25">
        <v>1.6500005288715935</v>
      </c>
      <c r="E32" s="25">
        <v>0.47360655274231939</v>
      </c>
      <c r="F32" s="25">
        <v>5.2424708545026473</v>
      </c>
      <c r="G32" s="25">
        <v>1.1200000000000001</v>
      </c>
      <c r="H32" s="25">
        <v>1.82</v>
      </c>
      <c r="I32" s="25">
        <v>6.0363822755716919E-6</v>
      </c>
      <c r="J32" s="25">
        <v>1.1513926205409655</v>
      </c>
      <c r="K32" s="25">
        <v>0</v>
      </c>
      <c r="L32" s="26">
        <v>2.5000000000000001E-2</v>
      </c>
      <c r="M32" s="26">
        <v>1.2E-2</v>
      </c>
      <c r="N32" s="26">
        <v>9.0000000000000011E-3</v>
      </c>
      <c r="O32" s="26">
        <v>4.9999999999999992E-3</v>
      </c>
      <c r="P32" s="26">
        <v>8.0000000000000004E-4</v>
      </c>
      <c r="Q32" s="27">
        <v>2.9999999999999992E-4</v>
      </c>
    </row>
    <row r="33" spans="1:23" ht="18" customHeight="1" thickBot="1">
      <c r="A33" s="28"/>
      <c r="B33" s="29" t="s">
        <v>68</v>
      </c>
      <c r="C33" s="30">
        <v>140.07</v>
      </c>
      <c r="D33" s="30">
        <v>23.11155740790441</v>
      </c>
      <c r="E33" s="30">
        <v>14.66759493842963</v>
      </c>
      <c r="F33" s="30">
        <v>204.9806104110535</v>
      </c>
      <c r="G33" s="30">
        <v>44.889600000000002</v>
      </c>
      <c r="H33" s="30">
        <v>44.244199999999999</v>
      </c>
      <c r="I33" s="30">
        <v>1.3877522123893808E-4</v>
      </c>
      <c r="J33" s="30">
        <v>36.844563857310895</v>
      </c>
      <c r="K33" s="30">
        <v>0</v>
      </c>
      <c r="L33" s="31">
        <v>1.3962500000000001E-3</v>
      </c>
      <c r="M33" s="31">
        <v>1.2960000000000003E-4</v>
      </c>
      <c r="N33" s="31">
        <v>5.7195000000000011E-4</v>
      </c>
      <c r="O33" s="31">
        <v>3.2689999999999992E-4</v>
      </c>
      <c r="P33" s="31">
        <v>4.3951999999999995E-5</v>
      </c>
      <c r="Q33" s="32">
        <v>2.8784999999999996E-5</v>
      </c>
    </row>
    <row r="34" spans="1:23" ht="18" customHeight="1">
      <c r="A34" s="40"/>
      <c r="B34" s="40"/>
      <c r="C34" s="40"/>
      <c r="D34" s="40"/>
      <c r="E34" s="40"/>
    </row>
    <row r="35" spans="1:23" ht="18" customHeight="1">
      <c r="A35" s="41"/>
      <c r="B35" s="41"/>
      <c r="C35" s="41"/>
      <c r="D35" s="41"/>
      <c r="E35" s="41"/>
      <c r="F35" s="33"/>
      <c r="G35" s="33"/>
      <c r="H35" t="s">
        <v>74</v>
      </c>
      <c r="J35" t="s">
        <v>80</v>
      </c>
      <c r="M35" t="s">
        <v>77</v>
      </c>
    </row>
    <row r="36" spans="1:23" ht="18" customHeight="1">
      <c r="E36" t="s">
        <v>84</v>
      </c>
      <c r="F36">
        <v>16.903020000000001</v>
      </c>
      <c r="G36" t="s">
        <v>228</v>
      </c>
      <c r="H36">
        <f>14.01*2/164.1</f>
        <v>0.17074954296160877</v>
      </c>
      <c r="J36" s="34">
        <f>F36*H36+F39*H39+F41*H41+F44*H44+F46*H46+F48*H48+F50*H50</f>
        <v>13.093803475910708</v>
      </c>
      <c r="L36" s="34"/>
      <c r="M36" s="37">
        <f>F36*$J$42</f>
        <v>3.1067340842573215E-2</v>
      </c>
      <c r="N36" t="s">
        <v>82</v>
      </c>
      <c r="O36" t="s">
        <v>84</v>
      </c>
    </row>
    <row r="37" spans="1:23" ht="18" customHeight="1">
      <c r="E37" t="s">
        <v>85</v>
      </c>
      <c r="F37" t="s">
        <v>227</v>
      </c>
      <c r="G37" t="s">
        <v>227</v>
      </c>
      <c r="M37" s="37"/>
      <c r="O37" t="s">
        <v>85</v>
      </c>
    </row>
    <row r="38" spans="1:23" ht="18" customHeight="1">
      <c r="E38" t="s">
        <v>85</v>
      </c>
      <c r="F38" t="s">
        <v>227</v>
      </c>
      <c r="G38" t="s">
        <v>227</v>
      </c>
      <c r="H38" t="s">
        <v>71</v>
      </c>
      <c r="J38" t="s">
        <v>79</v>
      </c>
      <c r="M38" s="37"/>
      <c r="O38" t="s">
        <v>85</v>
      </c>
      <c r="S38" s="37"/>
    </row>
    <row r="39" spans="1:23" ht="18" customHeight="1">
      <c r="E39" t="s">
        <v>86</v>
      </c>
      <c r="F39">
        <v>2.7094399999999998</v>
      </c>
      <c r="G39" t="s">
        <v>228</v>
      </c>
      <c r="H39">
        <f>14.01*2/80.05</f>
        <v>0.35003123048094942</v>
      </c>
      <c r="J39">
        <f>F12/1000000</f>
        <v>2.4066093249122809E-2</v>
      </c>
      <c r="M39" s="37">
        <f>F39*$J$42</f>
        <v>4.9798850130036857E-3</v>
      </c>
      <c r="N39" t="s">
        <v>82</v>
      </c>
      <c r="O39" t="s">
        <v>86</v>
      </c>
      <c r="S39" s="37"/>
    </row>
    <row r="40" spans="1:23" ht="18" customHeight="1">
      <c r="H40" t="s">
        <v>72</v>
      </c>
      <c r="M40" s="37"/>
    </row>
    <row r="41" spans="1:23" ht="18" customHeight="1">
      <c r="E41" t="s">
        <v>87</v>
      </c>
      <c r="F41">
        <v>28.046949999999999</v>
      </c>
      <c r="G41" t="s">
        <v>228</v>
      </c>
      <c r="H41">
        <f>14.01/101.11</f>
        <v>0.13856196221936504</v>
      </c>
      <c r="J41" t="s">
        <v>81</v>
      </c>
      <c r="M41" s="37">
        <f>F41*J42+F50*J42</f>
        <v>6.8331288264140977E-2</v>
      </c>
      <c r="N41" t="s">
        <v>82</v>
      </c>
      <c r="O41" t="s">
        <v>87</v>
      </c>
      <c r="S41" s="37"/>
    </row>
    <row r="42" spans="1:23" ht="18" customHeight="1">
      <c r="E42" t="s">
        <v>88</v>
      </c>
      <c r="F42">
        <v>0.75183</v>
      </c>
      <c r="G42" t="s">
        <v>229</v>
      </c>
      <c r="J42" s="36">
        <f>J39/J36</f>
        <v>1.8379757488645942E-3</v>
      </c>
      <c r="M42" s="37">
        <f>F42*$J$42</f>
        <v>1.3818453072688679E-3</v>
      </c>
      <c r="N42" t="s">
        <v>70</v>
      </c>
      <c r="O42" t="s">
        <v>88</v>
      </c>
      <c r="S42">
        <v>4.9798850130036857E-3</v>
      </c>
      <c r="T42" t="s">
        <v>82</v>
      </c>
      <c r="U42" t="s">
        <v>86</v>
      </c>
    </row>
    <row r="43" spans="1:23" ht="18" customHeight="1">
      <c r="E43" t="s">
        <v>89</v>
      </c>
      <c r="F43">
        <v>16.152719999999999</v>
      </c>
      <c r="G43" t="s">
        <v>228</v>
      </c>
      <c r="H43" t="s">
        <v>75</v>
      </c>
      <c r="M43" s="37">
        <f>F43*$J$42</f>
        <v>2.9688307638200104E-2</v>
      </c>
      <c r="N43" t="s">
        <v>82</v>
      </c>
      <c r="O43" t="s">
        <v>89</v>
      </c>
      <c r="S43" s="37">
        <v>4.040275050669128E-3</v>
      </c>
      <c r="T43" t="s">
        <v>82</v>
      </c>
      <c r="U43" t="s">
        <v>91</v>
      </c>
      <c r="V43" s="43"/>
      <c r="W43" s="43"/>
    </row>
    <row r="44" spans="1:23" ht="18" customHeight="1">
      <c r="E44" t="s">
        <v>90</v>
      </c>
      <c r="F44">
        <v>16.35849</v>
      </c>
      <c r="G44" t="s">
        <v>228</v>
      </c>
      <c r="H44">
        <f>14.01*2/148.33</f>
        <v>0.18890312141845883</v>
      </c>
      <c r="M44" s="37">
        <f>F44*$J$42</f>
        <v>3.0066507908043976E-2</v>
      </c>
      <c r="N44" t="s">
        <v>82</v>
      </c>
      <c r="O44" t="s">
        <v>90</v>
      </c>
      <c r="S44" s="37">
        <v>1.4755269311884963E-4</v>
      </c>
      <c r="T44" t="s">
        <v>70</v>
      </c>
      <c r="U44" t="s">
        <v>94</v>
      </c>
    </row>
    <row r="45" spans="1:23" ht="18" customHeight="1">
      <c r="H45" t="s">
        <v>76</v>
      </c>
      <c r="M45" s="37"/>
      <c r="S45">
        <v>3.1067340842573215E-2</v>
      </c>
      <c r="T45" t="s">
        <v>82</v>
      </c>
      <c r="U45" t="s">
        <v>84</v>
      </c>
    </row>
    <row r="46" spans="1:23" ht="18" customHeight="1">
      <c r="D46" s="39"/>
      <c r="E46" t="s">
        <v>91</v>
      </c>
      <c r="F46">
        <v>2.1982200000000001</v>
      </c>
      <c r="G46" t="s">
        <v>228</v>
      </c>
      <c r="H46">
        <f>14.01*2/132.17</f>
        <v>0.21199969735946131</v>
      </c>
      <c r="M46" s="37">
        <f>F46*$J$42</f>
        <v>4.040275050669128E-3</v>
      </c>
      <c r="N46" t="s">
        <v>82</v>
      </c>
      <c r="O46" t="s">
        <v>91</v>
      </c>
      <c r="S46" s="37">
        <v>2.8858057232922994E-4</v>
      </c>
      <c r="T46" t="s">
        <v>70</v>
      </c>
      <c r="U46" t="s">
        <v>95</v>
      </c>
    </row>
    <row r="47" spans="1:23" ht="18" customHeight="1">
      <c r="H47" t="s">
        <v>73</v>
      </c>
      <c r="M47" s="37"/>
      <c r="S47">
        <v>1.3818453072688679E-3</v>
      </c>
      <c r="T47" t="s">
        <v>70</v>
      </c>
      <c r="U47" t="s">
        <v>88</v>
      </c>
    </row>
    <row r="48" spans="1:23" ht="18" customHeight="1">
      <c r="E48" t="s">
        <v>92</v>
      </c>
      <c r="F48">
        <v>3.8198599999999998</v>
      </c>
      <c r="G48" t="s">
        <v>228</v>
      </c>
      <c r="H48">
        <f>14.01/97.01</f>
        <v>0.14441810122667764</v>
      </c>
      <c r="M48" s="37">
        <f>F48*$J$42</f>
        <v>7.0208100440579081E-3</v>
      </c>
      <c r="N48" t="s">
        <v>82</v>
      </c>
      <c r="O48" t="s">
        <v>92</v>
      </c>
      <c r="S48">
        <v>3.0066507908043976E-2</v>
      </c>
      <c r="T48" t="s">
        <v>82</v>
      </c>
      <c r="U48" t="s">
        <v>90</v>
      </c>
    </row>
    <row r="49" spans="1:21" ht="18" customHeight="1">
      <c r="E49" t="s">
        <v>85</v>
      </c>
      <c r="F49" t="s">
        <v>227</v>
      </c>
      <c r="G49" t="s">
        <v>227</v>
      </c>
      <c r="H49" t="s">
        <v>72</v>
      </c>
      <c r="M49" s="37"/>
      <c r="O49" t="s">
        <v>85</v>
      </c>
      <c r="S49" s="43">
        <v>2.9688307638200104E-2</v>
      </c>
      <c r="T49" s="43" t="s">
        <v>82</v>
      </c>
      <c r="U49" s="43" t="s">
        <v>89</v>
      </c>
    </row>
    <row r="50" spans="1:21" ht="15" customHeight="1">
      <c r="E50" t="s">
        <v>87</v>
      </c>
      <c r="F50">
        <v>9.1305200000000006</v>
      </c>
      <c r="G50" t="s">
        <v>228</v>
      </c>
      <c r="H50">
        <f>14.01/101.11</f>
        <v>0.13856196221936504</v>
      </c>
      <c r="M50" s="37"/>
      <c r="S50">
        <v>1.7405630341747704E-5</v>
      </c>
      <c r="T50" t="s">
        <v>70</v>
      </c>
      <c r="U50" t="s">
        <v>97</v>
      </c>
    </row>
    <row r="51" spans="1:21">
      <c r="E51" t="s">
        <v>85</v>
      </c>
      <c r="F51" t="s">
        <v>227</v>
      </c>
      <c r="G51" t="s">
        <v>227</v>
      </c>
      <c r="M51" s="37">
        <f>F55*$J$42</f>
        <v>1.4755269311884963E-4</v>
      </c>
      <c r="N51" t="s">
        <v>70</v>
      </c>
      <c r="O51" t="s">
        <v>94</v>
      </c>
      <c r="S51" s="37">
        <v>7.0208100440579081E-3</v>
      </c>
      <c r="T51" t="s">
        <v>82</v>
      </c>
      <c r="U51" t="s">
        <v>92</v>
      </c>
    </row>
    <row r="52" spans="1:21">
      <c r="E52" t="s">
        <v>85</v>
      </c>
      <c r="F52" t="s">
        <v>227</v>
      </c>
      <c r="G52" t="s">
        <v>227</v>
      </c>
      <c r="M52" s="37"/>
      <c r="O52" t="s">
        <v>85</v>
      </c>
      <c r="S52">
        <v>6.8331288264140977E-2</v>
      </c>
      <c r="T52" t="s">
        <v>82</v>
      </c>
      <c r="U52" t="s">
        <v>87</v>
      </c>
    </row>
    <row r="53" spans="1:21">
      <c r="E53" t="s">
        <v>85</v>
      </c>
      <c r="F53" t="s">
        <v>227</v>
      </c>
      <c r="G53" t="s">
        <v>227</v>
      </c>
      <c r="M53" s="37">
        <f>F57*$J$42</f>
        <v>2.8858057232922994E-4</v>
      </c>
      <c r="N53" t="s">
        <v>70</v>
      </c>
      <c r="O53" t="s">
        <v>95</v>
      </c>
      <c r="S53" s="37">
        <v>1.8528633524303974E-4</v>
      </c>
      <c r="T53" t="s">
        <v>70</v>
      </c>
      <c r="U53" t="s">
        <v>608</v>
      </c>
    </row>
    <row r="54" spans="1:21">
      <c r="E54" t="s">
        <v>93</v>
      </c>
      <c r="M54" s="37"/>
      <c r="O54" t="s">
        <v>85</v>
      </c>
      <c r="S54" s="37">
        <v>3.9252032169313296E-6</v>
      </c>
      <c r="T54" t="s">
        <v>70</v>
      </c>
      <c r="U54" t="s">
        <v>66</v>
      </c>
    </row>
    <row r="55" spans="1:21">
      <c r="E55" t="s">
        <v>94</v>
      </c>
      <c r="F55">
        <v>8.0280000000000004E-2</v>
      </c>
      <c r="G55" t="s">
        <v>229</v>
      </c>
      <c r="M55" s="37">
        <f>F59*$J$42</f>
        <v>1.8528633524303974E-4</v>
      </c>
      <c r="N55" t="s">
        <v>70</v>
      </c>
      <c r="O55" t="s">
        <v>96</v>
      </c>
      <c r="S55" s="37"/>
      <c r="U55" s="6"/>
    </row>
    <row r="56" spans="1:21">
      <c r="E56" t="s">
        <v>85</v>
      </c>
      <c r="F56" t="s">
        <v>227</v>
      </c>
      <c r="G56" t="s">
        <v>227</v>
      </c>
      <c r="M56" s="37"/>
      <c r="O56" t="s">
        <v>85</v>
      </c>
    </row>
    <row r="57" spans="1:21">
      <c r="E57" t="s">
        <v>95</v>
      </c>
      <c r="F57">
        <v>0.15701000000000001</v>
      </c>
      <c r="G57" t="s">
        <v>229</v>
      </c>
      <c r="M57" s="37">
        <f>F61*$J$42</f>
        <v>1.7405630341747704E-5</v>
      </c>
      <c r="N57" t="s">
        <v>70</v>
      </c>
      <c r="O57" t="s">
        <v>97</v>
      </c>
    </row>
    <row r="58" spans="1:21">
      <c r="E58" t="s">
        <v>85</v>
      </c>
      <c r="F58" t="s">
        <v>227</v>
      </c>
      <c r="G58" t="s">
        <v>227</v>
      </c>
      <c r="M58" s="37"/>
      <c r="O58" t="s">
        <v>85</v>
      </c>
      <c r="S58" s="37"/>
    </row>
    <row r="59" spans="1:21">
      <c r="E59" s="6" t="s">
        <v>608</v>
      </c>
      <c r="F59">
        <v>0.10081</v>
      </c>
      <c r="G59" t="s">
        <v>229</v>
      </c>
      <c r="J59" t="s">
        <v>100</v>
      </c>
      <c r="M59" s="37">
        <f>J60*$J$42</f>
        <v>3.9252032169313338E-6</v>
      </c>
      <c r="N59" t="s">
        <v>70</v>
      </c>
      <c r="O59" t="s">
        <v>66</v>
      </c>
      <c r="S59" s="37"/>
    </row>
    <row r="60" spans="1:21">
      <c r="E60" t="s">
        <v>85</v>
      </c>
      <c r="F60" t="s">
        <v>227</v>
      </c>
      <c r="G60" t="s">
        <v>227</v>
      </c>
      <c r="J60" s="37">
        <f>H63*F63</f>
        <v>2.135612082670906E-3</v>
      </c>
    </row>
    <row r="61" spans="1:21">
      <c r="E61" t="s">
        <v>97</v>
      </c>
      <c r="F61">
        <v>9.4699999999999993E-3</v>
      </c>
      <c r="G61" t="s">
        <v>229</v>
      </c>
    </row>
    <row r="62" spans="1:21">
      <c r="E62" t="s">
        <v>85</v>
      </c>
      <c r="F62" t="s">
        <v>227</v>
      </c>
      <c r="G62" t="s">
        <v>227</v>
      </c>
      <c r="H62" t="s">
        <v>99</v>
      </c>
      <c r="J62" t="s">
        <v>101</v>
      </c>
    </row>
    <row r="63" spans="1:21">
      <c r="E63" t="s">
        <v>98</v>
      </c>
      <c r="F63">
        <v>3.7000000000000002E-3</v>
      </c>
      <c r="G63" t="s">
        <v>229</v>
      </c>
      <c r="H63">
        <f>7*95.95/1163.65</f>
        <v>0.57719245477592052</v>
      </c>
      <c r="J63" s="38">
        <f>J42*J60</f>
        <v>3.9252032169313338E-6</v>
      </c>
    </row>
    <row r="64" spans="1:21" ht="20.25">
      <c r="A64" s="41"/>
      <c r="B64" s="41"/>
      <c r="C64" s="41"/>
      <c r="D64" s="41"/>
      <c r="E64" s="41"/>
      <c r="F64" s="41"/>
      <c r="G64" s="41"/>
    </row>
    <row r="65" spans="19:19">
      <c r="S65" s="37"/>
    </row>
  </sheetData>
  <sortState xmlns:xlrd2="http://schemas.microsoft.com/office/spreadsheetml/2017/richdata2" ref="S42:U54">
    <sortCondition ref="U42:U54"/>
  </sortState>
  <mergeCells count="3">
    <mergeCell ref="A30:O30"/>
    <mergeCell ref="A3:D3"/>
    <mergeCell ref="J17:P1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1F7CF-E7D8-4A28-9387-09C7ABC3384E}">
  <dimension ref="B1:S61"/>
  <sheetViews>
    <sheetView topLeftCell="A13" zoomScale="55" zoomScaleNormal="55" workbookViewId="0">
      <selection activeCell="P62" sqref="P62"/>
    </sheetView>
  </sheetViews>
  <sheetFormatPr defaultRowHeight="15"/>
  <cols>
    <col min="2" max="2" width="62.5703125" customWidth="1"/>
    <col min="3" max="3" width="15.42578125" customWidth="1"/>
    <col min="4" max="4" width="16.42578125" customWidth="1"/>
    <col min="5" max="5" width="22.28515625" customWidth="1"/>
    <col min="6" max="6" width="21.28515625" customWidth="1"/>
    <col min="8" max="8" width="21" customWidth="1"/>
  </cols>
  <sheetData>
    <row r="1" spans="2:19">
      <c r="B1" s="50" t="s">
        <v>219</v>
      </c>
      <c r="C1" s="50" t="s">
        <v>220</v>
      </c>
      <c r="D1" s="50" t="s">
        <v>221</v>
      </c>
      <c r="H1" s="43" t="s">
        <v>728</v>
      </c>
      <c r="I1" s="43"/>
      <c r="J1" s="43"/>
    </row>
    <row r="2" spans="2:19">
      <c r="B2" t="s">
        <v>357</v>
      </c>
      <c r="C2">
        <f>HPS!C11</f>
        <v>0.43002739853198152</v>
      </c>
      <c r="D2" t="s">
        <v>114</v>
      </c>
      <c r="E2" t="s">
        <v>290</v>
      </c>
      <c r="L2" t="s">
        <v>245</v>
      </c>
      <c r="M2">
        <v>907.18499999999995</v>
      </c>
      <c r="N2" t="s">
        <v>224</v>
      </c>
      <c r="S2" t="s">
        <v>302</v>
      </c>
    </row>
    <row r="3" spans="2:19">
      <c r="B3" t="s">
        <v>86</v>
      </c>
      <c r="C3">
        <f>I3</f>
        <v>2.032827549119785E-2</v>
      </c>
      <c r="D3" t="s">
        <v>114</v>
      </c>
      <c r="H3" t="s">
        <v>86</v>
      </c>
      <c r="I3">
        <v>2.032827549119785E-2</v>
      </c>
      <c r="J3" t="s">
        <v>114</v>
      </c>
      <c r="P3" t="s">
        <v>103</v>
      </c>
      <c r="S3" t="s">
        <v>305</v>
      </c>
    </row>
    <row r="4" spans="2:19">
      <c r="B4" t="s">
        <v>91</v>
      </c>
      <c r="C4">
        <f>I4/1000</f>
        <v>7.7050850154031577E-6</v>
      </c>
      <c r="D4" t="s">
        <v>114</v>
      </c>
      <c r="H4" t="s">
        <v>91</v>
      </c>
      <c r="I4">
        <v>7.7050850154031583E-3</v>
      </c>
      <c r="J4" t="s">
        <v>113</v>
      </c>
      <c r="P4" t="s">
        <v>41</v>
      </c>
      <c r="Q4">
        <v>0.43899789299999997</v>
      </c>
      <c r="R4" t="s">
        <v>200</v>
      </c>
    </row>
    <row r="5" spans="2:19">
      <c r="B5" t="s">
        <v>94</v>
      </c>
      <c r="C5">
        <f>I5</f>
        <v>2.8140413888124284E-4</v>
      </c>
      <c r="D5" t="s">
        <v>114</v>
      </c>
      <c r="H5" t="s">
        <v>94</v>
      </c>
      <c r="I5">
        <v>2.8140413888124284E-4</v>
      </c>
      <c r="J5" t="s">
        <v>212</v>
      </c>
      <c r="P5" t="s">
        <v>42</v>
      </c>
      <c r="Q5">
        <v>0.16319624275092937</v>
      </c>
      <c r="R5" t="s">
        <v>199</v>
      </c>
    </row>
    <row r="6" spans="2:19">
      <c r="B6" t="s">
        <v>84</v>
      </c>
      <c r="C6">
        <f>I6</f>
        <v>5.9247532578320536E-2</v>
      </c>
      <c r="D6" t="s">
        <v>212</v>
      </c>
      <c r="H6" t="s">
        <v>84</v>
      </c>
      <c r="I6">
        <v>5.9247532578320536E-2</v>
      </c>
      <c r="J6" t="s">
        <v>114</v>
      </c>
      <c r="P6" t="s">
        <v>105</v>
      </c>
      <c r="Q6">
        <v>6.1275920520192564</v>
      </c>
      <c r="R6" t="s">
        <v>107</v>
      </c>
    </row>
    <row r="7" spans="2:19">
      <c r="B7" t="s">
        <v>95</v>
      </c>
      <c r="C7">
        <f>I7/1000</f>
        <v>5.5032824943546751E-7</v>
      </c>
      <c r="D7" t="s">
        <v>114</v>
      </c>
      <c r="H7" t="s">
        <v>95</v>
      </c>
      <c r="I7">
        <v>5.503282494354675E-4</v>
      </c>
      <c r="J7" t="s">
        <v>113</v>
      </c>
      <c r="P7" t="s">
        <v>106</v>
      </c>
      <c r="Q7">
        <v>2.2779152609737015</v>
      </c>
      <c r="R7" t="s">
        <v>300</v>
      </c>
    </row>
    <row r="8" spans="2:19">
      <c r="B8" t="s">
        <v>88</v>
      </c>
      <c r="C8">
        <f>I8</f>
        <v>2.6352617383168147E-3</v>
      </c>
      <c r="D8" t="s">
        <v>114</v>
      </c>
      <c r="H8" t="s">
        <v>88</v>
      </c>
      <c r="I8">
        <v>2.6352617383168147E-3</v>
      </c>
      <c r="J8" t="s">
        <v>212</v>
      </c>
      <c r="P8" t="s">
        <v>12</v>
      </c>
      <c r="Q8">
        <v>2.6909749999999999</v>
      </c>
      <c r="R8" t="s">
        <v>301</v>
      </c>
    </row>
    <row r="9" spans="2:19">
      <c r="B9" t="s">
        <v>89</v>
      </c>
      <c r="C9">
        <f>I9/1000</f>
        <v>1.0316461180835396E-4</v>
      </c>
      <c r="D9" t="s">
        <v>212</v>
      </c>
      <c r="H9" t="s">
        <v>89</v>
      </c>
      <c r="I9">
        <v>0.10316461180835396</v>
      </c>
      <c r="J9" t="s">
        <v>113</v>
      </c>
      <c r="P9" t="s">
        <v>13</v>
      </c>
      <c r="Q9">
        <v>1669.0896233712692</v>
      </c>
      <c r="R9" t="s">
        <v>299</v>
      </c>
    </row>
    <row r="10" spans="2:19">
      <c r="B10" t="s">
        <v>97</v>
      </c>
      <c r="C10">
        <f>I10</f>
        <v>3.3181743648343953E-5</v>
      </c>
      <c r="D10" t="s">
        <v>212</v>
      </c>
      <c r="H10" t="s">
        <v>97</v>
      </c>
      <c r="I10">
        <v>3.3181743648343953E-5</v>
      </c>
      <c r="J10" t="s">
        <v>114</v>
      </c>
    </row>
    <row r="11" spans="2:19">
      <c r="B11" t="s">
        <v>358</v>
      </c>
      <c r="C11">
        <f>I11/1000</f>
        <v>7.4936240666456723E-9</v>
      </c>
      <c r="D11" t="s">
        <v>114</v>
      </c>
      <c r="H11" t="s">
        <v>358</v>
      </c>
      <c r="I11">
        <v>7.4936240666456724E-6</v>
      </c>
      <c r="J11" t="s">
        <v>113</v>
      </c>
    </row>
    <row r="12" spans="2:19">
      <c r="B12" t="s">
        <v>92</v>
      </c>
      <c r="C12">
        <f>I12/1000</f>
        <v>1.3389164125126796E-5</v>
      </c>
      <c r="D12" t="s">
        <v>114</v>
      </c>
      <c r="H12" t="s">
        <v>92</v>
      </c>
      <c r="I12">
        <v>1.3389164125126796E-2</v>
      </c>
      <c r="J12" t="s">
        <v>114</v>
      </c>
    </row>
    <row r="13" spans="2:19">
      <c r="B13" t="s">
        <v>87</v>
      </c>
      <c r="C13">
        <v>1.2048468733549299E-3</v>
      </c>
      <c r="D13" t="s">
        <v>114</v>
      </c>
      <c r="H13" t="s">
        <v>87</v>
      </c>
      <c r="I13">
        <v>0.13031237482963245</v>
      </c>
      <c r="J13" t="s">
        <v>114</v>
      </c>
      <c r="P13" t="s">
        <v>335</v>
      </c>
      <c r="S13" t="s">
        <v>303</v>
      </c>
    </row>
    <row r="14" spans="2:19">
      <c r="B14" t="s">
        <v>608</v>
      </c>
      <c r="C14">
        <f>I14/1000</f>
        <v>3.5334014755776645E-7</v>
      </c>
      <c r="D14" t="s">
        <v>114</v>
      </c>
      <c r="H14" t="s">
        <v>608</v>
      </c>
      <c r="I14">
        <v>3.5334014755776646E-4</v>
      </c>
      <c r="J14" t="s">
        <v>113</v>
      </c>
      <c r="P14" t="s">
        <v>41</v>
      </c>
      <c r="Q14">
        <v>0.19600000000000001</v>
      </c>
      <c r="R14" t="s">
        <v>200</v>
      </c>
    </row>
    <row r="15" spans="2:19">
      <c r="B15" t="s">
        <v>649</v>
      </c>
      <c r="C15">
        <f>I15</f>
        <v>1.7924470140060287</v>
      </c>
      <c r="D15" t="s">
        <v>114</v>
      </c>
      <c r="H15" t="s">
        <v>649</v>
      </c>
      <c r="I15">
        <f>'MATLAB INPUT'!F17</f>
        <v>1.7924470140060287</v>
      </c>
      <c r="J15" t="s">
        <v>207</v>
      </c>
      <c r="P15" t="s">
        <v>42</v>
      </c>
      <c r="Q15">
        <v>3.5000000000000003E-2</v>
      </c>
      <c r="R15" t="s">
        <v>199</v>
      </c>
    </row>
    <row r="16" spans="2:19">
      <c r="B16" t="s">
        <v>18</v>
      </c>
      <c r="C16">
        <f>I16*I17</f>
        <v>2.6999506298222711</v>
      </c>
      <c r="D16" t="s">
        <v>207</v>
      </c>
      <c r="H16" t="s">
        <v>18</v>
      </c>
      <c r="I16">
        <f>'MATLAB INPUT'!C18*'MATLAB INPUT'!C15</f>
        <v>8.4373457181945971E-2</v>
      </c>
      <c r="J16" t="s">
        <v>209</v>
      </c>
      <c r="P16" t="s">
        <v>105</v>
      </c>
      <c r="Q16">
        <v>28.571428571428569</v>
      </c>
      <c r="R16" t="s">
        <v>107</v>
      </c>
    </row>
    <row r="17" spans="2:19">
      <c r="B17" t="s">
        <v>696</v>
      </c>
      <c r="C17">
        <f>'MATLAB INPUT'!C33/'MATLAB INPUT'!$C$30/'MATLAB INPUT'!$C$26*'MATLAB INPUT'!$C$15</f>
        <v>652.74790664419925</v>
      </c>
      <c r="D17" t="s">
        <v>207</v>
      </c>
      <c r="H17" t="s">
        <v>231</v>
      </c>
      <c r="I17">
        <v>32</v>
      </c>
      <c r="J17" t="s">
        <v>232</v>
      </c>
      <c r="K17" s="1" t="s">
        <v>230</v>
      </c>
      <c r="P17" t="s">
        <v>106</v>
      </c>
      <c r="Q17">
        <v>5.1020408163265305</v>
      </c>
      <c r="R17" t="s">
        <v>300</v>
      </c>
    </row>
    <row r="18" spans="2:19">
      <c r="B18" t="s">
        <v>724</v>
      </c>
      <c r="C18">
        <f>'MATLAB INPUT'!C22*'MATLAB INPUT'!C21*'MATLAB INPUT'!C15</f>
        <v>65.752273333145141</v>
      </c>
      <c r="D18" t="s">
        <v>207</v>
      </c>
      <c r="K18" s="1"/>
    </row>
    <row r="19" spans="2:19">
      <c r="B19" s="6" t="s">
        <v>718</v>
      </c>
      <c r="C19">
        <f>'OpenLCA input'!D26</f>
        <v>1.2564014743460283</v>
      </c>
      <c r="D19" t="s">
        <v>207</v>
      </c>
      <c r="K19" s="1"/>
    </row>
    <row r="20" spans="2:19">
      <c r="B20" s="6" t="s">
        <v>20</v>
      </c>
      <c r="C20">
        <f>'OpenLCA input'!D27</f>
        <v>0.30963511774668129</v>
      </c>
      <c r="D20" t="s">
        <v>207</v>
      </c>
      <c r="K20" s="1"/>
    </row>
    <row r="21" spans="2:19">
      <c r="B21" s="50" t="s">
        <v>222</v>
      </c>
      <c r="C21" s="50" t="s">
        <v>220</v>
      </c>
      <c r="D21" s="50" t="s">
        <v>221</v>
      </c>
      <c r="H21" t="s">
        <v>693</v>
      </c>
      <c r="P21" t="s">
        <v>12</v>
      </c>
      <c r="Q21">
        <v>5.6</v>
      </c>
      <c r="R21" t="s">
        <v>301</v>
      </c>
    </row>
    <row r="22" spans="2:19">
      <c r="B22" t="s">
        <v>195</v>
      </c>
      <c r="C22">
        <f>'MATLAB INPUT'!C94/'MATLAB INPUT'!$C$30/'MATLAB INPUT'!$C$26*'MATLAB INPUT'!$C$15</f>
        <v>7.7279682081352021</v>
      </c>
      <c r="D22" t="s">
        <v>207</v>
      </c>
      <c r="H22" t="s">
        <v>195</v>
      </c>
      <c r="J22" t="s">
        <v>681</v>
      </c>
      <c r="P22" t="s">
        <v>13</v>
      </c>
      <c r="Q22">
        <v>5253.8181818181811</v>
      </c>
      <c r="R22" t="s">
        <v>299</v>
      </c>
    </row>
    <row r="23" spans="2:19">
      <c r="B23" t="s">
        <v>196</v>
      </c>
      <c r="C23">
        <f>'MATLAB INPUT'!C95/'MATLAB INPUT'!$C$30/'MATLAB INPUT'!$C$26*'MATLAB INPUT'!$C$15</f>
        <v>2.3195828140341437</v>
      </c>
      <c r="D23" t="s">
        <v>207</v>
      </c>
      <c r="H23" t="s">
        <v>196</v>
      </c>
      <c r="J23" t="s">
        <v>682</v>
      </c>
    </row>
    <row r="24" spans="2:19">
      <c r="B24" t="s">
        <v>197</v>
      </c>
      <c r="C24">
        <f>'MATLAB INPUT'!C96/'MATLAB INPUT'!$C$30/'MATLAB INPUT'!$C$26*'MATLAB INPUT'!$C$15</f>
        <v>92.781792918536865</v>
      </c>
      <c r="D24" t="s">
        <v>207</v>
      </c>
      <c r="H24" t="s">
        <v>197</v>
      </c>
      <c r="J24" t="s">
        <v>682</v>
      </c>
    </row>
    <row r="25" spans="2:19">
      <c r="B25" t="s">
        <v>198</v>
      </c>
      <c r="C25">
        <f>'MATLAB INPUT'!C97/'MATLAB INPUT'!$C$30/'MATLAB INPUT'!$C$26*'MATLAB INPUT'!$C$15</f>
        <v>129.89451008595159</v>
      </c>
      <c r="D25" t="s">
        <v>207</v>
      </c>
      <c r="H25" t="s">
        <v>198</v>
      </c>
      <c r="J25" t="s">
        <v>682</v>
      </c>
    </row>
    <row r="26" spans="2:19">
      <c r="B26" t="s">
        <v>779</v>
      </c>
      <c r="C26">
        <f>C22+C23+C24+C25</f>
        <v>232.72385402665782</v>
      </c>
      <c r="D26" t="s">
        <v>207</v>
      </c>
      <c r="P26" t="s">
        <v>336</v>
      </c>
      <c r="S26" t="s">
        <v>333</v>
      </c>
    </row>
    <row r="27" spans="2:19">
      <c r="B27" s="48" t="s">
        <v>213</v>
      </c>
      <c r="C27" s="49" t="s">
        <v>214</v>
      </c>
      <c r="D27" s="49" t="s">
        <v>215</v>
      </c>
      <c r="P27" t="s">
        <v>41</v>
      </c>
      <c r="Q27">
        <v>0.12491186261159025</v>
      </c>
      <c r="R27" t="s">
        <v>200</v>
      </c>
    </row>
    <row r="28" spans="2:19">
      <c r="B28" t="s">
        <v>223</v>
      </c>
      <c r="C28">
        <v>25</v>
      </c>
      <c r="D28">
        <v>40.233499999999999</v>
      </c>
      <c r="P28" t="s">
        <v>42</v>
      </c>
      <c r="Q28">
        <v>0.53228415045998023</v>
      </c>
      <c r="R28" t="s">
        <v>199</v>
      </c>
    </row>
    <row r="29" spans="2:19">
      <c r="B29" s="6" t="s">
        <v>216</v>
      </c>
      <c r="C29" s="35">
        <v>500</v>
      </c>
      <c r="D29" s="35">
        <v>804.67</v>
      </c>
      <c r="P29" t="s">
        <v>105</v>
      </c>
      <c r="Q29">
        <v>1.8786958039908517</v>
      </c>
      <c r="R29" t="s">
        <v>107</v>
      </c>
    </row>
    <row r="30" spans="2:19">
      <c r="B30" s="6" t="s">
        <v>217</v>
      </c>
      <c r="C30" s="35">
        <v>50</v>
      </c>
      <c r="D30" s="35">
        <v>80.466999999999999</v>
      </c>
      <c r="P30" t="s">
        <v>106</v>
      </c>
      <c r="Q30">
        <v>8.005644772982615</v>
      </c>
      <c r="R30" t="s">
        <v>300</v>
      </c>
    </row>
    <row r="31" spans="2:19">
      <c r="B31" s="6" t="s">
        <v>218</v>
      </c>
      <c r="C31" s="35">
        <v>10</v>
      </c>
      <c r="D31" s="35">
        <v>16.093399999999999</v>
      </c>
      <c r="P31" t="s">
        <v>12</v>
      </c>
      <c r="Q31">
        <v>0.23467139215707636</v>
      </c>
      <c r="R31" t="s">
        <v>301</v>
      </c>
    </row>
    <row r="32" spans="2:19">
      <c r="P32" t="s">
        <v>13</v>
      </c>
      <c r="Q32">
        <v>220.16443336918437</v>
      </c>
      <c r="R32" t="s">
        <v>299</v>
      </c>
    </row>
    <row r="34" spans="2:10">
      <c r="B34" s="50" t="s">
        <v>219</v>
      </c>
      <c r="C34" s="50" t="s">
        <v>233</v>
      </c>
      <c r="D34" s="49" t="s">
        <v>234</v>
      </c>
      <c r="E34" s="50" t="s">
        <v>235</v>
      </c>
      <c r="F34" s="50"/>
    </row>
    <row r="35" spans="2:10">
      <c r="B35" t="s">
        <v>357</v>
      </c>
      <c r="C35">
        <f t="shared" ref="C35:C48" si="0">C2/$M$2</f>
        <v>4.7402392955348861E-4</v>
      </c>
      <c r="D35">
        <f t="shared" ref="D35:D40" si="1">C35*$D$29</f>
        <v>0.38143283539380568</v>
      </c>
      <c r="E35">
        <f t="shared" ref="E35:E43" si="2">C35*$D$30</f>
        <v>3.8143283539380568E-2</v>
      </c>
    </row>
    <row r="36" spans="2:10">
      <c r="B36" t="s">
        <v>86</v>
      </c>
      <c r="C36">
        <f t="shared" si="0"/>
        <v>2.2408081583357145E-5</v>
      </c>
      <c r="D36">
        <f t="shared" si="1"/>
        <v>1.8031111007679995E-2</v>
      </c>
      <c r="E36">
        <f t="shared" si="2"/>
        <v>1.8031111007679995E-3</v>
      </c>
    </row>
    <row r="37" spans="2:10">
      <c r="B37" t="s">
        <v>91</v>
      </c>
      <c r="C37">
        <f t="shared" si="0"/>
        <v>8.4933999298965015E-9</v>
      </c>
      <c r="D37">
        <f t="shared" si="1"/>
        <v>6.8343841215898175E-6</v>
      </c>
      <c r="E37">
        <f t="shared" si="2"/>
        <v>6.8343841215898173E-7</v>
      </c>
    </row>
    <row r="38" spans="2:10">
      <c r="B38" t="s">
        <v>94</v>
      </c>
      <c r="C38">
        <f t="shared" si="0"/>
        <v>3.1019487632758793E-7</v>
      </c>
      <c r="D38">
        <f t="shared" si="1"/>
        <v>2.4960451113452018E-4</v>
      </c>
      <c r="E38">
        <f t="shared" si="2"/>
        <v>2.4960451113452018E-5</v>
      </c>
    </row>
    <row r="39" spans="2:10">
      <c r="B39" t="s">
        <v>84</v>
      </c>
      <c r="C39">
        <f t="shared" si="0"/>
        <v>6.5309206587763844E-5</v>
      </c>
      <c r="D39">
        <f t="shared" si="1"/>
        <v>5.255235926497593E-2</v>
      </c>
      <c r="E39">
        <f t="shared" si="2"/>
        <v>5.2552359264975935E-3</v>
      </c>
      <c r="J39" s="6"/>
    </row>
    <row r="40" spans="2:10">
      <c r="B40" t="s">
        <v>95</v>
      </c>
      <c r="C40">
        <f t="shared" si="0"/>
        <v>6.0663288021237956E-10</v>
      </c>
      <c r="D40">
        <f t="shared" si="1"/>
        <v>4.8813927972049544E-7</v>
      </c>
      <c r="E40">
        <f t="shared" si="2"/>
        <v>4.8813927972049547E-8</v>
      </c>
      <c r="J40" s="6"/>
    </row>
    <row r="41" spans="2:10">
      <c r="B41" t="s">
        <v>88</v>
      </c>
      <c r="C41">
        <f t="shared" si="0"/>
        <v>2.9048779888521246E-6</v>
      </c>
      <c r="D41">
        <f t="shared" ref="D41:D52" si="3">C41*$D$29</f>
        <v>2.3374681712896388E-3</v>
      </c>
      <c r="E41">
        <f t="shared" si="2"/>
        <v>2.3374681712896389E-4</v>
      </c>
      <c r="J41" s="6"/>
    </row>
    <row r="42" spans="2:10">
      <c r="B42" t="s">
        <v>89</v>
      </c>
      <c r="C42">
        <f t="shared" si="0"/>
        <v>1.1371948589136059E-7</v>
      </c>
      <c r="D42">
        <f t="shared" si="3"/>
        <v>9.1506658712201119E-5</v>
      </c>
      <c r="E42">
        <f t="shared" si="2"/>
        <v>9.1506658712201132E-6</v>
      </c>
      <c r="J42" s="6"/>
    </row>
    <row r="43" spans="2:10">
      <c r="B43" t="s">
        <v>97</v>
      </c>
      <c r="C43">
        <f t="shared" si="0"/>
        <v>3.6576600856874791E-8</v>
      </c>
      <c r="D43">
        <f t="shared" si="3"/>
        <v>2.9432093411501436E-5</v>
      </c>
      <c r="E43">
        <f t="shared" si="2"/>
        <v>2.9432093411501437E-6</v>
      </c>
      <c r="J43" s="6"/>
    </row>
    <row r="44" spans="2:10">
      <c r="B44" t="s">
        <v>358</v>
      </c>
      <c r="C44">
        <f t="shared" si="0"/>
        <v>8.260304201067779E-12</v>
      </c>
      <c r="D44">
        <f t="shared" si="3"/>
        <v>6.6468189814732091E-9</v>
      </c>
      <c r="E44">
        <f t="shared" ref="E44:E52" si="4">C44*$D$30</f>
        <v>6.6468189814732099E-10</v>
      </c>
    </row>
    <row r="45" spans="2:10">
      <c r="B45" t="s">
        <v>92</v>
      </c>
      <c r="C45">
        <f t="shared" si="0"/>
        <v>1.4759022829000475E-8</v>
      </c>
      <c r="D45">
        <f t="shared" si="3"/>
        <v>1.1876142899811812E-5</v>
      </c>
      <c r="E45">
        <f t="shared" si="4"/>
        <v>1.1876142899811813E-6</v>
      </c>
    </row>
    <row r="46" spans="2:10">
      <c r="B46" t="s">
        <v>87</v>
      </c>
      <c r="C46">
        <f t="shared" si="0"/>
        <v>1.3281159557917403E-6</v>
      </c>
      <c r="D46">
        <f t="shared" si="3"/>
        <v>1.0686950661469396E-3</v>
      </c>
      <c r="E46">
        <f t="shared" si="4"/>
        <v>1.0686950661469397E-4</v>
      </c>
    </row>
    <row r="47" spans="2:10">
      <c r="B47" t="s">
        <v>608</v>
      </c>
      <c r="C47">
        <f t="shared" si="0"/>
        <v>3.8949072962820864E-10</v>
      </c>
      <c r="D47">
        <f t="shared" si="3"/>
        <v>3.1341150540993065E-7</v>
      </c>
      <c r="E47">
        <f t="shared" si="4"/>
        <v>3.1341150540993065E-8</v>
      </c>
    </row>
    <row r="48" spans="2:10">
      <c r="B48" t="s">
        <v>649</v>
      </c>
      <c r="C48">
        <f t="shared" si="0"/>
        <v>1.9758340514955922E-3</v>
      </c>
      <c r="D48">
        <f t="shared" si="3"/>
        <v>1.5898943862169581</v>
      </c>
      <c r="E48">
        <f t="shared" si="4"/>
        <v>0.15898943862169582</v>
      </c>
    </row>
    <row r="49" spans="2:6">
      <c r="B49" t="s">
        <v>18</v>
      </c>
      <c r="C49">
        <f t="shared" ref="C49:C53" si="5">C16/$M$2</f>
        <v>2.9761852652130175E-3</v>
      </c>
      <c r="D49">
        <f t="shared" si="3"/>
        <v>2.3948469973589588</v>
      </c>
      <c r="E49">
        <f t="shared" si="4"/>
        <v>0.23948469973589587</v>
      </c>
    </row>
    <row r="50" spans="2:6">
      <c r="B50" t="s">
        <v>696</v>
      </c>
      <c r="C50">
        <f t="shared" si="5"/>
        <v>0.71953119445780001</v>
      </c>
      <c r="D50">
        <f t="shared" si="3"/>
        <v>578.98516624435786</v>
      </c>
      <c r="E50">
        <f t="shared" si="4"/>
        <v>57.898516624435793</v>
      </c>
    </row>
    <row r="51" spans="2:6">
      <c r="B51" t="s">
        <v>724</v>
      </c>
      <c r="C51">
        <f t="shared" si="5"/>
        <v>7.2479453841438238E-2</v>
      </c>
      <c r="D51">
        <f t="shared" si="3"/>
        <v>58.322042122590105</v>
      </c>
      <c r="E51">
        <f t="shared" si="4"/>
        <v>5.8322042122590103</v>
      </c>
    </row>
    <row r="52" spans="2:6">
      <c r="B52" s="6" t="s">
        <v>718</v>
      </c>
      <c r="C52">
        <f t="shared" si="5"/>
        <v>1.3849451593071186E-3</v>
      </c>
      <c r="D52">
        <f t="shared" si="3"/>
        <v>1.1144238213396591</v>
      </c>
      <c r="E52">
        <f t="shared" si="4"/>
        <v>0.1114423821339659</v>
      </c>
    </row>
    <row r="53" spans="2:6">
      <c r="B53" s="6" t="s">
        <v>20</v>
      </c>
      <c r="C53">
        <f t="shared" si="5"/>
        <v>3.4131419473060215E-4</v>
      </c>
      <c r="D53">
        <f t="shared" ref="D53" si="6">C53*$D$29</f>
        <v>0.27464529307387364</v>
      </c>
      <c r="E53">
        <f t="shared" ref="E53" si="7">C53*$D$30</f>
        <v>2.7464529307387364E-2</v>
      </c>
    </row>
    <row r="54" spans="2:6">
      <c r="B54" s="50" t="s">
        <v>222</v>
      </c>
    </row>
    <row r="55" spans="2:6">
      <c r="B55" t="s">
        <v>195</v>
      </c>
      <c r="C55">
        <f>C22/$M$2</f>
        <v>8.5186243248457621E-3</v>
      </c>
      <c r="E55">
        <f>C55*$D$28</f>
        <v>0.34273407177368198</v>
      </c>
    </row>
    <row r="56" spans="2:6">
      <c r="B56" t="s">
        <v>196</v>
      </c>
      <c r="C56">
        <f>C23/$M$2</f>
        <v>2.5569016397252423E-3</v>
      </c>
      <c r="E56">
        <f t="shared" ref="E56:E58" si="8">C56*$D$28</f>
        <v>0.10287310212188554</v>
      </c>
    </row>
    <row r="57" spans="2:6">
      <c r="B57" t="s">
        <v>197</v>
      </c>
      <c r="C57">
        <f>C24/$M$2</f>
        <v>0.10227439047001094</v>
      </c>
      <c r="E57">
        <f t="shared" si="8"/>
        <v>4.114856688975185</v>
      </c>
    </row>
    <row r="58" spans="2:6">
      <c r="B58" t="s">
        <v>198</v>
      </c>
      <c r="C58">
        <f>C25/$M$2</f>
        <v>0.14318414665801529</v>
      </c>
      <c r="E58">
        <f t="shared" si="8"/>
        <v>5.7607993645652584</v>
      </c>
    </row>
    <row r="59" spans="2:6" ht="15.75" thickBot="1">
      <c r="B59" t="s">
        <v>777</v>
      </c>
      <c r="C59">
        <f>SUM(C55:C58)</f>
        <v>0.25653406309259724</v>
      </c>
      <c r="D59" s="43" t="s">
        <v>238</v>
      </c>
      <c r="E59" s="43"/>
      <c r="F59" s="43"/>
    </row>
    <row r="60" spans="2:6">
      <c r="C60" s="12" t="s">
        <v>237</v>
      </c>
      <c r="D60" s="51" t="s">
        <v>234</v>
      </c>
      <c r="E60" s="52" t="s">
        <v>695</v>
      </c>
      <c r="F60" s="53" t="s">
        <v>236</v>
      </c>
    </row>
    <row r="61" spans="2:6" ht="15.75" thickBot="1">
      <c r="C61" s="8"/>
      <c r="D61" s="9">
        <f>SUM(D35:D58)</f>
        <v>643.13683139582918</v>
      </c>
      <c r="E61" s="9">
        <f>SUM(E35:E58)</f>
        <v>74.634946367018927</v>
      </c>
      <c r="F61" s="9">
        <v>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1B3AA-07C2-4AA3-918E-328851211380}">
  <dimension ref="B1:V57"/>
  <sheetViews>
    <sheetView zoomScale="55" zoomScaleNormal="55" workbookViewId="0">
      <selection activeCell="B25" sqref="B25"/>
    </sheetView>
  </sheetViews>
  <sheetFormatPr defaultRowHeight="15"/>
  <cols>
    <col min="2" max="2" width="62.5703125" customWidth="1"/>
    <col min="3" max="3" width="15.42578125" customWidth="1"/>
    <col min="4" max="4" width="16.42578125" customWidth="1"/>
    <col min="5" max="5" width="22.28515625" customWidth="1"/>
    <col min="6" max="6" width="21.28515625" customWidth="1"/>
    <col min="8" max="8" width="21" customWidth="1"/>
  </cols>
  <sheetData>
    <row r="1" spans="2:22">
      <c r="B1" s="50" t="s">
        <v>219</v>
      </c>
      <c r="C1" s="50" t="s">
        <v>220</v>
      </c>
      <c r="D1" s="50" t="s">
        <v>221</v>
      </c>
      <c r="H1" s="43" t="s">
        <v>225</v>
      </c>
      <c r="I1" s="43"/>
      <c r="J1" s="43"/>
      <c r="Q1" t="s">
        <v>302</v>
      </c>
    </row>
    <row r="2" spans="2:22">
      <c r="B2" t="s">
        <v>288</v>
      </c>
      <c r="C2">
        <f>HPS!C12</f>
        <v>1.8744886683324626E-3</v>
      </c>
      <c r="D2" t="s">
        <v>114</v>
      </c>
      <c r="N2" t="s">
        <v>103</v>
      </c>
      <c r="Q2" t="s">
        <v>305</v>
      </c>
      <c r="T2" t="s">
        <v>245</v>
      </c>
      <c r="U2">
        <v>907.18499999999995</v>
      </c>
      <c r="V2" t="s">
        <v>224</v>
      </c>
    </row>
    <row r="3" spans="2:22">
      <c r="B3" t="s">
        <v>86</v>
      </c>
      <c r="C3">
        <f>I3</f>
        <v>2.1207208852516563E-2</v>
      </c>
      <c r="D3" t="s">
        <v>114</v>
      </c>
      <c r="H3" t="s">
        <v>86</v>
      </c>
      <c r="I3">
        <v>2.1207208852516563E-2</v>
      </c>
      <c r="J3" t="s">
        <v>207</v>
      </c>
      <c r="N3" t="s">
        <v>41</v>
      </c>
      <c r="O3">
        <v>0.43899789299999997</v>
      </c>
      <c r="P3" t="s">
        <v>200</v>
      </c>
    </row>
    <row r="4" spans="2:22">
      <c r="B4" t="s">
        <v>91</v>
      </c>
      <c r="C4">
        <f>I4</f>
        <v>4.040275050669128E-3</v>
      </c>
      <c r="D4" t="s">
        <v>114</v>
      </c>
      <c r="H4" t="s">
        <v>91</v>
      </c>
      <c r="I4">
        <v>4.040275050669128E-3</v>
      </c>
      <c r="J4" t="s">
        <v>207</v>
      </c>
      <c r="N4" t="s">
        <v>42</v>
      </c>
      <c r="O4">
        <v>0.16319624275092937</v>
      </c>
      <c r="P4" t="s">
        <v>199</v>
      </c>
    </row>
    <row r="5" spans="2:22">
      <c r="B5" t="s">
        <v>94</v>
      </c>
      <c r="C5">
        <f>I5/1000</f>
        <v>1.4755269311884962E-7</v>
      </c>
      <c r="D5" t="s">
        <v>114</v>
      </c>
      <c r="H5" t="s">
        <v>94</v>
      </c>
      <c r="I5">
        <v>1.4755269311884963E-4</v>
      </c>
      <c r="J5" t="s">
        <v>226</v>
      </c>
      <c r="N5" t="s">
        <v>105</v>
      </c>
      <c r="O5">
        <v>6.1275920520192564</v>
      </c>
      <c r="P5" t="s">
        <v>107</v>
      </c>
    </row>
    <row r="6" spans="2:22">
      <c r="B6" t="s">
        <v>84</v>
      </c>
      <c r="C6">
        <f>I6</f>
        <v>3.1067340842573215E-2</v>
      </c>
      <c r="D6" t="s">
        <v>212</v>
      </c>
      <c r="H6" t="s">
        <v>84</v>
      </c>
      <c r="I6">
        <v>3.1067340842573215E-2</v>
      </c>
      <c r="J6" t="s">
        <v>207</v>
      </c>
      <c r="N6" t="s">
        <v>106</v>
      </c>
      <c r="O6">
        <v>2.2779152609737015</v>
      </c>
      <c r="P6" t="s">
        <v>300</v>
      </c>
    </row>
    <row r="7" spans="2:22">
      <c r="B7" t="s">
        <v>95</v>
      </c>
      <c r="C7">
        <f>I7/1000</f>
        <v>2.8858057232922992E-7</v>
      </c>
      <c r="D7" t="s">
        <v>114</v>
      </c>
      <c r="H7" t="s">
        <v>95</v>
      </c>
      <c r="I7">
        <v>2.8858057232922994E-4</v>
      </c>
      <c r="J7" t="s">
        <v>226</v>
      </c>
      <c r="N7" t="s">
        <v>12</v>
      </c>
      <c r="O7">
        <v>2.6909749999999999</v>
      </c>
      <c r="P7" t="s">
        <v>301</v>
      </c>
    </row>
    <row r="8" spans="2:22">
      <c r="B8" t="s">
        <v>88</v>
      </c>
      <c r="C8">
        <f>I8/1000</f>
        <v>1.3818453072688679E-6</v>
      </c>
      <c r="D8" t="s">
        <v>114</v>
      </c>
      <c r="H8" t="s">
        <v>88</v>
      </c>
      <c r="I8">
        <v>1.3818453072688679E-3</v>
      </c>
      <c r="J8" t="s">
        <v>226</v>
      </c>
      <c r="N8" t="s">
        <v>13</v>
      </c>
      <c r="O8">
        <v>1669.0896233712692</v>
      </c>
      <c r="P8" t="s">
        <v>299</v>
      </c>
    </row>
    <row r="9" spans="2:22">
      <c r="B9" t="s">
        <v>89</v>
      </c>
      <c r="C9">
        <f>I9</f>
        <v>2.4425036368966854E-2</v>
      </c>
      <c r="D9" t="s">
        <v>212</v>
      </c>
      <c r="H9" t="s">
        <v>89</v>
      </c>
      <c r="I9">
        <v>2.4425036368966854E-2</v>
      </c>
      <c r="J9" t="s">
        <v>207</v>
      </c>
    </row>
    <row r="10" spans="2:22">
      <c r="B10" t="s">
        <v>97</v>
      </c>
      <c r="C10">
        <f>I10/1000</f>
        <v>1.7405630341747703E-8</v>
      </c>
      <c r="D10" t="s">
        <v>114</v>
      </c>
      <c r="H10" t="s">
        <v>97</v>
      </c>
      <c r="I10">
        <v>1.7405630341747704E-5</v>
      </c>
      <c r="J10" t="s">
        <v>226</v>
      </c>
    </row>
    <row r="11" spans="2:22">
      <c r="B11" t="s">
        <v>92</v>
      </c>
      <c r="C11">
        <f>I11</f>
        <v>7.0208100440579081E-3</v>
      </c>
      <c r="D11" t="s">
        <v>114</v>
      </c>
      <c r="H11" t="s">
        <v>92</v>
      </c>
      <c r="I11">
        <v>7.0208100440579081E-3</v>
      </c>
      <c r="J11" t="s">
        <v>207</v>
      </c>
    </row>
    <row r="12" spans="2:22">
      <c r="B12" t="s">
        <v>87</v>
      </c>
      <c r="C12">
        <f>I12</f>
        <v>6.8331288264140977E-2</v>
      </c>
      <c r="D12" t="s">
        <v>114</v>
      </c>
      <c r="H12" t="s">
        <v>87</v>
      </c>
      <c r="I12">
        <v>6.8331288264140977E-2</v>
      </c>
      <c r="J12" t="s">
        <v>207</v>
      </c>
      <c r="N12" t="s">
        <v>335</v>
      </c>
      <c r="Q12" t="s">
        <v>303</v>
      </c>
    </row>
    <row r="13" spans="2:22">
      <c r="B13" t="s">
        <v>608</v>
      </c>
      <c r="C13">
        <f>I13/1000</f>
        <v>1.8528633524303973E-7</v>
      </c>
      <c r="D13" t="s">
        <v>114</v>
      </c>
      <c r="H13" t="s">
        <v>608</v>
      </c>
      <c r="I13">
        <v>1.8528633524303974E-4</v>
      </c>
      <c r="J13" t="s">
        <v>226</v>
      </c>
      <c r="N13" t="s">
        <v>41</v>
      </c>
      <c r="O13">
        <v>0.19600000000000001</v>
      </c>
      <c r="P13" t="s">
        <v>200</v>
      </c>
    </row>
    <row r="14" spans="2:22">
      <c r="B14" t="s">
        <v>66</v>
      </c>
      <c r="C14">
        <f>I14/1000</f>
        <v>3.9252032169313298E-9</v>
      </c>
      <c r="D14" t="s">
        <v>114</v>
      </c>
      <c r="H14" t="s">
        <v>66</v>
      </c>
      <c r="I14">
        <v>3.9252032169313296E-6</v>
      </c>
      <c r="J14" t="s">
        <v>226</v>
      </c>
      <c r="N14" t="s">
        <v>42</v>
      </c>
      <c r="O14">
        <v>3.5000000000000003E-2</v>
      </c>
      <c r="P14" t="s">
        <v>199</v>
      </c>
    </row>
    <row r="15" spans="2:22">
      <c r="B15" t="s">
        <v>17</v>
      </c>
      <c r="C15">
        <f>I15</f>
        <v>0.54955725764729402</v>
      </c>
      <c r="D15" t="s">
        <v>207</v>
      </c>
      <c r="H15" t="s">
        <v>17</v>
      </c>
      <c r="I15">
        <f>'Transport Indoor'!I15*'Transport Outdoor'!O25/'Transport Outdoor'!O5</f>
        <v>0.54955725764729402</v>
      </c>
      <c r="J15" t="s">
        <v>207</v>
      </c>
      <c r="N15" t="s">
        <v>105</v>
      </c>
      <c r="O15">
        <v>28.571428571428569</v>
      </c>
      <c r="P15" t="s">
        <v>107</v>
      </c>
    </row>
    <row r="16" spans="2:22">
      <c r="B16" t="s">
        <v>18</v>
      </c>
      <c r="C16">
        <f>I17*I16</f>
        <v>0.82779432380098295</v>
      </c>
      <c r="D16" t="s">
        <v>207</v>
      </c>
      <c r="H16" t="s">
        <v>18</v>
      </c>
      <c r="I16">
        <f>'Transport Indoor'!I16*'Transport Outdoor'!O25/'Transport Outdoor'!O5</f>
        <v>2.5868572618780717E-2</v>
      </c>
      <c r="J16" t="s">
        <v>209</v>
      </c>
      <c r="N16" t="s">
        <v>106</v>
      </c>
      <c r="O16">
        <v>5.1020408163265305</v>
      </c>
      <c r="P16" t="s">
        <v>300</v>
      </c>
    </row>
    <row r="17" spans="2:17">
      <c r="B17" t="s">
        <v>724</v>
      </c>
      <c r="C17">
        <f>'Transport Indoor'!C18*'Transport Outdoor'!$O$25/'Transport Outdoor'!$O$5</f>
        <v>20.159390338841561</v>
      </c>
      <c r="D17" t="s">
        <v>207</v>
      </c>
      <c r="H17" t="s">
        <v>231</v>
      </c>
      <c r="I17">
        <v>32</v>
      </c>
      <c r="J17" t="s">
        <v>232</v>
      </c>
      <c r="K17" s="1" t="s">
        <v>230</v>
      </c>
      <c r="N17" t="s">
        <v>12</v>
      </c>
      <c r="O17">
        <v>5.6</v>
      </c>
      <c r="P17" t="s">
        <v>301</v>
      </c>
    </row>
    <row r="18" spans="2:17">
      <c r="B18" s="6" t="s">
        <v>718</v>
      </c>
      <c r="C18">
        <f>'Transport Indoor'!C19*'Transport Outdoor'!$O$25/'Transport Outdoor'!$O$5</f>
        <v>0.38520778765028424</v>
      </c>
      <c r="D18" t="s">
        <v>207</v>
      </c>
      <c r="N18" t="s">
        <v>13</v>
      </c>
      <c r="O18">
        <v>5253.8181818181811</v>
      </c>
      <c r="P18" t="s">
        <v>299</v>
      </c>
    </row>
    <row r="19" spans="2:17">
      <c r="B19" s="6" t="s">
        <v>20</v>
      </c>
      <c r="C19">
        <f>'Transport Indoor'!C20*'Transport Outdoor'!$O$25/'Transport Outdoor'!$O$5</f>
        <v>9.4932918435261943E-2</v>
      </c>
      <c r="D19" t="s">
        <v>207</v>
      </c>
    </row>
    <row r="20" spans="2:17">
      <c r="B20" s="50" t="s">
        <v>222</v>
      </c>
      <c r="C20" s="50" t="s">
        <v>220</v>
      </c>
      <c r="D20" s="50" t="s">
        <v>221</v>
      </c>
    </row>
    <row r="21" spans="2:17">
      <c r="B21" t="s">
        <v>195</v>
      </c>
      <c r="C21">
        <f>'Transport Indoor'!C22*'Transport Outdoor'!$O$25/'Transport Outdoor'!$O$5</f>
        <v>2.3693648863608585</v>
      </c>
      <c r="D21" t="s">
        <v>207</v>
      </c>
    </row>
    <row r="22" spans="2:17">
      <c r="B22" t="s">
        <v>196</v>
      </c>
      <c r="C22">
        <f>'Transport Indoor'!C23*'Transport Outdoor'!$O$25/'Transport Outdoor'!$O$5</f>
        <v>0.71117503625248568</v>
      </c>
      <c r="D22" t="s">
        <v>207</v>
      </c>
      <c r="N22" t="s">
        <v>336</v>
      </c>
      <c r="Q22" t="s">
        <v>333</v>
      </c>
    </row>
    <row r="23" spans="2:17">
      <c r="B23" t="s">
        <v>197</v>
      </c>
      <c r="C23">
        <f>'Transport Indoor'!C24*'Transport Outdoor'!$O$25/'Transport Outdoor'!$O$5</f>
        <v>28.446535533540043</v>
      </c>
      <c r="D23" t="s">
        <v>207</v>
      </c>
      <c r="N23" t="s">
        <v>41</v>
      </c>
      <c r="O23">
        <v>0.12491186261159025</v>
      </c>
      <c r="P23" t="s">
        <v>200</v>
      </c>
    </row>
    <row r="24" spans="2:17">
      <c r="B24" t="s">
        <v>198</v>
      </c>
      <c r="C24">
        <f>'Transport Indoor'!C25*'Transport Outdoor'!$O$25/'Transport Outdoor'!$O$5</f>
        <v>39.825149746956058</v>
      </c>
      <c r="D24" t="s">
        <v>207</v>
      </c>
      <c r="N24" t="s">
        <v>42</v>
      </c>
      <c r="O24">
        <v>0.53228415045998023</v>
      </c>
      <c r="P24" t="s">
        <v>199</v>
      </c>
    </row>
    <row r="25" spans="2:17">
      <c r="B25" t="s">
        <v>779</v>
      </c>
      <c r="C25">
        <f>'Transport Indoor'!C26*'Transport Outdoor'!$O$25/'Transport Outdoor'!$O$5</f>
        <v>71.352225203109441</v>
      </c>
      <c r="D25" t="s">
        <v>207</v>
      </c>
      <c r="N25" t="s">
        <v>105</v>
      </c>
      <c r="O25">
        <v>1.8786958039908517</v>
      </c>
      <c r="P25" t="s">
        <v>107</v>
      </c>
    </row>
    <row r="26" spans="2:17">
      <c r="B26" s="48" t="s">
        <v>213</v>
      </c>
      <c r="C26" s="49" t="s">
        <v>214</v>
      </c>
      <c r="D26" s="49" t="s">
        <v>215</v>
      </c>
      <c r="N26" t="s">
        <v>106</v>
      </c>
      <c r="O26">
        <v>8.005644772982615</v>
      </c>
      <c r="P26" t="s">
        <v>300</v>
      </c>
    </row>
    <row r="27" spans="2:17">
      <c r="B27" t="s">
        <v>223</v>
      </c>
      <c r="C27">
        <v>25</v>
      </c>
      <c r="D27">
        <v>40.233499999999999</v>
      </c>
      <c r="N27" t="s">
        <v>12</v>
      </c>
      <c r="O27">
        <v>0.23467139215707636</v>
      </c>
      <c r="P27" t="s">
        <v>301</v>
      </c>
    </row>
    <row r="28" spans="2:17">
      <c r="B28" s="6" t="s">
        <v>216</v>
      </c>
      <c r="C28" s="35">
        <v>500</v>
      </c>
      <c r="D28" s="35">
        <v>804.67</v>
      </c>
      <c r="N28" t="s">
        <v>13</v>
      </c>
      <c r="O28">
        <v>220.16443336918437</v>
      </c>
      <c r="P28" t="s">
        <v>299</v>
      </c>
    </row>
    <row r="29" spans="2:17">
      <c r="B29" s="6" t="s">
        <v>217</v>
      </c>
      <c r="C29" s="35">
        <v>50</v>
      </c>
      <c r="D29" s="35">
        <v>80.466999999999999</v>
      </c>
    </row>
    <row r="30" spans="2:17">
      <c r="B30" s="6" t="s">
        <v>218</v>
      </c>
      <c r="C30" s="35">
        <v>10</v>
      </c>
      <c r="D30" s="35">
        <v>16.093399999999999</v>
      </c>
    </row>
    <row r="32" spans="2:17" ht="15.75" thickBot="1"/>
    <row r="33" spans="2:6">
      <c r="B33" s="50" t="s">
        <v>219</v>
      </c>
      <c r="C33" s="50" t="s">
        <v>233</v>
      </c>
      <c r="D33" s="49" t="s">
        <v>234</v>
      </c>
      <c r="E33" s="52" t="s">
        <v>695</v>
      </c>
      <c r="F33" s="50"/>
    </row>
    <row r="34" spans="2:6">
      <c r="B34" t="s">
        <v>288</v>
      </c>
      <c r="C34">
        <f t="shared" ref="C34:C48" si="0">C2/$U$2</f>
        <v>2.0662694691076932E-6</v>
      </c>
      <c r="D34">
        <f t="shared" ref="D34:D48" si="1">C34*$D$28</f>
        <v>1.6626650537068875E-3</v>
      </c>
      <c r="E34">
        <f t="shared" ref="E34:E48" si="2">C34*$D$29</f>
        <v>1.6626650537068875E-4</v>
      </c>
    </row>
    <row r="35" spans="2:6">
      <c r="B35" t="s">
        <v>86</v>
      </c>
      <c r="C35">
        <f t="shared" si="0"/>
        <v>2.3376939491411965E-5</v>
      </c>
      <c r="D35">
        <f t="shared" si="1"/>
        <v>1.8810721900554463E-2</v>
      </c>
      <c r="E35">
        <f t="shared" si="2"/>
        <v>1.8810721900554466E-3</v>
      </c>
    </row>
    <row r="36" spans="2:6">
      <c r="B36" t="s">
        <v>91</v>
      </c>
      <c r="C36">
        <f t="shared" si="0"/>
        <v>4.453639611180882E-6</v>
      </c>
      <c r="D36">
        <f t="shared" si="1"/>
        <v>3.5837101859289202E-3</v>
      </c>
      <c r="E36">
        <f t="shared" si="2"/>
        <v>3.5837101859289205E-4</v>
      </c>
    </row>
    <row r="37" spans="2:6">
      <c r="B37" t="s">
        <v>94</v>
      </c>
      <c r="C37">
        <f t="shared" si="0"/>
        <v>1.6264895596691923E-10</v>
      </c>
      <c r="D37">
        <f t="shared" si="1"/>
        <v>1.3087873539790088E-7</v>
      </c>
      <c r="E37">
        <f t="shared" si="2"/>
        <v>1.308787353979009E-8</v>
      </c>
    </row>
    <row r="38" spans="2:6">
      <c r="B38" t="s">
        <v>84</v>
      </c>
      <c r="C38">
        <f t="shared" si="0"/>
        <v>3.4245871396212696E-5</v>
      </c>
      <c r="D38">
        <f t="shared" si="1"/>
        <v>2.7556625336390469E-2</v>
      </c>
      <c r="E38">
        <f t="shared" si="2"/>
        <v>2.7556625336390469E-3</v>
      </c>
    </row>
    <row r="39" spans="2:6">
      <c r="B39" t="s">
        <v>95</v>
      </c>
      <c r="C39">
        <f t="shared" si="0"/>
        <v>3.1810553782219716E-10</v>
      </c>
      <c r="D39">
        <f t="shared" si="1"/>
        <v>2.5596998311938736E-7</v>
      </c>
      <c r="E39">
        <f t="shared" si="2"/>
        <v>2.5596998311938739E-8</v>
      </c>
    </row>
    <row r="40" spans="2:6">
      <c r="B40" t="s">
        <v>88</v>
      </c>
      <c r="C40">
        <f t="shared" si="0"/>
        <v>1.5232232755930356E-9</v>
      </c>
      <c r="D40">
        <f t="shared" si="1"/>
        <v>1.2256920731714478E-6</v>
      </c>
      <c r="E40">
        <f t="shared" si="2"/>
        <v>1.2256920731714481E-7</v>
      </c>
    </row>
    <row r="41" spans="2:6">
      <c r="B41" t="s">
        <v>89</v>
      </c>
      <c r="C41">
        <f t="shared" si="0"/>
        <v>2.6923986142811947E-5</v>
      </c>
      <c r="D41">
        <f t="shared" si="1"/>
        <v>2.1664923929536489E-2</v>
      </c>
      <c r="E41">
        <f t="shared" si="2"/>
        <v>2.1664923929536491E-3</v>
      </c>
    </row>
    <row r="42" spans="2:6">
      <c r="B42" t="s">
        <v>97</v>
      </c>
      <c r="C42">
        <f t="shared" si="0"/>
        <v>1.918641770063185E-11</v>
      </c>
      <c r="D42">
        <f t="shared" si="1"/>
        <v>1.5438734731167431E-8</v>
      </c>
      <c r="E42">
        <f t="shared" si="2"/>
        <v>1.543873473116743E-9</v>
      </c>
    </row>
    <row r="43" spans="2:6">
      <c r="B43" t="s">
        <v>92</v>
      </c>
      <c r="C43">
        <f t="shared" si="0"/>
        <v>7.7391161053786259E-6</v>
      </c>
      <c r="D43">
        <f t="shared" si="1"/>
        <v>6.2274345565150185E-3</v>
      </c>
      <c r="E43">
        <f t="shared" si="2"/>
        <v>6.2274345565150192E-4</v>
      </c>
    </row>
    <row r="44" spans="2:6">
      <c r="B44" t="s">
        <v>87</v>
      </c>
      <c r="C44">
        <f t="shared" si="0"/>
        <v>7.5322330356146743E-5</v>
      </c>
      <c r="D44">
        <f t="shared" si="1"/>
        <v>6.0609619567680593E-2</v>
      </c>
      <c r="E44">
        <f t="shared" si="2"/>
        <v>6.0609619567680599E-3</v>
      </c>
    </row>
    <row r="45" spans="2:6">
      <c r="B45" t="s">
        <v>608</v>
      </c>
      <c r="C45">
        <f t="shared" si="0"/>
        <v>2.0424316456184762E-10</v>
      </c>
      <c r="D45">
        <f t="shared" si="1"/>
        <v>1.6434834722798191E-7</v>
      </c>
      <c r="E45">
        <f t="shared" si="2"/>
        <v>1.6434834722798193E-8</v>
      </c>
    </row>
    <row r="46" spans="2:6">
      <c r="B46" t="s">
        <v>66</v>
      </c>
      <c r="C46">
        <f t="shared" si="0"/>
        <v>4.3267946636367774E-12</v>
      </c>
      <c r="D46">
        <f t="shared" si="1"/>
        <v>3.4816418619886055E-9</v>
      </c>
      <c r="E46">
        <f t="shared" si="2"/>
        <v>3.4816418619886057E-10</v>
      </c>
    </row>
    <row r="47" spans="2:6">
      <c r="B47" t="s">
        <v>17</v>
      </c>
      <c r="C47">
        <f t="shared" si="0"/>
        <v>6.0578300748722041E-4</v>
      </c>
      <c r="D47">
        <f t="shared" si="1"/>
        <v>0.48745541263474162</v>
      </c>
      <c r="E47">
        <f t="shared" si="2"/>
        <v>4.8745541263474162E-2</v>
      </c>
    </row>
    <row r="48" spans="2:6">
      <c r="B48" t="s">
        <v>18</v>
      </c>
      <c r="C48">
        <f t="shared" si="0"/>
        <v>9.1248678472525776E-4</v>
      </c>
      <c r="D48">
        <f t="shared" si="1"/>
        <v>0.73425074106487309</v>
      </c>
      <c r="E48">
        <f t="shared" si="2"/>
        <v>7.3425074106487312E-2</v>
      </c>
    </row>
    <row r="49" spans="2:6">
      <c r="B49" s="50" t="s">
        <v>222</v>
      </c>
    </row>
    <row r="50" spans="2:6">
      <c r="B50" t="s">
        <v>195</v>
      </c>
      <c r="C50">
        <f>C21/$U$2</f>
        <v>2.6117769654049158E-3</v>
      </c>
      <c r="E50">
        <f>C50*$D$27</f>
        <v>0.10508092853761868</v>
      </c>
    </row>
    <row r="51" spans="2:6">
      <c r="B51" t="s">
        <v>196</v>
      </c>
      <c r="C51">
        <f>C22/$U$2</f>
        <v>7.8393606183136376E-4</v>
      </c>
      <c r="E51">
        <f>C51*$D$27</f>
        <v>3.1540491543692172E-2</v>
      </c>
    </row>
    <row r="52" spans="2:6">
      <c r="B52" t="s">
        <v>197</v>
      </c>
      <c r="C52">
        <f>C23/$U$2</f>
        <v>3.1356928888308391E-2</v>
      </c>
      <c r="E52">
        <f>C52*$D$27</f>
        <v>1.2615989984277556</v>
      </c>
    </row>
    <row r="53" spans="2:6">
      <c r="B53" t="s">
        <v>198</v>
      </c>
      <c r="C53">
        <f>C24/$U$2</f>
        <v>4.3899700443631742E-2</v>
      </c>
      <c r="E53">
        <f>C53*$D$27</f>
        <v>1.7662385977988577</v>
      </c>
    </row>
    <row r="54" spans="2:6">
      <c r="B54" t="s">
        <v>778</v>
      </c>
      <c r="C54">
        <f>SUM(C50:C53)</f>
        <v>7.8652342359176411E-2</v>
      </c>
    </row>
    <row r="55" spans="2:6" ht="15.75" thickBot="1">
      <c r="D55" s="43" t="s">
        <v>238</v>
      </c>
      <c r="E55" s="43"/>
      <c r="F55" s="43"/>
    </row>
    <row r="56" spans="2:6">
      <c r="C56" s="12" t="s">
        <v>237</v>
      </c>
      <c r="D56" s="51" t="s">
        <v>234</v>
      </c>
      <c r="E56" s="52" t="s">
        <v>695</v>
      </c>
      <c r="F56" s="53" t="s">
        <v>236</v>
      </c>
    </row>
    <row r="57" spans="2:6" ht="15.75" thickBot="1">
      <c r="C57" s="8"/>
      <c r="D57" s="9">
        <f>SUM(D35:D53)</f>
        <v>1.3601609849857361</v>
      </c>
      <c r="E57" s="9">
        <f>SUM(E35:E53)</f>
        <v>3.3004751148064977</v>
      </c>
      <c r="F57" s="9">
        <v>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DD7A1-CB4E-4CBE-86C2-27F3F1AA46E9}">
  <dimension ref="B1:J28"/>
  <sheetViews>
    <sheetView workbookViewId="0">
      <selection activeCell="C13" sqref="C13"/>
    </sheetView>
  </sheetViews>
  <sheetFormatPr defaultRowHeight="15"/>
  <cols>
    <col min="2" max="2" width="29.28515625" customWidth="1"/>
    <col min="3" max="3" width="14.7109375" customWidth="1"/>
    <col min="4" max="4" width="18.5703125" customWidth="1"/>
    <col min="7" max="7" width="24.5703125" customWidth="1"/>
  </cols>
  <sheetData>
    <row r="1" spans="2:10">
      <c r="B1" s="50" t="s">
        <v>360</v>
      </c>
    </row>
    <row r="2" spans="2:10">
      <c r="B2" t="s">
        <v>256</v>
      </c>
      <c r="C2">
        <v>6.1864406779661021</v>
      </c>
      <c r="D2" t="s">
        <v>36</v>
      </c>
      <c r="E2" t="s">
        <v>249</v>
      </c>
    </row>
    <row r="3" spans="2:10">
      <c r="B3" t="s">
        <v>255</v>
      </c>
      <c r="C3">
        <f>C2*C6</f>
        <v>92.79661016949153</v>
      </c>
      <c r="D3" t="s">
        <v>254</v>
      </c>
      <c r="E3" t="s">
        <v>249</v>
      </c>
    </row>
    <row r="4" spans="2:10">
      <c r="B4" t="s">
        <v>247</v>
      </c>
      <c r="C4">
        <f>1/1.48645</f>
        <v>0.67274378552928116</v>
      </c>
      <c r="D4" t="s">
        <v>263</v>
      </c>
      <c r="E4" t="s">
        <v>249</v>
      </c>
    </row>
    <row r="5" spans="2:10">
      <c r="B5" t="s">
        <v>253</v>
      </c>
      <c r="C5">
        <v>0.43899789299999997</v>
      </c>
      <c r="D5" t="s">
        <v>260</v>
      </c>
      <c r="E5" t="s">
        <v>252</v>
      </c>
      <c r="G5" t="s">
        <v>259</v>
      </c>
      <c r="H5">
        <f>C4*2</f>
        <v>1.3454875710585623</v>
      </c>
      <c r="I5" t="s">
        <v>246</v>
      </c>
      <c r="J5" t="s">
        <v>250</v>
      </c>
    </row>
    <row r="6" spans="2:10">
      <c r="B6" t="s">
        <v>251</v>
      </c>
      <c r="C6">
        <v>15</v>
      </c>
      <c r="D6" t="s">
        <v>248</v>
      </c>
      <c r="E6" t="s">
        <v>250</v>
      </c>
      <c r="G6" t="s">
        <v>257</v>
      </c>
    </row>
    <row r="7" spans="2:10">
      <c r="B7" t="s">
        <v>261</v>
      </c>
      <c r="C7">
        <f>C5*C3/C4</f>
        <v>60.55428116649032</v>
      </c>
      <c r="E7" t="s">
        <v>262</v>
      </c>
      <c r="G7" t="s">
        <v>258</v>
      </c>
    </row>
    <row r="8" spans="2:10">
      <c r="B8" t="s">
        <v>264</v>
      </c>
      <c r="C8">
        <f>1/C7</f>
        <v>1.6514109006604515E-2</v>
      </c>
      <c r="E8" t="s">
        <v>262</v>
      </c>
      <c r="G8" t="s">
        <v>265</v>
      </c>
    </row>
    <row r="9" spans="2:10">
      <c r="B9" t="s">
        <v>267</v>
      </c>
      <c r="C9">
        <f>C8*45000</f>
        <v>743.1349052972032</v>
      </c>
      <c r="E9" t="s">
        <v>262</v>
      </c>
      <c r="G9" t="s">
        <v>266</v>
      </c>
    </row>
    <row r="11" spans="2:10">
      <c r="B11" t="s">
        <v>351</v>
      </c>
      <c r="C11">
        <f>C8*D28</f>
        <v>0.43002739853198152</v>
      </c>
      <c r="D11" t="s">
        <v>82</v>
      </c>
    </row>
    <row r="12" spans="2:10">
      <c r="B12" t="s">
        <v>352</v>
      </c>
      <c r="C12">
        <f>C8*('OpenLCA input'!P66+'OpenLCA input'!P69)</f>
        <v>1.8744886683324626E-3</v>
      </c>
      <c r="D12" t="s">
        <v>82</v>
      </c>
      <c r="E12" t="s">
        <v>353</v>
      </c>
      <c r="G12" t="s">
        <v>361</v>
      </c>
    </row>
    <row r="15" spans="2:10">
      <c r="B15" t="s">
        <v>268</v>
      </c>
      <c r="C15" t="s">
        <v>269</v>
      </c>
      <c r="D15" t="s">
        <v>220</v>
      </c>
      <c r="E15" t="s">
        <v>270</v>
      </c>
    </row>
    <row r="16" spans="2:10">
      <c r="B16" t="s">
        <v>271</v>
      </c>
      <c r="C16" t="s">
        <v>272</v>
      </c>
      <c r="D16">
        <v>1960</v>
      </c>
      <c r="E16" t="s">
        <v>70</v>
      </c>
      <c r="F16" t="s">
        <v>652</v>
      </c>
    </row>
    <row r="17" spans="2:6">
      <c r="B17" t="s">
        <v>271</v>
      </c>
      <c r="C17" t="s">
        <v>272</v>
      </c>
      <c r="D17">
        <v>450</v>
      </c>
      <c r="E17" t="s">
        <v>70</v>
      </c>
      <c r="F17" t="s">
        <v>652</v>
      </c>
    </row>
    <row r="18" spans="2:6">
      <c r="B18" t="s">
        <v>273</v>
      </c>
      <c r="C18" t="s">
        <v>272</v>
      </c>
      <c r="D18">
        <v>30</v>
      </c>
      <c r="E18" t="s">
        <v>70</v>
      </c>
      <c r="F18" t="s">
        <v>653</v>
      </c>
    </row>
    <row r="19" spans="2:6">
      <c r="B19" t="s">
        <v>274</v>
      </c>
      <c r="C19" t="s">
        <v>275</v>
      </c>
      <c r="D19">
        <v>9550</v>
      </c>
      <c r="E19" t="s">
        <v>70</v>
      </c>
      <c r="F19" t="s">
        <v>654</v>
      </c>
    </row>
    <row r="20" spans="2:6">
      <c r="B20" t="s">
        <v>276</v>
      </c>
      <c r="C20" t="s">
        <v>275</v>
      </c>
      <c r="D20">
        <v>3200</v>
      </c>
      <c r="E20" t="s">
        <v>70</v>
      </c>
      <c r="F20" t="s">
        <v>655</v>
      </c>
    </row>
    <row r="21" spans="2:6">
      <c r="B21" t="s">
        <v>276</v>
      </c>
      <c r="C21" t="s">
        <v>275</v>
      </c>
      <c r="D21">
        <v>6350</v>
      </c>
      <c r="E21" t="s">
        <v>70</v>
      </c>
      <c r="F21" t="s">
        <v>655</v>
      </c>
    </row>
    <row r="22" spans="2:6">
      <c r="B22" t="s">
        <v>277</v>
      </c>
      <c r="C22" t="s">
        <v>278</v>
      </c>
      <c r="D22">
        <v>825</v>
      </c>
      <c r="E22" t="s">
        <v>70</v>
      </c>
      <c r="F22" t="s">
        <v>656</v>
      </c>
    </row>
    <row r="23" spans="2:6">
      <c r="B23" t="s">
        <v>279</v>
      </c>
      <c r="C23" t="s">
        <v>280</v>
      </c>
      <c r="D23">
        <v>2590</v>
      </c>
      <c r="E23" t="s">
        <v>70</v>
      </c>
      <c r="F23" t="s">
        <v>657</v>
      </c>
    </row>
    <row r="24" spans="2:6">
      <c r="B24" t="s">
        <v>281</v>
      </c>
      <c r="C24" t="s">
        <v>282</v>
      </c>
      <c r="D24">
        <v>825</v>
      </c>
      <c r="E24" t="s">
        <v>70</v>
      </c>
      <c r="F24" t="s">
        <v>658</v>
      </c>
    </row>
    <row r="25" spans="2:6">
      <c r="B25" t="s">
        <v>283</v>
      </c>
      <c r="C25" t="s">
        <v>284</v>
      </c>
      <c r="D25">
        <v>110</v>
      </c>
      <c r="E25" t="s">
        <v>70</v>
      </c>
      <c r="F25" t="s">
        <v>659</v>
      </c>
    </row>
    <row r="26" spans="2:6">
      <c r="B26" t="s">
        <v>285</v>
      </c>
      <c r="C26" t="s">
        <v>286</v>
      </c>
      <c r="D26">
        <v>150</v>
      </c>
      <c r="E26" t="s">
        <v>70</v>
      </c>
      <c r="F26" t="s">
        <v>660</v>
      </c>
    </row>
    <row r="28" spans="2:6">
      <c r="B28" t="s">
        <v>287</v>
      </c>
      <c r="D28">
        <f>SUM(D16:D26)/1000</f>
        <v>26.04</v>
      </c>
      <c r="E28" t="s">
        <v>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AAAF0-D7D2-40BF-BA33-A067568F0C76}">
  <dimension ref="A1:AS219"/>
  <sheetViews>
    <sheetView zoomScale="55" zoomScaleNormal="55" workbookViewId="0">
      <selection activeCell="O15" sqref="O15"/>
    </sheetView>
  </sheetViews>
  <sheetFormatPr defaultRowHeight="15"/>
  <cols>
    <col min="1" max="1" width="23.42578125" customWidth="1"/>
    <col min="2" max="2" width="20.28515625" hidden="1" customWidth="1"/>
    <col min="3" max="3" width="17.5703125" hidden="1" customWidth="1"/>
    <col min="4" max="4" width="20.140625" hidden="1" customWidth="1"/>
    <col min="5" max="5" width="13" hidden="1" customWidth="1"/>
    <col min="6" max="6" width="18.140625" hidden="1" customWidth="1"/>
    <col min="7" max="7" width="15.28515625" hidden="1" customWidth="1"/>
    <col min="8" max="8" width="16.140625" hidden="1" customWidth="1"/>
    <col min="9" max="9" width="17.5703125" hidden="1" customWidth="1"/>
    <col min="10" max="10" width="17.140625" customWidth="1"/>
    <col min="11" max="11" width="22.140625" customWidth="1"/>
    <col min="12" max="12" width="15.42578125" customWidth="1"/>
    <col min="13" max="13" width="14.28515625" customWidth="1"/>
    <col min="14" max="15" width="16.28515625" customWidth="1"/>
    <col min="16" max="16" width="14" customWidth="1"/>
    <col min="17" max="17" width="14.28515625" customWidth="1"/>
    <col min="18" max="18" width="15" customWidth="1"/>
    <col min="19" max="23" width="9.140625" customWidth="1"/>
    <col min="25" max="25" width="11.28515625" customWidth="1"/>
    <col min="26" max="26" width="14.42578125" customWidth="1"/>
    <col min="27" max="27" width="20.7109375" customWidth="1"/>
  </cols>
  <sheetData>
    <row r="1" spans="1:12">
      <c r="A1" s="196" t="s">
        <v>729</v>
      </c>
      <c r="B1" s="196"/>
      <c r="C1" s="196"/>
      <c r="D1" s="196"/>
      <c r="E1" s="196"/>
      <c r="F1" s="196"/>
      <c r="G1" s="196"/>
      <c r="H1" s="196"/>
      <c r="I1" s="196"/>
      <c r="J1" s="196"/>
      <c r="K1" s="196"/>
    </row>
    <row r="2" spans="1:12" ht="54" customHeight="1" thickBot="1">
      <c r="A2" s="196"/>
      <c r="B2" s="196"/>
      <c r="C2" s="196"/>
      <c r="D2" s="196"/>
      <c r="E2" s="196"/>
      <c r="F2" s="196"/>
      <c r="G2" s="196"/>
      <c r="H2" s="196"/>
      <c r="I2" s="196"/>
      <c r="J2" s="196"/>
      <c r="K2" s="196"/>
    </row>
    <row r="3" spans="1:12" ht="30.75" thickBot="1">
      <c r="A3" s="9"/>
      <c r="B3" s="158" t="s">
        <v>602</v>
      </c>
      <c r="C3" s="194" t="s">
        <v>603</v>
      </c>
      <c r="D3" s="195"/>
      <c r="E3" s="195"/>
      <c r="F3" s="159"/>
      <c r="G3" s="194" t="s">
        <v>704</v>
      </c>
      <c r="H3" s="195"/>
      <c r="I3" s="197"/>
      <c r="J3" t="s">
        <v>783</v>
      </c>
      <c r="K3">
        <v>1376.98</v>
      </c>
      <c r="L3" t="s">
        <v>776</v>
      </c>
    </row>
    <row r="4" spans="1:12" ht="57" customHeight="1" thickBot="1">
      <c r="A4" s="12" t="s">
        <v>598</v>
      </c>
      <c r="B4" s="76" t="s">
        <v>601</v>
      </c>
      <c r="C4" s="89" t="s">
        <v>599</v>
      </c>
      <c r="D4" s="90" t="s">
        <v>600</v>
      </c>
      <c r="E4" s="90" t="s">
        <v>730</v>
      </c>
      <c r="F4" s="160" t="s">
        <v>731</v>
      </c>
      <c r="G4" s="90" t="s">
        <v>705</v>
      </c>
      <c r="H4" s="90" t="s">
        <v>706</v>
      </c>
      <c r="I4" s="157" t="s">
        <v>710</v>
      </c>
      <c r="J4" s="168" t="s">
        <v>781</v>
      </c>
      <c r="K4" s="168" t="s">
        <v>782</v>
      </c>
      <c r="L4" s="168" t="s">
        <v>784</v>
      </c>
    </row>
    <row r="5" spans="1:12" s="81" customFormat="1">
      <c r="A5" s="73" t="s">
        <v>397</v>
      </c>
      <c r="B5" s="16">
        <v>4988.2515400000002</v>
      </c>
      <c r="C5" s="88">
        <v>1870.4259900000002</v>
      </c>
      <c r="D5" s="81">
        <v>40733.838069999998</v>
      </c>
      <c r="E5" s="81">
        <v>493.44599000000017</v>
      </c>
      <c r="F5" s="161">
        <f>D5/55.2</f>
        <v>737.93184909420279</v>
      </c>
      <c r="G5" s="16">
        <f>C5*I5</f>
        <v>1492.7869826190001</v>
      </c>
      <c r="H5" s="16">
        <f t="shared" ref="H5:H10" si="0">D5/55.2*3.058229634</f>
        <v>2256.7650487723072</v>
      </c>
      <c r="I5" s="17">
        <v>0.79810000000000003</v>
      </c>
      <c r="J5" s="81">
        <f>C5*0.12</f>
        <v>224.45111880000002</v>
      </c>
      <c r="K5" s="81">
        <f>D5*0.12</f>
        <v>4888.0605683999993</v>
      </c>
      <c r="L5" s="81">
        <f>J5-$L$17</f>
        <v>59.213518800000031</v>
      </c>
    </row>
    <row r="6" spans="1:12">
      <c r="A6" s="6" t="s">
        <v>318</v>
      </c>
      <c r="B6">
        <v>3053.9668937500005</v>
      </c>
      <c r="C6" s="6">
        <v>1885.5573937499998</v>
      </c>
      <c r="D6">
        <v>30642.616487500003</v>
      </c>
      <c r="E6" s="81">
        <v>508.57739374999983</v>
      </c>
      <c r="F6" s="161">
        <f>D6/55.2</f>
        <v>555.11986390398556</v>
      </c>
      <c r="G6" s="81">
        <f t="shared" ref="G6:G10" si="1">C6*I6</f>
        <v>117.58335907424998</v>
      </c>
      <c r="H6" s="81">
        <f t="shared" si="0"/>
        <v>1697.6840182132155</v>
      </c>
      <c r="I6" s="7">
        <v>6.2359999999999999E-2</v>
      </c>
      <c r="J6" s="81">
        <f t="shared" ref="J6:K15" si="2">C6*0.12</f>
        <v>226.26688724999997</v>
      </c>
      <c r="K6" s="81">
        <f t="shared" si="2"/>
        <v>3677.1139785</v>
      </c>
      <c r="L6" s="81">
        <f t="shared" ref="L6:L15" si="3">J6-$L$17</f>
        <v>61.029287249999982</v>
      </c>
    </row>
    <row r="7" spans="1:12">
      <c r="A7" s="6" t="s">
        <v>402</v>
      </c>
      <c r="B7">
        <v>3860.2273999999998</v>
      </c>
      <c r="C7" s="6">
        <v>1912.0394166666665</v>
      </c>
      <c r="D7">
        <v>45524.802266666666</v>
      </c>
      <c r="E7" s="81">
        <v>535.05941666666649</v>
      </c>
      <c r="F7" s="161">
        <f t="shared" ref="F7:F10" si="4">D7/55.2</f>
        <v>824.72467874396125</v>
      </c>
      <c r="G7" s="81">
        <f t="shared" si="1"/>
        <v>99.330447695833328</v>
      </c>
      <c r="H7" s="81">
        <f t="shared" si="0"/>
        <v>2522.1974524259122</v>
      </c>
      <c r="I7" s="7">
        <v>5.1950000000000003E-2</v>
      </c>
      <c r="J7" s="81">
        <f t="shared" si="2"/>
        <v>229.44472999999996</v>
      </c>
      <c r="K7" s="81">
        <f t="shared" si="2"/>
        <v>5462.9762719999999</v>
      </c>
      <c r="L7" s="81">
        <f t="shared" si="3"/>
        <v>64.207129999999978</v>
      </c>
    </row>
    <row r="8" spans="1:12">
      <c r="A8" s="6" t="s">
        <v>448</v>
      </c>
      <c r="B8">
        <v>3899.5415333333331</v>
      </c>
      <c r="C8" s="6">
        <v>2057.2757000000001</v>
      </c>
      <c r="D8">
        <v>34338.905766666663</v>
      </c>
      <c r="E8" s="81">
        <v>680.29570000000012</v>
      </c>
      <c r="F8" s="161">
        <f t="shared" si="4"/>
        <v>622.08162620772941</v>
      </c>
      <c r="G8" s="81">
        <f t="shared" si="1"/>
        <v>758.37354129100004</v>
      </c>
      <c r="H8" s="81">
        <f t="shared" si="0"/>
        <v>1902.4684640353892</v>
      </c>
      <c r="I8" s="7">
        <v>0.36863000000000001</v>
      </c>
      <c r="J8" s="81">
        <f t="shared" si="2"/>
        <v>246.87308400000001</v>
      </c>
      <c r="K8" s="81">
        <f t="shared" si="2"/>
        <v>4120.6686919999993</v>
      </c>
      <c r="L8" s="81">
        <f t="shared" si="3"/>
        <v>81.635484000000019</v>
      </c>
    </row>
    <row r="9" spans="1:12">
      <c r="A9" s="6" t="s">
        <v>494</v>
      </c>
      <c r="B9">
        <v>3595.1597285714283</v>
      </c>
      <c r="C9" s="6">
        <v>1908.5939714285716</v>
      </c>
      <c r="D9">
        <v>39702.589071428571</v>
      </c>
      <c r="E9" s="81">
        <v>531.61397142857163</v>
      </c>
      <c r="F9" s="161">
        <f t="shared" si="4"/>
        <v>719.24980201863355</v>
      </c>
      <c r="G9" s="81">
        <f t="shared" si="1"/>
        <v>156.82916663228573</v>
      </c>
      <c r="H9" s="81">
        <f t="shared" si="0"/>
        <v>2199.631058782018</v>
      </c>
      <c r="I9" s="7">
        <v>8.2170000000000007E-2</v>
      </c>
      <c r="J9" s="81">
        <f t="shared" si="2"/>
        <v>229.03127657142858</v>
      </c>
      <c r="K9" s="81">
        <f t="shared" si="2"/>
        <v>4764.3106885714287</v>
      </c>
      <c r="L9" s="81">
        <f t="shared" si="3"/>
        <v>63.793676571428591</v>
      </c>
    </row>
    <row r="10" spans="1:12">
      <c r="A10" s="6" t="s">
        <v>437</v>
      </c>
      <c r="B10">
        <v>4888.7733000000007</v>
      </c>
      <c r="C10" s="6">
        <v>2089.78406</v>
      </c>
      <c r="D10">
        <v>30627.31424</v>
      </c>
      <c r="E10" s="81">
        <v>712.80405999999994</v>
      </c>
      <c r="F10" s="161">
        <f t="shared" si="4"/>
        <v>554.84264927536231</v>
      </c>
      <c r="G10" s="81">
        <f t="shared" si="1"/>
        <v>1953.2375695196001</v>
      </c>
      <c r="H10" s="81">
        <f t="shared" si="0"/>
        <v>1696.8362322209816</v>
      </c>
      <c r="I10" s="7">
        <v>0.93466000000000005</v>
      </c>
      <c r="J10" s="81">
        <f t="shared" si="2"/>
        <v>250.7740872</v>
      </c>
      <c r="K10" s="81">
        <f t="shared" si="2"/>
        <v>3675.2777087999998</v>
      </c>
      <c r="L10" s="81">
        <f t="shared" si="3"/>
        <v>85.53648720000001</v>
      </c>
    </row>
    <row r="11" spans="1:12">
      <c r="A11" s="6" t="s">
        <v>323</v>
      </c>
      <c r="B11">
        <v>3355.8813916666663</v>
      </c>
      <c r="C11" s="6">
        <v>2076.3356250000002</v>
      </c>
      <c r="D11">
        <v>35738.66930833333</v>
      </c>
      <c r="E11" s="81">
        <v>699.35562500000015</v>
      </c>
      <c r="F11" s="161">
        <f>D11/55.2</f>
        <v>647.4396613828502</v>
      </c>
      <c r="G11" s="81">
        <f>C11*I11</f>
        <v>137.1627313875</v>
      </c>
      <c r="H11" s="81">
        <f>D11/55.2*3.058229634</f>
        <v>1980.0191586679578</v>
      </c>
      <c r="I11" s="7">
        <v>6.6059999999999994E-2</v>
      </c>
      <c r="J11" s="81">
        <f t="shared" si="2"/>
        <v>249.16027500000001</v>
      </c>
      <c r="K11" s="81">
        <f t="shared" si="2"/>
        <v>4288.6403169999994</v>
      </c>
      <c r="L11" s="81">
        <f t="shared" si="3"/>
        <v>83.922675000000027</v>
      </c>
    </row>
    <row r="12" spans="1:12">
      <c r="A12" s="6" t="s">
        <v>471</v>
      </c>
      <c r="B12">
        <v>3132.5043000000001</v>
      </c>
      <c r="C12" s="6">
        <v>2070.9222</v>
      </c>
      <c r="D12">
        <v>33492.505499999999</v>
      </c>
      <c r="E12" s="81">
        <v>693.94219999999996</v>
      </c>
      <c r="F12" s="161">
        <f>D12/55.2</f>
        <v>606.74828804347817</v>
      </c>
      <c r="G12" s="81">
        <f>C12*I12</f>
        <v>38.229223812000001</v>
      </c>
      <c r="H12" s="81">
        <f>D12/55.2*3.058229634</f>
        <v>1855.5755948733329</v>
      </c>
      <c r="I12" s="7">
        <v>1.8460000000000001E-2</v>
      </c>
      <c r="J12" s="81">
        <f t="shared" si="2"/>
        <v>248.51066399999999</v>
      </c>
      <c r="K12" s="81">
        <f t="shared" si="2"/>
        <v>4019.1006599999996</v>
      </c>
      <c r="L12" s="81">
        <f t="shared" si="3"/>
        <v>83.273064000000005</v>
      </c>
    </row>
    <row r="13" spans="1:12">
      <c r="A13" s="6" t="s">
        <v>325</v>
      </c>
      <c r="B13">
        <v>3500.6702416666667</v>
      </c>
      <c r="C13" s="6">
        <v>1965.2430666666667</v>
      </c>
      <c r="D13">
        <v>40291.817600000002</v>
      </c>
      <c r="E13" s="81">
        <v>588.26306666666665</v>
      </c>
      <c r="F13" s="161">
        <f>D13/55.2</f>
        <v>729.92423188405792</v>
      </c>
      <c r="G13" s="81">
        <f>C13*I13</f>
        <v>29.694822737333332</v>
      </c>
      <c r="H13" s="81">
        <f>D13/55.2*3.058229634</f>
        <v>2232.2759165225134</v>
      </c>
      <c r="I13" s="7">
        <v>1.511E-2</v>
      </c>
      <c r="J13" s="81">
        <f t="shared" si="2"/>
        <v>235.82916799999998</v>
      </c>
      <c r="K13" s="81">
        <f t="shared" si="2"/>
        <v>4835.0181119999997</v>
      </c>
      <c r="L13" s="81">
        <f t="shared" si="3"/>
        <v>70.591567999999995</v>
      </c>
    </row>
    <row r="14" spans="1:12">
      <c r="A14" s="6" t="s">
        <v>430</v>
      </c>
      <c r="B14">
        <v>4938.5840399999997</v>
      </c>
      <c r="C14" s="6">
        <v>1924.0320799999997</v>
      </c>
      <c r="D14">
        <v>41690.58382</v>
      </c>
      <c r="E14" s="81">
        <v>547.05207999999971</v>
      </c>
      <c r="F14" s="161">
        <f>D14/55.2</f>
        <v>755.26419963768114</v>
      </c>
      <c r="G14" s="81">
        <f>C14*I14</f>
        <v>1390.1131777999999</v>
      </c>
      <c r="H14" s="81">
        <f>D14/55.2*3.058229634</f>
        <v>2309.7713568312483</v>
      </c>
      <c r="I14" s="7">
        <v>0.72250000000000003</v>
      </c>
      <c r="J14" s="81">
        <f t="shared" si="2"/>
        <v>230.88384959999996</v>
      </c>
      <c r="K14" s="81">
        <f t="shared" si="2"/>
        <v>5002.8700583999998</v>
      </c>
      <c r="L14" s="81">
        <f t="shared" si="3"/>
        <v>65.646249599999976</v>
      </c>
    </row>
    <row r="15" spans="1:12" ht="15.75" thickBot="1">
      <c r="A15" s="8" t="s">
        <v>591</v>
      </c>
      <c r="B15" s="9">
        <v>4397.2955666666667</v>
      </c>
      <c r="C15" s="8">
        <v>1846.9015333333334</v>
      </c>
      <c r="D15" s="9">
        <v>45594.677533333328</v>
      </c>
      <c r="E15" s="82">
        <v>469.9215333333334</v>
      </c>
      <c r="F15" s="162">
        <f>D15/55.2</f>
        <v>825.9905350241545</v>
      </c>
      <c r="G15" s="82">
        <f>C15*I15</f>
        <v>271.9562507833333</v>
      </c>
      <c r="H15" s="82">
        <f>D15/55.2*3.058229634</f>
        <v>2526.068731614384</v>
      </c>
      <c r="I15" s="11">
        <v>0.14724999999999999</v>
      </c>
      <c r="J15" s="81">
        <f t="shared" si="2"/>
        <v>221.628184</v>
      </c>
      <c r="K15" s="81">
        <f t="shared" si="2"/>
        <v>5471.3613039999991</v>
      </c>
      <c r="L15" s="81">
        <f t="shared" si="3"/>
        <v>56.390584000000018</v>
      </c>
    </row>
    <row r="17" spans="1:12" ht="15.75" thickBot="1">
      <c r="L17">
        <f>K3*0.12</f>
        <v>165.23759999999999</v>
      </c>
    </row>
    <row r="18" spans="1:12">
      <c r="A18" s="14"/>
      <c r="B18" s="14"/>
      <c r="C18" s="14"/>
      <c r="D18" s="14"/>
      <c r="E18" s="14"/>
      <c r="F18" s="14"/>
      <c r="G18" s="14"/>
      <c r="H18" s="14"/>
      <c r="I18" s="14"/>
    </row>
    <row r="19" spans="1:12">
      <c r="B19" t="s">
        <v>732</v>
      </c>
      <c r="C19">
        <f>AVERAGE(C5:C15)</f>
        <v>1964.2828215313855</v>
      </c>
      <c r="D19">
        <f>AVERAGE(D5:D15)</f>
        <v>38034.392696720781</v>
      </c>
      <c r="E19">
        <f>AVERAGE(E5:E15)</f>
        <v>587.30282153138523</v>
      </c>
    </row>
    <row r="20" spans="1:12">
      <c r="B20" t="s">
        <v>736</v>
      </c>
      <c r="C20">
        <f>(_xlfn.STDEV.P(C5:C15))/C19*100</f>
        <v>4.4636430323755389</v>
      </c>
      <c r="D20">
        <f>(_xlfn.STDEV.P(D5:D15))/D19*100</f>
        <v>13.519686936343087</v>
      </c>
      <c r="E20">
        <f>(_xlfn.STDEV.P(E5:E15))/E19*100</f>
        <v>14.929022998870442</v>
      </c>
    </row>
    <row r="23" spans="1:12">
      <c r="A23" s="6" t="s">
        <v>407</v>
      </c>
      <c r="B23">
        <v>6853.1804000000002</v>
      </c>
      <c r="C23" s="6">
        <v>1820.0369899999998</v>
      </c>
      <c r="D23">
        <v>66428.984139999986</v>
      </c>
      <c r="E23" s="81">
        <v>443.05698999999981</v>
      </c>
      <c r="F23" s="161">
        <f>D23/55.2</f>
        <v>1203.4236257246373</v>
      </c>
      <c r="G23" s="81">
        <f>C23*I23</f>
        <v>1934.1351089030998</v>
      </c>
      <c r="H23" s="81">
        <f>D23/55.2*3.058229634</f>
        <v>3680.3457944468105</v>
      </c>
      <c r="I23" s="7">
        <v>1.0626899999999999</v>
      </c>
    </row>
    <row r="24" spans="1:12">
      <c r="A24" s="6" t="s">
        <v>394</v>
      </c>
      <c r="B24">
        <v>4600.5274666666664</v>
      </c>
      <c r="C24" s="6">
        <v>1843.3847666666668</v>
      </c>
      <c r="D24">
        <v>50793.59846666667</v>
      </c>
      <c r="E24" s="81">
        <v>466.40476666666677</v>
      </c>
      <c r="F24" s="161">
        <f>D24/55.2</f>
        <v>920.17388526570051</v>
      </c>
      <c r="G24" s="81">
        <f>C24*I24</f>
        <v>547.72491571966668</v>
      </c>
      <c r="H24" s="81">
        <f>D24/55.2*3.058229634</f>
        <v>2814.103044352481</v>
      </c>
      <c r="I24" s="7">
        <v>0.29713000000000001</v>
      </c>
    </row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  <row r="67" customFormat="1"/>
    <row r="68" customFormat="1"/>
    <row r="69" customFormat="1"/>
    <row r="70" customFormat="1"/>
    <row r="71" customFormat="1"/>
    <row r="72" customFormat="1"/>
    <row r="73" customFormat="1"/>
    <row r="74" customFormat="1"/>
    <row r="75" customFormat="1"/>
    <row r="76" customFormat="1"/>
    <row r="77" customFormat="1"/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21" spans="1:45">
      <c r="A121" t="s">
        <v>392</v>
      </c>
      <c r="B121">
        <v>233.20099999999999</v>
      </c>
      <c r="C121">
        <v>65.281000000000006</v>
      </c>
      <c r="D121" t="s">
        <v>393</v>
      </c>
      <c r="E121" t="s">
        <v>721</v>
      </c>
      <c r="F121">
        <v>4698.4129000000003</v>
      </c>
      <c r="G121">
        <v>1840.5773999999999</v>
      </c>
      <c r="H121">
        <v>52575.453999999998</v>
      </c>
      <c r="I121">
        <v>0.18396999999999999</v>
      </c>
      <c r="J121">
        <v>0.27160000000000001</v>
      </c>
      <c r="K121">
        <v>2.9781</v>
      </c>
      <c r="L121">
        <v>0.96726000000000001</v>
      </c>
      <c r="M121" s="156">
        <v>1.7708000000000001E-5</v>
      </c>
      <c r="N121" s="156">
        <v>2.2475999999999999E-6</v>
      </c>
      <c r="O121">
        <v>1.3372E-2</v>
      </c>
      <c r="P121">
        <v>6.0918000000000001</v>
      </c>
      <c r="Q121">
        <v>1.2338999999999999E-2</v>
      </c>
      <c r="R121">
        <v>409.14370000000002</v>
      </c>
      <c r="S121">
        <v>8.4110999999999995E-3</v>
      </c>
      <c r="T121">
        <v>0.74026000000000003</v>
      </c>
      <c r="U121">
        <v>0.98077999999999999</v>
      </c>
      <c r="V121">
        <v>1.831</v>
      </c>
      <c r="W121">
        <v>8.7106000000000006E-3</v>
      </c>
      <c r="X121">
        <v>1.1105E-2</v>
      </c>
      <c r="Y121">
        <v>7.3550000000000004E-4</v>
      </c>
      <c r="Z121">
        <v>1.9855999999999999E-2</v>
      </c>
      <c r="AA121">
        <v>0.82047999999999999</v>
      </c>
      <c r="AB121">
        <v>1.244E-2</v>
      </c>
      <c r="AC121">
        <v>2.2545E-4</v>
      </c>
      <c r="AD121">
        <v>3.4245999999999999E-3</v>
      </c>
      <c r="AE121">
        <v>3.4816E-2</v>
      </c>
      <c r="AF121">
        <v>33.3673</v>
      </c>
      <c r="AG121">
        <v>33.3673</v>
      </c>
      <c r="AH121">
        <v>41.577199999999998</v>
      </c>
      <c r="AI121">
        <v>1.1006999999999999E-2</v>
      </c>
      <c r="AJ121">
        <v>441.68079999999998</v>
      </c>
      <c r="AK121">
        <v>8.8555999999999996E-2</v>
      </c>
      <c r="AL121">
        <v>13.5669</v>
      </c>
      <c r="AM121">
        <v>0</v>
      </c>
      <c r="AN121">
        <v>7.7705000000000002</v>
      </c>
      <c r="AO121">
        <v>0.40286</v>
      </c>
      <c r="AP121">
        <v>0.62368999999999997</v>
      </c>
      <c r="AQ121">
        <v>2.0830000000000001E-2</v>
      </c>
      <c r="AR121">
        <v>-1.8332999999999999</v>
      </c>
      <c r="AS121">
        <v>-203.27070000000001</v>
      </c>
    </row>
    <row r="122" spans="1:45">
      <c r="A122" t="s">
        <v>395</v>
      </c>
      <c r="B122">
        <v>242.83500000000001</v>
      </c>
      <c r="C122">
        <v>58.621000000000002</v>
      </c>
      <c r="D122" t="s">
        <v>396</v>
      </c>
      <c r="E122" t="s">
        <v>721</v>
      </c>
      <c r="F122">
        <v>5229.7829000000002</v>
      </c>
      <c r="G122">
        <v>1854.6293000000001</v>
      </c>
      <c r="H122">
        <v>45320.954400000002</v>
      </c>
      <c r="I122">
        <v>0.20147999999999999</v>
      </c>
      <c r="J122">
        <v>1.3344</v>
      </c>
      <c r="K122">
        <v>2.4765999999999999</v>
      </c>
      <c r="L122">
        <v>0.87261</v>
      </c>
      <c r="M122">
        <v>3.2309999999999999E-4</v>
      </c>
      <c r="N122" s="156">
        <v>8.0795000000000001E-5</v>
      </c>
      <c r="O122">
        <v>0.36137000000000002</v>
      </c>
      <c r="P122">
        <v>24.612500000000001</v>
      </c>
      <c r="Q122">
        <v>1.9123999999999999E-2</v>
      </c>
      <c r="R122">
        <v>1098.972</v>
      </c>
      <c r="S122">
        <v>8.4110999999999995E-3</v>
      </c>
      <c r="T122">
        <v>1.9883999999999999</v>
      </c>
      <c r="U122">
        <v>2.6343999999999999</v>
      </c>
      <c r="V122">
        <v>1.831</v>
      </c>
      <c r="W122">
        <v>8.7106000000000006E-3</v>
      </c>
      <c r="X122">
        <v>1.1105E-2</v>
      </c>
      <c r="Y122">
        <v>7.3550000000000004E-4</v>
      </c>
      <c r="Z122">
        <v>1.9855999999999999E-2</v>
      </c>
      <c r="AA122">
        <v>0.82047999999999999</v>
      </c>
      <c r="AB122">
        <v>1.244E-2</v>
      </c>
      <c r="AC122">
        <v>2.2545E-4</v>
      </c>
      <c r="AD122">
        <v>3.4245999999999999E-3</v>
      </c>
      <c r="AE122">
        <v>3.4816E-2</v>
      </c>
      <c r="AF122">
        <v>89.625699999999995</v>
      </c>
      <c r="AG122">
        <v>89.625699999999995</v>
      </c>
      <c r="AH122">
        <v>111.6776</v>
      </c>
      <c r="AI122">
        <v>1.1006999999999999E-2</v>
      </c>
      <c r="AJ122">
        <v>441.68079999999998</v>
      </c>
      <c r="AK122">
        <v>8.8555999999999996E-2</v>
      </c>
      <c r="AL122">
        <v>42.913499999999999</v>
      </c>
      <c r="AM122">
        <v>0</v>
      </c>
      <c r="AN122">
        <v>16.434200000000001</v>
      </c>
      <c r="AO122">
        <v>0.40286</v>
      </c>
      <c r="AP122">
        <v>0.62368999999999997</v>
      </c>
      <c r="AQ122">
        <v>2.0830000000000001E-2</v>
      </c>
      <c r="AR122">
        <v>-1.8332999999999999</v>
      </c>
      <c r="AS122">
        <v>-203.27070000000001</v>
      </c>
    </row>
    <row r="123" spans="1:45">
      <c r="A123" t="s">
        <v>398</v>
      </c>
      <c r="B123">
        <v>245.22300000000001</v>
      </c>
      <c r="C123">
        <v>55.292999999999999</v>
      </c>
      <c r="D123" t="s">
        <v>399</v>
      </c>
      <c r="E123" t="s">
        <v>721</v>
      </c>
      <c r="F123">
        <v>4985.5210999999999</v>
      </c>
      <c r="G123">
        <v>1881.7183</v>
      </c>
      <c r="H123">
        <v>40521.884299999998</v>
      </c>
      <c r="I123">
        <v>0.29976999999999998</v>
      </c>
      <c r="J123">
        <v>9.1050000000000006E-2</v>
      </c>
      <c r="K123">
        <v>2.0838000000000001</v>
      </c>
      <c r="L123">
        <v>0.77237</v>
      </c>
      <c r="M123" s="156">
        <v>3.9332999999999998E-5</v>
      </c>
      <c r="N123" s="156">
        <v>9.0688999999999999E-7</v>
      </c>
      <c r="O123">
        <v>9.0221999999999993E-3</v>
      </c>
      <c r="P123">
        <v>40.623899999999999</v>
      </c>
      <c r="Q123">
        <v>3.6107E-2</v>
      </c>
      <c r="R123">
        <v>1098.972</v>
      </c>
      <c r="S123">
        <v>8.4110999999999995E-3</v>
      </c>
      <c r="T123">
        <v>1.9883999999999999</v>
      </c>
      <c r="U123">
        <v>2.6343999999999999</v>
      </c>
      <c r="V123">
        <v>1.831</v>
      </c>
      <c r="W123">
        <v>8.7106000000000006E-3</v>
      </c>
      <c r="X123">
        <v>1.1105E-2</v>
      </c>
      <c r="Y123">
        <v>7.3550000000000004E-4</v>
      </c>
      <c r="Z123">
        <v>1.9855999999999999E-2</v>
      </c>
      <c r="AA123">
        <v>0.82047999999999999</v>
      </c>
      <c r="AB123">
        <v>1.244E-2</v>
      </c>
      <c r="AC123">
        <v>2.2545E-4</v>
      </c>
      <c r="AD123">
        <v>3.4245999999999999E-3</v>
      </c>
      <c r="AE123">
        <v>3.4816E-2</v>
      </c>
      <c r="AF123">
        <v>89.625699999999995</v>
      </c>
      <c r="AG123">
        <v>89.625699999999995</v>
      </c>
      <c r="AH123">
        <v>111.6776</v>
      </c>
      <c r="AI123">
        <v>1.1006999999999999E-2</v>
      </c>
      <c r="AJ123">
        <v>441.68079999999998</v>
      </c>
      <c r="AK123">
        <v>8.8555999999999996E-2</v>
      </c>
      <c r="AL123">
        <v>52.619100000000003</v>
      </c>
      <c r="AM123">
        <v>0</v>
      </c>
      <c r="AN123">
        <v>13.932600000000001</v>
      </c>
      <c r="AO123">
        <v>0.40286</v>
      </c>
      <c r="AP123">
        <v>0.62368999999999997</v>
      </c>
      <c r="AQ123">
        <v>2.0830000000000001E-2</v>
      </c>
      <c r="AR123">
        <v>-1.8332999999999999</v>
      </c>
      <c r="AS123">
        <v>-203.27070000000001</v>
      </c>
    </row>
    <row r="124" spans="1:45">
      <c r="A124" t="s">
        <v>400</v>
      </c>
      <c r="B124">
        <v>258.92399999999998</v>
      </c>
      <c r="C124">
        <v>56.863999999999997</v>
      </c>
      <c r="D124" t="s">
        <v>401</v>
      </c>
      <c r="E124" t="s">
        <v>721</v>
      </c>
      <c r="F124">
        <v>4058.8796000000002</v>
      </c>
      <c r="G124">
        <v>1843.0436999999999</v>
      </c>
      <c r="H124">
        <v>49175.101499999997</v>
      </c>
      <c r="I124">
        <v>0.19225999999999999</v>
      </c>
      <c r="J124">
        <v>5.2754000000000002E-2</v>
      </c>
      <c r="K124">
        <v>2.7532999999999999</v>
      </c>
      <c r="L124">
        <v>0.91444999999999999</v>
      </c>
      <c r="M124">
        <v>1.7359E-4</v>
      </c>
      <c r="N124" s="156">
        <v>2.7066999999999997E-7</v>
      </c>
      <c r="O124">
        <v>5.5491000000000004E-4</v>
      </c>
      <c r="P124">
        <v>1.0826</v>
      </c>
      <c r="Q124">
        <v>1.3598000000000001E-2</v>
      </c>
      <c r="R124">
        <v>71.534400000000005</v>
      </c>
      <c r="S124">
        <v>8.4110999999999995E-3</v>
      </c>
      <c r="T124">
        <v>0.12942999999999999</v>
      </c>
      <c r="U124">
        <v>0.17147999999999999</v>
      </c>
      <c r="V124">
        <v>1.831</v>
      </c>
      <c r="W124">
        <v>8.7106000000000006E-3</v>
      </c>
      <c r="X124">
        <v>1.1105E-2</v>
      </c>
      <c r="Y124">
        <v>7.3550000000000004E-4</v>
      </c>
      <c r="Z124">
        <v>1.9855999999999999E-2</v>
      </c>
      <c r="AA124">
        <v>0.82047999999999999</v>
      </c>
      <c r="AB124">
        <v>1.244E-2</v>
      </c>
      <c r="AC124">
        <v>2.2545E-4</v>
      </c>
      <c r="AD124">
        <v>3.4245999999999999E-3</v>
      </c>
      <c r="AE124">
        <v>3.4816E-2</v>
      </c>
      <c r="AF124">
        <v>5.8338999999999999</v>
      </c>
      <c r="AG124">
        <v>5.8338999999999999</v>
      </c>
      <c r="AH124">
        <v>7.2693000000000003</v>
      </c>
      <c r="AI124">
        <v>1.1006999999999999E-2</v>
      </c>
      <c r="AJ124">
        <v>441.68079999999998</v>
      </c>
      <c r="AK124">
        <v>8.8555999999999996E-2</v>
      </c>
      <c r="AL124">
        <v>2.5796000000000001</v>
      </c>
      <c r="AM124">
        <v>0</v>
      </c>
      <c r="AN124">
        <v>1.2581</v>
      </c>
      <c r="AO124">
        <v>0.40286</v>
      </c>
      <c r="AP124">
        <v>0.62368999999999997</v>
      </c>
      <c r="AQ124">
        <v>2.0830000000000001E-2</v>
      </c>
      <c r="AR124">
        <v>-1.8332999999999999</v>
      </c>
      <c r="AS124">
        <v>-203.27070000000001</v>
      </c>
    </row>
    <row r="125" spans="1:45">
      <c r="A125" t="s">
        <v>403</v>
      </c>
      <c r="B125">
        <v>262.13600000000002</v>
      </c>
      <c r="C125">
        <v>55.801000000000002</v>
      </c>
      <c r="D125" t="s">
        <v>404</v>
      </c>
      <c r="E125" t="s">
        <v>721</v>
      </c>
      <c r="F125">
        <v>4045.8442</v>
      </c>
      <c r="G125">
        <v>1853.3520000000001</v>
      </c>
      <c r="H125">
        <v>48930.152000000002</v>
      </c>
      <c r="I125">
        <v>0.19363</v>
      </c>
      <c r="J125">
        <v>4.7534E-2</v>
      </c>
      <c r="K125">
        <v>2.7315999999999998</v>
      </c>
      <c r="L125">
        <v>0.90891</v>
      </c>
      <c r="M125" s="156">
        <v>7.8950999999999997E-5</v>
      </c>
      <c r="N125">
        <v>0</v>
      </c>
      <c r="O125">
        <v>0</v>
      </c>
      <c r="P125">
        <v>1.6404000000000001</v>
      </c>
      <c r="Q125">
        <v>2.0272999999999999E-2</v>
      </c>
      <c r="R125">
        <v>71.534400000000005</v>
      </c>
      <c r="S125">
        <v>8.4110999999999995E-3</v>
      </c>
      <c r="T125">
        <v>0.12942999999999999</v>
      </c>
      <c r="U125">
        <v>0.17147999999999999</v>
      </c>
      <c r="V125">
        <v>1.831</v>
      </c>
      <c r="W125">
        <v>8.7106000000000006E-3</v>
      </c>
      <c r="X125">
        <v>1.1105E-2</v>
      </c>
      <c r="Y125">
        <v>7.3550000000000004E-4</v>
      </c>
      <c r="Z125">
        <v>1.9855999999999999E-2</v>
      </c>
      <c r="AA125">
        <v>0.82047999999999999</v>
      </c>
      <c r="AB125">
        <v>1.244E-2</v>
      </c>
      <c r="AC125">
        <v>2.2545E-4</v>
      </c>
      <c r="AD125">
        <v>3.4245999999999999E-3</v>
      </c>
      <c r="AE125">
        <v>3.4816E-2</v>
      </c>
      <c r="AF125">
        <v>5.8338999999999999</v>
      </c>
      <c r="AG125">
        <v>5.8338999999999999</v>
      </c>
      <c r="AH125">
        <v>7.2693000000000003</v>
      </c>
      <c r="AI125">
        <v>1.1006999999999999E-2</v>
      </c>
      <c r="AJ125">
        <v>441.68079999999998</v>
      </c>
      <c r="AK125">
        <v>8.8555999999999996E-2</v>
      </c>
      <c r="AL125">
        <v>2.6044999999999998</v>
      </c>
      <c r="AM125">
        <v>0</v>
      </c>
      <c r="AN125">
        <v>1.2166999999999999</v>
      </c>
      <c r="AO125">
        <v>0.40286</v>
      </c>
      <c r="AP125">
        <v>0.62368999999999997</v>
      </c>
      <c r="AQ125">
        <v>2.0830000000000001E-2</v>
      </c>
      <c r="AR125">
        <v>-1.8332999999999999</v>
      </c>
      <c r="AS125">
        <v>-203.27070000000001</v>
      </c>
    </row>
    <row r="126" spans="1:45">
      <c r="A126" t="s">
        <v>405</v>
      </c>
      <c r="B126">
        <v>278.75599999999997</v>
      </c>
      <c r="C126">
        <v>68.775999999999996</v>
      </c>
      <c r="D126" t="s">
        <v>406</v>
      </c>
      <c r="E126" t="s">
        <v>721</v>
      </c>
      <c r="F126">
        <v>6901.2784000000001</v>
      </c>
      <c r="G126">
        <v>1817.021</v>
      </c>
      <c r="H126">
        <v>67354.986999999994</v>
      </c>
      <c r="I126">
        <v>0.17266999999999999</v>
      </c>
      <c r="J126">
        <v>0</v>
      </c>
      <c r="K126">
        <v>3.9561999999999999</v>
      </c>
      <c r="L126">
        <v>1.1771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1463.3086000000001</v>
      </c>
      <c r="S126">
        <v>8.4110999999999995E-3</v>
      </c>
      <c r="T126">
        <v>2.6476000000000002</v>
      </c>
      <c r="U126">
        <v>3.5078</v>
      </c>
      <c r="V126">
        <v>1.831</v>
      </c>
      <c r="W126">
        <v>8.7106000000000006E-3</v>
      </c>
      <c r="X126">
        <v>1.1105E-2</v>
      </c>
      <c r="Y126">
        <v>7.3550000000000004E-4</v>
      </c>
      <c r="Z126">
        <v>1.9855999999999999E-2</v>
      </c>
      <c r="AA126">
        <v>0.82047999999999999</v>
      </c>
      <c r="AB126">
        <v>1.244E-2</v>
      </c>
      <c r="AC126">
        <v>2.2545E-4</v>
      </c>
      <c r="AD126">
        <v>3.4245999999999999E-3</v>
      </c>
      <c r="AE126">
        <v>3.4816E-2</v>
      </c>
      <c r="AF126">
        <v>119.33880000000001</v>
      </c>
      <c r="AG126">
        <v>119.33880000000001</v>
      </c>
      <c r="AH126">
        <v>148.70150000000001</v>
      </c>
      <c r="AI126">
        <v>1.1006999999999999E-2</v>
      </c>
      <c r="AJ126">
        <v>441.68079999999998</v>
      </c>
      <c r="AK126">
        <v>8.8555999999999996E-2</v>
      </c>
      <c r="AL126">
        <v>36.551099999999998</v>
      </c>
      <c r="AM126">
        <v>0</v>
      </c>
      <c r="AN126">
        <v>37.535899999999998</v>
      </c>
      <c r="AO126">
        <v>0.40286</v>
      </c>
      <c r="AP126">
        <v>0.62368999999999997</v>
      </c>
      <c r="AQ126">
        <v>2.0830000000000001E-2</v>
      </c>
      <c r="AR126">
        <v>-1.8332999999999999</v>
      </c>
      <c r="AS126">
        <v>-203.27070000000001</v>
      </c>
    </row>
    <row r="127" spans="1:45">
      <c r="A127" t="s">
        <v>408</v>
      </c>
      <c r="B127">
        <v>267.88400000000001</v>
      </c>
      <c r="C127">
        <v>62.811</v>
      </c>
      <c r="D127" t="s">
        <v>409</v>
      </c>
      <c r="E127" t="s">
        <v>721</v>
      </c>
      <c r="F127">
        <v>6641.9772000000003</v>
      </c>
      <c r="G127">
        <v>1820.2629999999999</v>
      </c>
      <c r="H127">
        <v>62612.502699999997</v>
      </c>
      <c r="I127">
        <v>0.19359000000000001</v>
      </c>
      <c r="J127">
        <v>0</v>
      </c>
      <c r="K127">
        <v>3.6375999999999999</v>
      </c>
      <c r="L127">
        <v>1.0989</v>
      </c>
      <c r="M127">
        <v>0</v>
      </c>
      <c r="N127">
        <v>0</v>
      </c>
      <c r="O127">
        <v>0</v>
      </c>
      <c r="P127">
        <v>2.3925999999999998</v>
      </c>
      <c r="Q127">
        <v>2.2005000000000002E-3</v>
      </c>
      <c r="R127">
        <v>1463.3086000000001</v>
      </c>
      <c r="S127">
        <v>8.4110999999999995E-3</v>
      </c>
      <c r="T127">
        <v>2.6476000000000002</v>
      </c>
      <c r="U127">
        <v>3.5078</v>
      </c>
      <c r="V127">
        <v>1.831</v>
      </c>
      <c r="W127">
        <v>8.7106000000000006E-3</v>
      </c>
      <c r="X127">
        <v>1.1105E-2</v>
      </c>
      <c r="Y127">
        <v>7.3550000000000004E-4</v>
      </c>
      <c r="Z127">
        <v>1.9855999999999999E-2</v>
      </c>
      <c r="AA127">
        <v>0.82047999999999999</v>
      </c>
      <c r="AB127">
        <v>1.244E-2</v>
      </c>
      <c r="AC127">
        <v>2.2545E-4</v>
      </c>
      <c r="AD127">
        <v>3.4245999999999999E-3</v>
      </c>
      <c r="AE127">
        <v>3.4816E-2</v>
      </c>
      <c r="AF127">
        <v>119.33880000000001</v>
      </c>
      <c r="AG127">
        <v>119.33880000000001</v>
      </c>
      <c r="AH127">
        <v>148.70150000000001</v>
      </c>
      <c r="AI127">
        <v>1.1006999999999999E-2</v>
      </c>
      <c r="AJ127">
        <v>441.68079999999998</v>
      </c>
      <c r="AK127">
        <v>8.8555999999999996E-2</v>
      </c>
      <c r="AL127">
        <v>40.258800000000001</v>
      </c>
      <c r="AM127">
        <v>0</v>
      </c>
      <c r="AN127">
        <v>34.880899999999997</v>
      </c>
      <c r="AO127">
        <v>0.40286</v>
      </c>
      <c r="AP127">
        <v>0.62368999999999997</v>
      </c>
      <c r="AQ127">
        <v>2.0830000000000001E-2</v>
      </c>
      <c r="AR127">
        <v>-1.8332999999999999</v>
      </c>
      <c r="AS127">
        <v>-203.27070000000001</v>
      </c>
    </row>
    <row r="128" spans="1:45">
      <c r="A128" t="s">
        <v>410</v>
      </c>
      <c r="B128">
        <v>282.03300000000002</v>
      </c>
      <c r="C128">
        <v>72.683000000000007</v>
      </c>
      <c r="D128" t="s">
        <v>411</v>
      </c>
      <c r="E128" t="s">
        <v>721</v>
      </c>
      <c r="F128">
        <v>6984.7671</v>
      </c>
      <c r="G128">
        <v>1820.1217999999999</v>
      </c>
      <c r="H128">
        <v>68802.452699999994</v>
      </c>
      <c r="I128">
        <v>0.15609999999999999</v>
      </c>
      <c r="J128">
        <v>0</v>
      </c>
      <c r="K128">
        <v>4.0457000000000001</v>
      </c>
      <c r="L128">
        <v>1.2181999999999999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1463.3086000000001</v>
      </c>
      <c r="S128">
        <v>8.4110999999999995E-3</v>
      </c>
      <c r="T128">
        <v>2.6476000000000002</v>
      </c>
      <c r="U128">
        <v>3.5078</v>
      </c>
      <c r="V128">
        <v>1.831</v>
      </c>
      <c r="W128">
        <v>8.7106000000000006E-3</v>
      </c>
      <c r="X128">
        <v>1.1105E-2</v>
      </c>
      <c r="Y128">
        <v>7.3550000000000004E-4</v>
      </c>
      <c r="Z128">
        <v>1.9855999999999999E-2</v>
      </c>
      <c r="AA128">
        <v>0.82047999999999999</v>
      </c>
      <c r="AB128">
        <v>1.244E-2</v>
      </c>
      <c r="AC128">
        <v>2.2545E-4</v>
      </c>
      <c r="AD128">
        <v>3.4245999999999999E-3</v>
      </c>
      <c r="AE128">
        <v>3.4816E-2</v>
      </c>
      <c r="AF128">
        <v>119.33880000000001</v>
      </c>
      <c r="AG128">
        <v>119.33880000000001</v>
      </c>
      <c r="AH128">
        <v>148.70150000000001</v>
      </c>
      <c r="AI128">
        <v>1.1006999999999999E-2</v>
      </c>
      <c r="AJ128">
        <v>441.68079999999998</v>
      </c>
      <c r="AK128">
        <v>8.8555999999999996E-2</v>
      </c>
      <c r="AL128">
        <v>36.577399999999997</v>
      </c>
      <c r="AM128">
        <v>0</v>
      </c>
      <c r="AN128">
        <v>40.8048</v>
      </c>
      <c r="AO128">
        <v>0.40286</v>
      </c>
      <c r="AP128">
        <v>0.62368999999999997</v>
      </c>
      <c r="AQ128">
        <v>2.0830000000000001E-2</v>
      </c>
      <c r="AR128">
        <v>-1.8332999999999999</v>
      </c>
      <c r="AS128">
        <v>-203.27070000000001</v>
      </c>
    </row>
    <row r="129" spans="1:45">
      <c r="A129" t="s">
        <v>412</v>
      </c>
      <c r="B129">
        <v>228.18299999999999</v>
      </c>
      <c r="C129">
        <v>53.25</v>
      </c>
      <c r="D129" t="s">
        <v>413</v>
      </c>
      <c r="E129" t="s">
        <v>721</v>
      </c>
      <c r="F129">
        <v>2756.3002000000001</v>
      </c>
      <c r="G129">
        <v>1895.8635999999999</v>
      </c>
      <c r="H129">
        <v>25258.2333</v>
      </c>
      <c r="I129">
        <v>0.44641999999999998</v>
      </c>
      <c r="J129">
        <v>0</v>
      </c>
      <c r="K129">
        <v>1.1589</v>
      </c>
      <c r="L129">
        <v>0.33166000000000001</v>
      </c>
      <c r="M129">
        <v>0</v>
      </c>
      <c r="N129">
        <v>0</v>
      </c>
      <c r="O129">
        <v>0</v>
      </c>
      <c r="P129">
        <v>3.8</v>
      </c>
      <c r="Q129">
        <v>5.2722999999999999E-2</v>
      </c>
      <c r="R129">
        <v>85.868799999999993</v>
      </c>
      <c r="S129">
        <v>8.4110999999999995E-3</v>
      </c>
      <c r="T129">
        <v>0.15536</v>
      </c>
      <c r="U129">
        <v>0.20584</v>
      </c>
      <c r="V129">
        <v>1.831</v>
      </c>
      <c r="W129">
        <v>8.7106000000000006E-3</v>
      </c>
      <c r="X129">
        <v>1.1105E-2</v>
      </c>
      <c r="Y129">
        <v>7.3550000000000004E-4</v>
      </c>
      <c r="Z129">
        <v>1.9855999999999999E-2</v>
      </c>
      <c r="AA129">
        <v>0.82047999999999999</v>
      </c>
      <c r="AB129">
        <v>1.244E-2</v>
      </c>
      <c r="AC129">
        <v>2.2545E-4</v>
      </c>
      <c r="AD129">
        <v>3.4245999999999999E-3</v>
      </c>
      <c r="AE129">
        <v>3.4816E-2</v>
      </c>
      <c r="AF129">
        <v>7.0030000000000001</v>
      </c>
      <c r="AG129">
        <v>7.0030000000000001</v>
      </c>
      <c r="AH129">
        <v>8.7260000000000009</v>
      </c>
      <c r="AI129">
        <v>1.1006999999999999E-2</v>
      </c>
      <c r="AJ129">
        <v>441.68079999999998</v>
      </c>
      <c r="AK129">
        <v>8.8555999999999996E-2</v>
      </c>
      <c r="AL129">
        <v>4.9791999999999996</v>
      </c>
      <c r="AM129">
        <v>0</v>
      </c>
      <c r="AN129">
        <v>0.48487999999999998</v>
      </c>
      <c r="AO129">
        <v>0.40286</v>
      </c>
      <c r="AP129">
        <v>0.62368999999999997</v>
      </c>
      <c r="AQ129">
        <v>2.0830000000000001E-2</v>
      </c>
      <c r="AR129">
        <v>-1.8332999999999999</v>
      </c>
      <c r="AS129">
        <v>-203.27070000000001</v>
      </c>
    </row>
    <row r="130" spans="1:45">
      <c r="A130" t="s">
        <v>414</v>
      </c>
      <c r="B130">
        <v>237.49</v>
      </c>
      <c r="C130">
        <v>53.026000000000003</v>
      </c>
      <c r="D130" t="s">
        <v>415</v>
      </c>
      <c r="E130" t="s">
        <v>721</v>
      </c>
      <c r="F130">
        <v>3284.2793999999999</v>
      </c>
      <c r="G130">
        <v>1857.6088</v>
      </c>
      <c r="H130">
        <v>34831.137499999997</v>
      </c>
      <c r="I130">
        <v>0.33700999999999998</v>
      </c>
      <c r="J130">
        <v>0.19786000000000001</v>
      </c>
      <c r="K130">
        <v>1.7257</v>
      </c>
      <c r="L130">
        <v>0.66847999999999996</v>
      </c>
      <c r="M130">
        <v>4.2939999999999997E-4</v>
      </c>
      <c r="N130" s="156">
        <v>4.9320999999999998E-5</v>
      </c>
      <c r="O130">
        <v>1.9474999999999999E-2</v>
      </c>
      <c r="P130">
        <v>1.2375</v>
      </c>
      <c r="Q130">
        <v>1.2141000000000001E-2</v>
      </c>
      <c r="R130">
        <v>85.868799999999993</v>
      </c>
      <c r="S130">
        <v>8.4110999999999995E-3</v>
      </c>
      <c r="T130">
        <v>0.15536</v>
      </c>
      <c r="U130">
        <v>0.20584</v>
      </c>
      <c r="V130">
        <v>1.831</v>
      </c>
      <c r="W130">
        <v>8.7106000000000006E-3</v>
      </c>
      <c r="X130">
        <v>1.1105E-2</v>
      </c>
      <c r="Y130">
        <v>7.3550000000000004E-4</v>
      </c>
      <c r="Z130">
        <v>1.9855999999999999E-2</v>
      </c>
      <c r="AA130">
        <v>0.82047999999999999</v>
      </c>
      <c r="AB130">
        <v>1.244E-2</v>
      </c>
      <c r="AC130">
        <v>2.2545E-4</v>
      </c>
      <c r="AD130">
        <v>3.4245999999999999E-3</v>
      </c>
      <c r="AE130">
        <v>3.4816E-2</v>
      </c>
      <c r="AF130">
        <v>7.0030000000000001</v>
      </c>
      <c r="AG130">
        <v>7.0030000000000001</v>
      </c>
      <c r="AH130">
        <v>8.7260000000000009</v>
      </c>
      <c r="AI130">
        <v>1.1006999999999999E-2</v>
      </c>
      <c r="AJ130">
        <v>441.68079999999998</v>
      </c>
      <c r="AK130">
        <v>8.8555999999999996E-2</v>
      </c>
      <c r="AL130">
        <v>4.625</v>
      </c>
      <c r="AM130">
        <v>0</v>
      </c>
      <c r="AN130">
        <v>0.79876999999999998</v>
      </c>
      <c r="AO130">
        <v>0.40286</v>
      </c>
      <c r="AP130">
        <v>0.62368999999999997</v>
      </c>
      <c r="AQ130">
        <v>2.0830000000000001E-2</v>
      </c>
      <c r="AR130">
        <v>-1.8332999999999999</v>
      </c>
      <c r="AS130">
        <v>-203.27070000000001</v>
      </c>
    </row>
    <row r="131" spans="1:45">
      <c r="A131" t="s">
        <v>416</v>
      </c>
      <c r="B131">
        <v>237.946</v>
      </c>
      <c r="C131">
        <v>52.183</v>
      </c>
      <c r="D131" t="s">
        <v>417</v>
      </c>
      <c r="E131" t="s">
        <v>721</v>
      </c>
      <c r="F131">
        <v>3385.63</v>
      </c>
      <c r="G131">
        <v>1843.0432000000001</v>
      </c>
      <c r="H131">
        <v>36676.876100000001</v>
      </c>
      <c r="I131">
        <v>0.29300999999999999</v>
      </c>
      <c r="J131">
        <v>0.17343</v>
      </c>
      <c r="K131">
        <v>1.8231999999999999</v>
      </c>
      <c r="L131">
        <v>0.76939000000000002</v>
      </c>
      <c r="M131">
        <v>8.2333999999999999E-4</v>
      </c>
      <c r="N131" s="156">
        <v>6.5920000000000006E-5</v>
      </c>
      <c r="O131">
        <v>3.8046999999999997E-2</v>
      </c>
      <c r="P131">
        <v>0.26834999999999998</v>
      </c>
      <c r="Q131">
        <v>2.7396E-3</v>
      </c>
      <c r="R131">
        <v>85.868799999999993</v>
      </c>
      <c r="S131">
        <v>8.4110999999999995E-3</v>
      </c>
      <c r="T131">
        <v>0.15536</v>
      </c>
      <c r="U131">
        <v>0.20584</v>
      </c>
      <c r="V131">
        <v>1.831</v>
      </c>
      <c r="W131">
        <v>8.7106000000000006E-3</v>
      </c>
      <c r="X131">
        <v>1.1105E-2</v>
      </c>
      <c r="Y131">
        <v>7.3550000000000004E-4</v>
      </c>
      <c r="Z131">
        <v>1.9855999999999999E-2</v>
      </c>
      <c r="AA131">
        <v>0.82047999999999999</v>
      </c>
      <c r="AB131">
        <v>1.244E-2</v>
      </c>
      <c r="AC131">
        <v>2.2545E-4</v>
      </c>
      <c r="AD131">
        <v>3.4245999999999999E-3</v>
      </c>
      <c r="AE131">
        <v>3.4816E-2</v>
      </c>
      <c r="AF131">
        <v>7.0030000000000001</v>
      </c>
      <c r="AG131">
        <v>7.0030000000000001</v>
      </c>
      <c r="AH131">
        <v>8.7260000000000009</v>
      </c>
      <c r="AI131">
        <v>1.1006999999999999E-2</v>
      </c>
      <c r="AJ131">
        <v>441.68079999999998</v>
      </c>
      <c r="AK131">
        <v>8.8555999999999996E-2</v>
      </c>
      <c r="AL131">
        <v>4.6035000000000004</v>
      </c>
      <c r="AM131">
        <v>0</v>
      </c>
      <c r="AN131">
        <v>0.88697000000000004</v>
      </c>
      <c r="AO131">
        <v>0.40286</v>
      </c>
      <c r="AP131">
        <v>0.62368999999999997</v>
      </c>
      <c r="AQ131">
        <v>2.0830000000000001E-2</v>
      </c>
      <c r="AR131">
        <v>-1.8332999999999999</v>
      </c>
      <c r="AS131">
        <v>-203.27070000000001</v>
      </c>
    </row>
    <row r="132" spans="1:45">
      <c r="A132" t="s">
        <v>418</v>
      </c>
      <c r="B132">
        <v>237.637</v>
      </c>
      <c r="C132">
        <v>49.024999999999999</v>
      </c>
      <c r="D132" t="s">
        <v>419</v>
      </c>
      <c r="E132" t="s">
        <v>721</v>
      </c>
      <c r="F132">
        <v>2678.6631000000002</v>
      </c>
      <c r="G132">
        <v>1967.0365999999999</v>
      </c>
      <c r="H132">
        <v>23776.800899999998</v>
      </c>
      <c r="I132">
        <v>0.36462</v>
      </c>
      <c r="J132">
        <v>0.12745999999999999</v>
      </c>
      <c r="K132">
        <v>1.0736000000000001</v>
      </c>
      <c r="L132">
        <v>0.34405999999999998</v>
      </c>
      <c r="M132">
        <v>0</v>
      </c>
      <c r="N132">
        <v>0</v>
      </c>
      <c r="O132">
        <v>0</v>
      </c>
      <c r="P132">
        <v>8.1008999999999993</v>
      </c>
      <c r="Q132">
        <v>9.0740000000000001E-2</v>
      </c>
      <c r="R132">
        <v>85.868799999999993</v>
      </c>
      <c r="S132">
        <v>8.4110999999999995E-3</v>
      </c>
      <c r="T132">
        <v>0.15536</v>
      </c>
      <c r="U132">
        <v>0.20584</v>
      </c>
      <c r="V132">
        <v>1.831</v>
      </c>
      <c r="W132">
        <v>8.7106000000000006E-3</v>
      </c>
      <c r="X132">
        <v>1.1105E-2</v>
      </c>
      <c r="Y132">
        <v>7.3550000000000004E-4</v>
      </c>
      <c r="Z132">
        <v>1.9855999999999999E-2</v>
      </c>
      <c r="AA132">
        <v>0.82047999999999999</v>
      </c>
      <c r="AB132">
        <v>1.244E-2</v>
      </c>
      <c r="AC132">
        <v>2.2545E-4</v>
      </c>
      <c r="AD132">
        <v>3.4245999999999999E-3</v>
      </c>
      <c r="AE132">
        <v>3.4816E-2</v>
      </c>
      <c r="AF132">
        <v>7.0030000000000001</v>
      </c>
      <c r="AG132">
        <v>7.0030000000000001</v>
      </c>
      <c r="AH132">
        <v>8.7260000000000009</v>
      </c>
      <c r="AI132">
        <v>1.1006999999999999E-2</v>
      </c>
      <c r="AJ132">
        <v>441.68079999999998</v>
      </c>
      <c r="AK132">
        <v>8.8555999999999996E-2</v>
      </c>
      <c r="AL132">
        <v>5.0471000000000004</v>
      </c>
      <c r="AM132">
        <v>0</v>
      </c>
      <c r="AN132">
        <v>0.42703999999999998</v>
      </c>
      <c r="AO132">
        <v>0.40286</v>
      </c>
      <c r="AP132">
        <v>0.62368999999999997</v>
      </c>
      <c r="AQ132">
        <v>2.0830000000000001E-2</v>
      </c>
      <c r="AR132">
        <v>-1.8332999999999999</v>
      </c>
      <c r="AS132">
        <v>-203.27070000000001</v>
      </c>
    </row>
    <row r="133" spans="1:45">
      <c r="A133" t="s">
        <v>420</v>
      </c>
      <c r="B133">
        <v>232.63300000000001</v>
      </c>
      <c r="C133">
        <v>50.680999999999997</v>
      </c>
      <c r="D133" t="s">
        <v>421</v>
      </c>
      <c r="E133" t="s">
        <v>721</v>
      </c>
      <c r="F133">
        <v>2796.1280000000002</v>
      </c>
      <c r="G133">
        <v>1878.8851</v>
      </c>
      <c r="H133">
        <v>25996.222399999999</v>
      </c>
      <c r="I133">
        <v>0.44861000000000001</v>
      </c>
      <c r="J133">
        <v>0</v>
      </c>
      <c r="K133">
        <v>1.2175</v>
      </c>
      <c r="L133">
        <v>0.34589999999999999</v>
      </c>
      <c r="M133">
        <v>0</v>
      </c>
      <c r="N133">
        <v>0</v>
      </c>
      <c r="O133">
        <v>0</v>
      </c>
      <c r="P133">
        <v>2.7334999999999998</v>
      </c>
      <c r="Q133">
        <v>3.5897999999999999E-2</v>
      </c>
      <c r="R133">
        <v>85.868799999999993</v>
      </c>
      <c r="S133">
        <v>8.4110999999999995E-3</v>
      </c>
      <c r="T133">
        <v>0.15536</v>
      </c>
      <c r="U133">
        <v>0.20584</v>
      </c>
      <c r="V133">
        <v>1.831</v>
      </c>
      <c r="W133">
        <v>8.7106000000000006E-3</v>
      </c>
      <c r="X133">
        <v>1.1105E-2</v>
      </c>
      <c r="Y133">
        <v>7.3550000000000004E-4</v>
      </c>
      <c r="Z133">
        <v>1.9855999999999999E-2</v>
      </c>
      <c r="AA133">
        <v>0.82047999999999999</v>
      </c>
      <c r="AB133">
        <v>1.244E-2</v>
      </c>
      <c r="AC133">
        <v>2.2545E-4</v>
      </c>
      <c r="AD133">
        <v>3.4245999999999999E-3</v>
      </c>
      <c r="AE133">
        <v>3.4816E-2</v>
      </c>
      <c r="AF133">
        <v>7.0030000000000001</v>
      </c>
      <c r="AG133">
        <v>7.0030000000000001</v>
      </c>
      <c r="AH133">
        <v>8.7260000000000009</v>
      </c>
      <c r="AI133">
        <v>1.1006999999999999E-2</v>
      </c>
      <c r="AJ133">
        <v>441.68079999999998</v>
      </c>
      <c r="AK133">
        <v>8.8555999999999996E-2</v>
      </c>
      <c r="AL133">
        <v>4.9386000000000001</v>
      </c>
      <c r="AM133">
        <v>0</v>
      </c>
      <c r="AN133">
        <v>0.5333</v>
      </c>
      <c r="AO133">
        <v>0.40286</v>
      </c>
      <c r="AP133">
        <v>0.62368999999999997</v>
      </c>
      <c r="AQ133">
        <v>2.0830000000000001E-2</v>
      </c>
      <c r="AR133">
        <v>-1.8332999999999999</v>
      </c>
      <c r="AS133">
        <v>-203.27070000000001</v>
      </c>
    </row>
    <row r="134" spans="1:45">
      <c r="A134" t="s">
        <v>422</v>
      </c>
      <c r="B134">
        <v>249.721</v>
      </c>
      <c r="C134">
        <v>54.405000000000001</v>
      </c>
      <c r="D134" t="s">
        <v>423</v>
      </c>
      <c r="E134" t="s">
        <v>721</v>
      </c>
      <c r="F134">
        <v>5001.4701999999997</v>
      </c>
      <c r="G134">
        <v>1887.3415</v>
      </c>
      <c r="H134">
        <v>40728.754500000003</v>
      </c>
      <c r="I134">
        <v>0.24525</v>
      </c>
      <c r="J134">
        <v>0.69567000000000001</v>
      </c>
      <c r="K134">
        <v>2.1286</v>
      </c>
      <c r="L134">
        <v>0.79264000000000001</v>
      </c>
      <c r="M134">
        <v>2.0065999999999999E-4</v>
      </c>
      <c r="N134" s="156">
        <v>3.3262000000000001E-5</v>
      </c>
      <c r="O134">
        <v>0.11341</v>
      </c>
      <c r="P134">
        <v>45.937100000000001</v>
      </c>
      <c r="Q134">
        <v>4.1653999999999997E-2</v>
      </c>
      <c r="R134">
        <v>1098.972</v>
      </c>
      <c r="S134">
        <v>8.4110999999999995E-3</v>
      </c>
      <c r="T134">
        <v>1.9883999999999999</v>
      </c>
      <c r="U134">
        <v>2.6343999999999999</v>
      </c>
      <c r="V134">
        <v>1.831</v>
      </c>
      <c r="W134">
        <v>8.7106000000000006E-3</v>
      </c>
      <c r="X134">
        <v>1.1105E-2</v>
      </c>
      <c r="Y134">
        <v>7.3550000000000004E-4</v>
      </c>
      <c r="Z134">
        <v>1.9855999999999999E-2</v>
      </c>
      <c r="AA134">
        <v>0.82047999999999999</v>
      </c>
      <c r="AB134">
        <v>1.244E-2</v>
      </c>
      <c r="AC134">
        <v>2.2545E-4</v>
      </c>
      <c r="AD134">
        <v>3.4245999999999999E-3</v>
      </c>
      <c r="AE134">
        <v>3.4816E-2</v>
      </c>
      <c r="AF134">
        <v>89.625699999999995</v>
      </c>
      <c r="AG134">
        <v>89.625699999999995</v>
      </c>
      <c r="AH134">
        <v>111.6776</v>
      </c>
      <c r="AI134">
        <v>1.1006999999999999E-2</v>
      </c>
      <c r="AJ134">
        <v>441.68079999999998</v>
      </c>
      <c r="AK134">
        <v>8.8555999999999996E-2</v>
      </c>
      <c r="AL134">
        <v>50.713900000000002</v>
      </c>
      <c r="AM134">
        <v>0</v>
      </c>
      <c r="AN134">
        <v>14.3035</v>
      </c>
      <c r="AO134">
        <v>0.40286</v>
      </c>
      <c r="AP134">
        <v>0.62368999999999997</v>
      </c>
      <c r="AQ134">
        <v>2.0830000000000001E-2</v>
      </c>
      <c r="AR134">
        <v>-1.8332999999999999</v>
      </c>
      <c r="AS134">
        <v>-203.27070000000001</v>
      </c>
    </row>
    <row r="135" spans="1:45">
      <c r="A135" t="s">
        <v>424</v>
      </c>
      <c r="B135">
        <v>246.53299999999999</v>
      </c>
      <c r="C135">
        <v>53.667000000000002</v>
      </c>
      <c r="D135" t="s">
        <v>425</v>
      </c>
      <c r="E135" t="s">
        <v>721</v>
      </c>
      <c r="F135">
        <v>4929.5608000000002</v>
      </c>
      <c r="G135">
        <v>1874.2610999999999</v>
      </c>
      <c r="H135">
        <v>39619.243900000001</v>
      </c>
      <c r="I135">
        <v>0.25492999999999999</v>
      </c>
      <c r="J135">
        <v>0.45077</v>
      </c>
      <c r="K135">
        <v>2.0377000000000001</v>
      </c>
      <c r="L135">
        <v>0.80083000000000004</v>
      </c>
      <c r="M135">
        <v>1.7017000000000001E-4</v>
      </c>
      <c r="N135" s="156">
        <v>7.4985000000000001E-5</v>
      </c>
      <c r="O135">
        <v>0.24928</v>
      </c>
      <c r="P135">
        <v>33.129800000000003</v>
      </c>
      <c r="Q135">
        <v>2.7365E-2</v>
      </c>
      <c r="R135">
        <v>1098.972</v>
      </c>
      <c r="S135">
        <v>8.4110999999999995E-3</v>
      </c>
      <c r="T135">
        <v>1.9883999999999999</v>
      </c>
      <c r="U135">
        <v>2.6343999999999999</v>
      </c>
      <c r="V135">
        <v>1.831</v>
      </c>
      <c r="W135">
        <v>8.7106000000000006E-3</v>
      </c>
      <c r="X135">
        <v>1.1105E-2</v>
      </c>
      <c r="Y135">
        <v>7.3550000000000004E-4</v>
      </c>
      <c r="Z135">
        <v>1.9855999999999999E-2</v>
      </c>
      <c r="AA135">
        <v>0.82047999999999999</v>
      </c>
      <c r="AB135">
        <v>1.244E-2</v>
      </c>
      <c r="AC135">
        <v>2.2545E-4</v>
      </c>
      <c r="AD135">
        <v>3.4245999999999999E-3</v>
      </c>
      <c r="AE135">
        <v>3.4816E-2</v>
      </c>
      <c r="AF135">
        <v>89.625699999999995</v>
      </c>
      <c r="AG135">
        <v>89.625699999999995</v>
      </c>
      <c r="AH135">
        <v>111.6776</v>
      </c>
      <c r="AI135">
        <v>1.1006999999999999E-2</v>
      </c>
      <c r="AJ135">
        <v>441.68079999999998</v>
      </c>
      <c r="AK135">
        <v>8.8555999999999996E-2</v>
      </c>
      <c r="AL135">
        <v>54.3947</v>
      </c>
      <c r="AM135">
        <v>0</v>
      </c>
      <c r="AN135">
        <v>13.099500000000001</v>
      </c>
      <c r="AO135">
        <v>0.40286</v>
      </c>
      <c r="AP135">
        <v>0.62368999999999997</v>
      </c>
      <c r="AQ135">
        <v>2.0830000000000001E-2</v>
      </c>
      <c r="AR135">
        <v>-1.8332999999999999</v>
      </c>
      <c r="AS135">
        <v>-203.27070000000001</v>
      </c>
    </row>
    <row r="136" spans="1:45">
      <c r="A136" t="s">
        <v>426</v>
      </c>
      <c r="B136">
        <v>246.42</v>
      </c>
      <c r="C136">
        <v>53.31</v>
      </c>
      <c r="D136" t="s">
        <v>427</v>
      </c>
      <c r="E136" t="s">
        <v>721</v>
      </c>
      <c r="F136">
        <v>5002.8249999999998</v>
      </c>
      <c r="G136">
        <v>1896.3107</v>
      </c>
      <c r="H136">
        <v>40624.002999999997</v>
      </c>
      <c r="I136">
        <v>0.27717000000000003</v>
      </c>
      <c r="J136">
        <v>0.50099000000000005</v>
      </c>
      <c r="K136">
        <v>2.0863999999999998</v>
      </c>
      <c r="L136">
        <v>0.78964000000000001</v>
      </c>
      <c r="M136">
        <v>1.7597000000000001E-4</v>
      </c>
      <c r="N136" s="156">
        <v>9.0941999999999998E-5</v>
      </c>
      <c r="O136">
        <v>0.29236000000000001</v>
      </c>
      <c r="P136">
        <v>51.802300000000002</v>
      </c>
      <c r="Q136">
        <v>4.6691999999999997E-2</v>
      </c>
      <c r="R136">
        <v>1098.972</v>
      </c>
      <c r="S136">
        <v>8.4110999999999995E-3</v>
      </c>
      <c r="T136">
        <v>1.9883999999999999</v>
      </c>
      <c r="U136">
        <v>2.6343999999999999</v>
      </c>
      <c r="V136">
        <v>1.831</v>
      </c>
      <c r="W136">
        <v>8.7106000000000006E-3</v>
      </c>
      <c r="X136">
        <v>1.1105E-2</v>
      </c>
      <c r="Y136">
        <v>7.3550000000000004E-4</v>
      </c>
      <c r="Z136">
        <v>1.9855999999999999E-2</v>
      </c>
      <c r="AA136">
        <v>0.82047999999999999</v>
      </c>
      <c r="AB136">
        <v>1.244E-2</v>
      </c>
      <c r="AC136">
        <v>2.2545E-4</v>
      </c>
      <c r="AD136">
        <v>3.4245999999999999E-3</v>
      </c>
      <c r="AE136">
        <v>3.4816E-2</v>
      </c>
      <c r="AF136">
        <v>89.625699999999995</v>
      </c>
      <c r="AG136">
        <v>89.625699999999995</v>
      </c>
      <c r="AH136">
        <v>111.6776</v>
      </c>
      <c r="AI136">
        <v>1.1006999999999999E-2</v>
      </c>
      <c r="AJ136">
        <v>441.68079999999998</v>
      </c>
      <c r="AK136">
        <v>8.8555999999999996E-2</v>
      </c>
      <c r="AL136">
        <v>52.722099999999998</v>
      </c>
      <c r="AM136">
        <v>0</v>
      </c>
      <c r="AN136">
        <v>13.604100000000001</v>
      </c>
      <c r="AO136">
        <v>0.40286</v>
      </c>
      <c r="AP136">
        <v>0.62368999999999997</v>
      </c>
      <c r="AQ136">
        <v>2.0830000000000001E-2</v>
      </c>
      <c r="AR136">
        <v>-1.8332999999999999</v>
      </c>
      <c r="AS136">
        <v>-203.27070000000001</v>
      </c>
    </row>
    <row r="137" spans="1:45">
      <c r="A137" t="s">
        <v>428</v>
      </c>
      <c r="B137">
        <v>257.53800000000001</v>
      </c>
      <c r="C137">
        <v>51.265000000000001</v>
      </c>
      <c r="D137" t="s">
        <v>429</v>
      </c>
      <c r="E137" t="s">
        <v>721</v>
      </c>
      <c r="F137">
        <v>4925.8338000000003</v>
      </c>
      <c r="G137">
        <v>1950.1756</v>
      </c>
      <c r="H137">
        <v>41119.511100000003</v>
      </c>
      <c r="I137">
        <v>0.26347999999999999</v>
      </c>
      <c r="J137">
        <v>1.4207000000000001</v>
      </c>
      <c r="K137">
        <v>2.1282000000000001</v>
      </c>
      <c r="L137">
        <v>0.76029999999999998</v>
      </c>
      <c r="M137">
        <v>2.7185000000000002E-4</v>
      </c>
      <c r="N137" s="156">
        <v>5.1341000000000002E-5</v>
      </c>
      <c r="O137">
        <v>0.29902000000000001</v>
      </c>
      <c r="P137">
        <v>87.172600000000003</v>
      </c>
      <c r="Q137">
        <v>8.6898000000000003E-2</v>
      </c>
      <c r="R137">
        <v>994.87189999999998</v>
      </c>
      <c r="S137">
        <v>8.4110999999999995E-3</v>
      </c>
      <c r="T137">
        <v>1.8</v>
      </c>
      <c r="U137">
        <v>2.3849</v>
      </c>
      <c r="V137">
        <v>1.831</v>
      </c>
      <c r="W137">
        <v>8.7106000000000006E-3</v>
      </c>
      <c r="X137">
        <v>1.1105E-2</v>
      </c>
      <c r="Y137">
        <v>7.3550000000000004E-4</v>
      </c>
      <c r="Z137">
        <v>1.9855999999999999E-2</v>
      </c>
      <c r="AA137">
        <v>0.82047999999999999</v>
      </c>
      <c r="AB137">
        <v>1.244E-2</v>
      </c>
      <c r="AC137">
        <v>2.2545E-4</v>
      </c>
      <c r="AD137">
        <v>3.4245999999999999E-3</v>
      </c>
      <c r="AE137">
        <v>3.4816E-2</v>
      </c>
      <c r="AF137">
        <v>81.135900000000007</v>
      </c>
      <c r="AG137">
        <v>81.135900000000007</v>
      </c>
      <c r="AH137">
        <v>101.0989</v>
      </c>
      <c r="AI137">
        <v>1.1006999999999999E-2</v>
      </c>
      <c r="AJ137">
        <v>441.68079999999998</v>
      </c>
      <c r="AK137">
        <v>8.8555999999999996E-2</v>
      </c>
      <c r="AL137">
        <v>44.4557</v>
      </c>
      <c r="AM137">
        <v>0</v>
      </c>
      <c r="AN137">
        <v>13.2265</v>
      </c>
      <c r="AO137">
        <v>0.40286</v>
      </c>
      <c r="AP137">
        <v>0.62368999999999997</v>
      </c>
      <c r="AQ137">
        <v>2.0830000000000001E-2</v>
      </c>
      <c r="AR137">
        <v>-1.8332999999999999</v>
      </c>
      <c r="AS137">
        <v>-203.27070000000001</v>
      </c>
    </row>
    <row r="138" spans="1:45">
      <c r="A138" t="s">
        <v>431</v>
      </c>
      <c r="B138">
        <v>260.05</v>
      </c>
      <c r="C138">
        <v>49.917000000000002</v>
      </c>
      <c r="D138" t="s">
        <v>432</v>
      </c>
      <c r="E138" t="s">
        <v>721</v>
      </c>
      <c r="F138">
        <v>3624.0848999999998</v>
      </c>
      <c r="G138">
        <v>1991.8433</v>
      </c>
      <c r="H138">
        <v>41187.68</v>
      </c>
      <c r="I138">
        <v>0.25569999999999998</v>
      </c>
      <c r="J138">
        <v>0.16453999999999999</v>
      </c>
      <c r="K138">
        <v>2.1291000000000002</v>
      </c>
      <c r="L138">
        <v>0.75175000000000003</v>
      </c>
      <c r="M138" s="156">
        <v>8.9166000000000007E-5</v>
      </c>
      <c r="N138" s="156">
        <v>1.2925999999999999E-6</v>
      </c>
      <c r="O138">
        <v>2.8912E-3</v>
      </c>
      <c r="P138">
        <v>8.4499999999999993</v>
      </c>
      <c r="Q138">
        <v>0.10789</v>
      </c>
      <c r="R138">
        <v>71.534400000000005</v>
      </c>
      <c r="S138">
        <v>8.4110999999999995E-3</v>
      </c>
      <c r="T138">
        <v>0.12942999999999999</v>
      </c>
      <c r="U138">
        <v>0.17147999999999999</v>
      </c>
      <c r="V138">
        <v>1.831</v>
      </c>
      <c r="W138">
        <v>8.7106000000000006E-3</v>
      </c>
      <c r="X138">
        <v>1.1105E-2</v>
      </c>
      <c r="Y138">
        <v>7.3550000000000004E-4</v>
      </c>
      <c r="Z138">
        <v>1.9855999999999999E-2</v>
      </c>
      <c r="AA138">
        <v>0.82047999999999999</v>
      </c>
      <c r="AB138">
        <v>1.244E-2</v>
      </c>
      <c r="AC138">
        <v>2.2545E-4</v>
      </c>
      <c r="AD138">
        <v>3.4245999999999999E-3</v>
      </c>
      <c r="AE138">
        <v>3.4816E-2</v>
      </c>
      <c r="AF138">
        <v>5.8338999999999999</v>
      </c>
      <c r="AG138">
        <v>5.8338999999999999</v>
      </c>
      <c r="AH138">
        <v>7.2693000000000003</v>
      </c>
      <c r="AI138">
        <v>1.1006999999999999E-2</v>
      </c>
      <c r="AJ138">
        <v>441.68079999999998</v>
      </c>
      <c r="AK138">
        <v>8.8555999999999996E-2</v>
      </c>
      <c r="AL138">
        <v>3.1404999999999998</v>
      </c>
      <c r="AM138">
        <v>0</v>
      </c>
      <c r="AN138">
        <v>0.94591999999999998</v>
      </c>
      <c r="AO138">
        <v>0.40286</v>
      </c>
      <c r="AP138">
        <v>0.62368999999999997</v>
      </c>
      <c r="AQ138">
        <v>2.0830000000000001E-2</v>
      </c>
      <c r="AR138">
        <v>-1.8332999999999999</v>
      </c>
      <c r="AS138">
        <v>-203.27070000000001</v>
      </c>
    </row>
    <row r="139" spans="1:45">
      <c r="A139" t="s">
        <v>433</v>
      </c>
      <c r="B139">
        <v>295.52100000000002</v>
      </c>
      <c r="C139">
        <v>48.774999999999999</v>
      </c>
      <c r="D139" t="s">
        <v>434</v>
      </c>
      <c r="E139" t="s">
        <v>721</v>
      </c>
      <c r="F139">
        <v>3383.1361999999999</v>
      </c>
      <c r="G139">
        <v>1968.0505000000001</v>
      </c>
      <c r="H139">
        <v>38169.602800000001</v>
      </c>
      <c r="I139">
        <v>0.31861</v>
      </c>
      <c r="J139">
        <v>8.3634999999999994E-3</v>
      </c>
      <c r="K139">
        <v>1.8821000000000001</v>
      </c>
      <c r="L139">
        <v>0.70872999999999997</v>
      </c>
      <c r="M139">
        <v>0</v>
      </c>
      <c r="N139">
        <v>0</v>
      </c>
      <c r="O139">
        <v>0</v>
      </c>
      <c r="P139">
        <v>2.0427</v>
      </c>
      <c r="Q139">
        <v>9.7335000000000005E-2</v>
      </c>
      <c r="R139">
        <v>20.8062</v>
      </c>
      <c r="S139">
        <v>8.4110999999999995E-3</v>
      </c>
      <c r="T139">
        <v>3.7644999999999998E-2</v>
      </c>
      <c r="U139">
        <v>4.9875999999999997E-2</v>
      </c>
      <c r="V139">
        <v>1.831</v>
      </c>
      <c r="W139">
        <v>8.7106000000000006E-3</v>
      </c>
      <c r="X139">
        <v>1.1105E-2</v>
      </c>
      <c r="Y139">
        <v>7.3550000000000004E-4</v>
      </c>
      <c r="Z139">
        <v>1.9855999999999999E-2</v>
      </c>
      <c r="AA139">
        <v>0.82047999999999999</v>
      </c>
      <c r="AB139">
        <v>1.244E-2</v>
      </c>
      <c r="AC139">
        <v>2.2545E-4</v>
      </c>
      <c r="AD139">
        <v>3.4245999999999999E-3</v>
      </c>
      <c r="AE139">
        <v>3.4816E-2</v>
      </c>
      <c r="AF139">
        <v>1.6968000000000001</v>
      </c>
      <c r="AG139">
        <v>1.6968000000000001</v>
      </c>
      <c r="AH139">
        <v>2.1143000000000001</v>
      </c>
      <c r="AI139">
        <v>1.1006999999999999E-2</v>
      </c>
      <c r="AJ139">
        <v>441.68079999999998</v>
      </c>
      <c r="AK139">
        <v>8.8555999999999996E-2</v>
      </c>
      <c r="AL139">
        <v>1.0607</v>
      </c>
      <c r="AM139">
        <v>0</v>
      </c>
      <c r="AN139">
        <v>0.22378999999999999</v>
      </c>
      <c r="AO139">
        <v>0.40286</v>
      </c>
      <c r="AP139">
        <v>0.62368999999999997</v>
      </c>
      <c r="AQ139">
        <v>2.0830000000000001E-2</v>
      </c>
      <c r="AR139">
        <v>-1.8332999999999999</v>
      </c>
      <c r="AS139">
        <v>-203.27070000000001</v>
      </c>
    </row>
    <row r="140" spans="1:45">
      <c r="A140" t="s">
        <v>435</v>
      </c>
      <c r="B140">
        <v>296.49099999999999</v>
      </c>
      <c r="C140">
        <v>44.881</v>
      </c>
      <c r="D140" t="s">
        <v>436</v>
      </c>
      <c r="E140" t="s">
        <v>721</v>
      </c>
      <c r="F140">
        <v>4955.1957000000002</v>
      </c>
      <c r="G140">
        <v>2081.0672</v>
      </c>
      <c r="H140">
        <v>31973.2709</v>
      </c>
      <c r="I140">
        <v>0.39199000000000001</v>
      </c>
      <c r="J140">
        <v>1.2750999999999999</v>
      </c>
      <c r="K140">
        <v>1.4379999999999999</v>
      </c>
      <c r="L140">
        <v>0.52580000000000005</v>
      </c>
      <c r="M140">
        <v>0</v>
      </c>
      <c r="N140">
        <v>0</v>
      </c>
      <c r="O140">
        <v>0</v>
      </c>
      <c r="P140">
        <v>229.38499999999999</v>
      </c>
      <c r="Q140">
        <v>0.16288</v>
      </c>
      <c r="R140">
        <v>1287.0130999999999</v>
      </c>
      <c r="S140">
        <v>8.4110999999999995E-3</v>
      </c>
      <c r="T140">
        <v>2.3285999999999998</v>
      </c>
      <c r="U140">
        <v>3.0851999999999999</v>
      </c>
      <c r="V140">
        <v>1.831</v>
      </c>
      <c r="W140">
        <v>8.7106000000000006E-3</v>
      </c>
      <c r="X140">
        <v>1.1105E-2</v>
      </c>
      <c r="Y140">
        <v>7.3550000000000004E-4</v>
      </c>
      <c r="Z140">
        <v>1.9855999999999999E-2</v>
      </c>
      <c r="AA140">
        <v>0.82047999999999999</v>
      </c>
      <c r="AB140">
        <v>1.244E-2</v>
      </c>
      <c r="AC140">
        <v>2.2545E-4</v>
      </c>
      <c r="AD140">
        <v>3.4245999999999999E-3</v>
      </c>
      <c r="AE140">
        <v>3.4816E-2</v>
      </c>
      <c r="AF140">
        <v>104.96120000000001</v>
      </c>
      <c r="AG140">
        <v>104.96120000000001</v>
      </c>
      <c r="AH140">
        <v>130.78630000000001</v>
      </c>
      <c r="AI140">
        <v>1.1006999999999999E-2</v>
      </c>
      <c r="AJ140">
        <v>441.68079999999998</v>
      </c>
      <c r="AK140">
        <v>8.8555999999999996E-2</v>
      </c>
      <c r="AL140">
        <v>71.386799999999994</v>
      </c>
      <c r="AM140">
        <v>0</v>
      </c>
      <c r="AN140">
        <v>9.9077999999999999</v>
      </c>
      <c r="AO140">
        <v>0.40286</v>
      </c>
      <c r="AP140">
        <v>0.62368999999999997</v>
      </c>
      <c r="AQ140">
        <v>2.0830000000000001E-2</v>
      </c>
      <c r="AR140">
        <v>-1.8332999999999999</v>
      </c>
      <c r="AS140">
        <v>-203.27070000000001</v>
      </c>
    </row>
    <row r="141" spans="1:45">
      <c r="A141" t="s">
        <v>438</v>
      </c>
      <c r="B141">
        <v>295.08300000000003</v>
      </c>
      <c r="C141">
        <v>44.984000000000002</v>
      </c>
      <c r="D141" t="s">
        <v>439</v>
      </c>
      <c r="E141" t="s">
        <v>721</v>
      </c>
      <c r="F141">
        <v>4916.2295000000004</v>
      </c>
      <c r="G141">
        <v>2115.0879</v>
      </c>
      <c r="H141">
        <v>30696.006300000001</v>
      </c>
      <c r="I141">
        <v>0.36742000000000002</v>
      </c>
      <c r="J141">
        <v>2.8895</v>
      </c>
      <c r="K141">
        <v>1.3758999999999999</v>
      </c>
      <c r="L141">
        <v>0.50478000000000001</v>
      </c>
      <c r="M141">
        <v>0</v>
      </c>
      <c r="N141">
        <v>0</v>
      </c>
      <c r="O141">
        <v>0</v>
      </c>
      <c r="P141">
        <v>259.3211</v>
      </c>
      <c r="Q141">
        <v>0.16994999999999999</v>
      </c>
      <c r="R141">
        <v>1287.0130999999999</v>
      </c>
      <c r="S141">
        <v>8.4110999999999995E-3</v>
      </c>
      <c r="T141">
        <v>2.3285999999999998</v>
      </c>
      <c r="U141">
        <v>3.0851999999999999</v>
      </c>
      <c r="V141">
        <v>1.831</v>
      </c>
      <c r="W141">
        <v>8.7106000000000006E-3</v>
      </c>
      <c r="X141">
        <v>1.1105E-2</v>
      </c>
      <c r="Y141">
        <v>7.3550000000000004E-4</v>
      </c>
      <c r="Z141">
        <v>1.9855999999999999E-2</v>
      </c>
      <c r="AA141">
        <v>0.82047999999999999</v>
      </c>
      <c r="AB141">
        <v>1.244E-2</v>
      </c>
      <c r="AC141">
        <v>2.2545E-4</v>
      </c>
      <c r="AD141">
        <v>3.4245999999999999E-3</v>
      </c>
      <c r="AE141">
        <v>3.4816E-2</v>
      </c>
      <c r="AF141">
        <v>104.96120000000001</v>
      </c>
      <c r="AG141">
        <v>104.96120000000001</v>
      </c>
      <c r="AH141">
        <v>130.78630000000001</v>
      </c>
      <c r="AI141">
        <v>1.1006999999999999E-2</v>
      </c>
      <c r="AJ141">
        <v>441.68079999999998</v>
      </c>
      <c r="AK141">
        <v>8.8555999999999996E-2</v>
      </c>
      <c r="AL141">
        <v>72.2453</v>
      </c>
      <c r="AM141">
        <v>0</v>
      </c>
      <c r="AN141">
        <v>9.2965</v>
      </c>
      <c r="AO141">
        <v>0.40286</v>
      </c>
      <c r="AP141">
        <v>0.62368999999999997</v>
      </c>
      <c r="AQ141">
        <v>2.0830000000000001E-2</v>
      </c>
      <c r="AR141">
        <v>-1.8332999999999999</v>
      </c>
      <c r="AS141">
        <v>-203.27070000000001</v>
      </c>
    </row>
    <row r="142" spans="1:45">
      <c r="A142" t="s">
        <v>440</v>
      </c>
      <c r="B142">
        <v>277.04399999999998</v>
      </c>
      <c r="C142">
        <v>42.276000000000003</v>
      </c>
      <c r="D142" t="s">
        <v>441</v>
      </c>
      <c r="E142" t="s">
        <v>721</v>
      </c>
      <c r="F142">
        <v>2980.9960999999998</v>
      </c>
      <c r="G142">
        <v>2288.8926999999999</v>
      </c>
      <c r="H142">
        <v>28718.673900000002</v>
      </c>
      <c r="I142">
        <v>0.30840000000000001</v>
      </c>
      <c r="J142">
        <v>0.51117000000000001</v>
      </c>
      <c r="K142">
        <v>1.2289000000000001</v>
      </c>
      <c r="L142">
        <v>0.48113</v>
      </c>
      <c r="M142">
        <v>0</v>
      </c>
      <c r="N142">
        <v>0</v>
      </c>
      <c r="O142">
        <v>0</v>
      </c>
      <c r="P142">
        <v>29.454699999999999</v>
      </c>
      <c r="Q142">
        <v>0.24389</v>
      </c>
      <c r="R142">
        <v>90.963700000000003</v>
      </c>
      <c r="S142">
        <v>8.4110999999999995E-3</v>
      </c>
      <c r="T142">
        <v>0.16458</v>
      </c>
      <c r="U142">
        <v>0.21804999999999999</v>
      </c>
      <c r="V142">
        <v>1.831</v>
      </c>
      <c r="W142">
        <v>8.7106000000000006E-3</v>
      </c>
      <c r="X142">
        <v>1.1105E-2</v>
      </c>
      <c r="Y142">
        <v>7.3550000000000004E-4</v>
      </c>
      <c r="Z142">
        <v>1.9855999999999999E-2</v>
      </c>
      <c r="AA142">
        <v>0.82047999999999999</v>
      </c>
      <c r="AB142">
        <v>1.244E-2</v>
      </c>
      <c r="AC142">
        <v>2.2545E-4</v>
      </c>
      <c r="AD142">
        <v>3.4245999999999999E-3</v>
      </c>
      <c r="AE142">
        <v>3.4816E-2</v>
      </c>
      <c r="AF142">
        <v>7.4184999999999999</v>
      </c>
      <c r="AG142">
        <v>7.4184999999999999</v>
      </c>
      <c r="AH142">
        <v>9.2437000000000005</v>
      </c>
      <c r="AI142">
        <v>1.1006999999999999E-2</v>
      </c>
      <c r="AJ142">
        <v>441.68079999999998</v>
      </c>
      <c r="AK142">
        <v>8.8555999999999996E-2</v>
      </c>
      <c r="AL142">
        <v>5.2351000000000001</v>
      </c>
      <c r="AM142">
        <v>0</v>
      </c>
      <c r="AN142">
        <v>0.57633000000000001</v>
      </c>
      <c r="AO142">
        <v>0.40286</v>
      </c>
      <c r="AP142">
        <v>0.62368999999999997</v>
      </c>
      <c r="AQ142">
        <v>2.0830000000000001E-2</v>
      </c>
      <c r="AR142">
        <v>-1.8332999999999999</v>
      </c>
      <c r="AS142">
        <v>-203.27070000000001</v>
      </c>
    </row>
    <row r="143" spans="1:45">
      <c r="A143" t="s">
        <v>442</v>
      </c>
      <c r="B143">
        <v>299.983</v>
      </c>
      <c r="C143">
        <v>43.933</v>
      </c>
      <c r="D143" t="s">
        <v>443</v>
      </c>
      <c r="E143" t="s">
        <v>721</v>
      </c>
      <c r="F143">
        <v>4741.1382000000003</v>
      </c>
      <c r="G143">
        <v>2110.8508999999999</v>
      </c>
      <c r="H143">
        <v>27607.147700000001</v>
      </c>
      <c r="I143">
        <v>0.40508</v>
      </c>
      <c r="J143">
        <v>7.5339000000000003E-2</v>
      </c>
      <c r="K143">
        <v>1.1761999999999999</v>
      </c>
      <c r="L143">
        <v>0.4022</v>
      </c>
      <c r="M143">
        <v>0</v>
      </c>
      <c r="N143">
        <v>0</v>
      </c>
      <c r="O143">
        <v>0</v>
      </c>
      <c r="P143">
        <v>257.24709999999999</v>
      </c>
      <c r="Q143">
        <v>0.19128999999999999</v>
      </c>
      <c r="R143">
        <v>1287.0130999999999</v>
      </c>
      <c r="S143">
        <v>8.4110999999999995E-3</v>
      </c>
      <c r="T143">
        <v>2.3285999999999998</v>
      </c>
      <c r="U143">
        <v>3.0851999999999999</v>
      </c>
      <c r="V143">
        <v>1.831</v>
      </c>
      <c r="W143">
        <v>8.7106000000000006E-3</v>
      </c>
      <c r="X143">
        <v>1.1105E-2</v>
      </c>
      <c r="Y143">
        <v>7.3550000000000004E-4</v>
      </c>
      <c r="Z143">
        <v>1.9855999999999999E-2</v>
      </c>
      <c r="AA143">
        <v>0.82047999999999999</v>
      </c>
      <c r="AB143">
        <v>1.244E-2</v>
      </c>
      <c r="AC143">
        <v>2.2545E-4</v>
      </c>
      <c r="AD143">
        <v>3.4245999999999999E-3</v>
      </c>
      <c r="AE143">
        <v>3.4816E-2</v>
      </c>
      <c r="AF143">
        <v>104.96120000000001</v>
      </c>
      <c r="AG143">
        <v>104.96120000000001</v>
      </c>
      <c r="AH143">
        <v>130.78630000000001</v>
      </c>
      <c r="AI143">
        <v>1.1006999999999999E-2</v>
      </c>
      <c r="AJ143">
        <v>441.68079999999998</v>
      </c>
      <c r="AK143">
        <v>8.8555999999999996E-2</v>
      </c>
      <c r="AL143">
        <v>74.479600000000005</v>
      </c>
      <c r="AM143">
        <v>0</v>
      </c>
      <c r="AN143">
        <v>7.9903000000000004</v>
      </c>
      <c r="AO143">
        <v>0.40286</v>
      </c>
      <c r="AP143">
        <v>0.62368999999999997</v>
      </c>
      <c r="AQ143">
        <v>2.0830000000000001E-2</v>
      </c>
      <c r="AR143">
        <v>-1.8332999999999999</v>
      </c>
      <c r="AS143">
        <v>-203.27070000000001</v>
      </c>
    </row>
    <row r="144" spans="1:45">
      <c r="A144" t="s">
        <v>444</v>
      </c>
      <c r="B144">
        <v>293.91199999999998</v>
      </c>
      <c r="C144">
        <v>43.826999999999998</v>
      </c>
      <c r="D144" t="s">
        <v>445</v>
      </c>
      <c r="E144" t="s">
        <v>721</v>
      </c>
      <c r="F144">
        <v>4846.0254000000004</v>
      </c>
      <c r="G144">
        <v>2093.3107</v>
      </c>
      <c r="H144">
        <v>29796.233899999999</v>
      </c>
      <c r="I144">
        <v>0.41427999999999998</v>
      </c>
      <c r="J144">
        <v>8.4485000000000005E-2</v>
      </c>
      <c r="K144">
        <v>1.2896000000000001</v>
      </c>
      <c r="L144">
        <v>0.45779999999999998</v>
      </c>
      <c r="M144">
        <v>0</v>
      </c>
      <c r="N144">
        <v>0</v>
      </c>
      <c r="O144">
        <v>0</v>
      </c>
      <c r="P144">
        <v>241.79490000000001</v>
      </c>
      <c r="Q144">
        <v>0.18554999999999999</v>
      </c>
      <c r="R144">
        <v>1287.0130999999999</v>
      </c>
      <c r="S144">
        <v>8.4110999999999995E-3</v>
      </c>
      <c r="T144">
        <v>2.3285999999999998</v>
      </c>
      <c r="U144">
        <v>3.0851999999999999</v>
      </c>
      <c r="V144">
        <v>1.831</v>
      </c>
      <c r="W144">
        <v>8.7106000000000006E-3</v>
      </c>
      <c r="X144">
        <v>1.1105E-2</v>
      </c>
      <c r="Y144">
        <v>7.3550000000000004E-4</v>
      </c>
      <c r="Z144">
        <v>1.9855999999999999E-2</v>
      </c>
      <c r="AA144">
        <v>0.82047999999999999</v>
      </c>
      <c r="AB144">
        <v>1.244E-2</v>
      </c>
      <c r="AC144">
        <v>2.2545E-4</v>
      </c>
      <c r="AD144">
        <v>3.4245999999999999E-3</v>
      </c>
      <c r="AE144">
        <v>3.4816E-2</v>
      </c>
      <c r="AF144">
        <v>104.96120000000001</v>
      </c>
      <c r="AG144">
        <v>104.96120000000001</v>
      </c>
      <c r="AH144">
        <v>130.78630000000001</v>
      </c>
      <c r="AI144">
        <v>1.1006999999999999E-2</v>
      </c>
      <c r="AJ144">
        <v>441.68079999999998</v>
      </c>
      <c r="AK144">
        <v>8.8555999999999996E-2</v>
      </c>
      <c r="AL144">
        <v>72.753</v>
      </c>
      <c r="AM144">
        <v>0</v>
      </c>
      <c r="AN144">
        <v>8.7657000000000007</v>
      </c>
      <c r="AO144">
        <v>0.40286</v>
      </c>
      <c r="AP144">
        <v>0.62368999999999997</v>
      </c>
      <c r="AQ144">
        <v>2.0830000000000001E-2</v>
      </c>
      <c r="AR144">
        <v>-1.8332999999999999</v>
      </c>
      <c r="AS144">
        <v>-203.27070000000001</v>
      </c>
    </row>
    <row r="145" spans="1:45">
      <c r="A145" t="s">
        <v>446</v>
      </c>
      <c r="B145">
        <v>294.11700000000002</v>
      </c>
      <c r="C145">
        <v>45.317</v>
      </c>
      <c r="D145" t="s">
        <v>447</v>
      </c>
      <c r="E145" t="s">
        <v>721</v>
      </c>
      <c r="F145">
        <v>3887.0383999999999</v>
      </c>
      <c r="G145">
        <v>2031.1932999999999</v>
      </c>
      <c r="H145">
        <v>34286.7713</v>
      </c>
      <c r="I145">
        <v>0.38834000000000002</v>
      </c>
      <c r="J145">
        <v>0.21401000000000001</v>
      </c>
      <c r="K145">
        <v>1.5760000000000001</v>
      </c>
      <c r="L145">
        <v>0.59533000000000003</v>
      </c>
      <c r="M145">
        <v>0</v>
      </c>
      <c r="N145">
        <v>0</v>
      </c>
      <c r="O145">
        <v>0</v>
      </c>
      <c r="P145">
        <v>72.620400000000004</v>
      </c>
      <c r="Q145">
        <v>0.14124999999999999</v>
      </c>
      <c r="R145">
        <v>507.59809999999999</v>
      </c>
      <c r="S145">
        <v>8.4110999999999995E-3</v>
      </c>
      <c r="T145">
        <v>0.91839999999999999</v>
      </c>
      <c r="U145">
        <v>1.2168000000000001</v>
      </c>
      <c r="V145">
        <v>1.831</v>
      </c>
      <c r="W145">
        <v>8.7106000000000006E-3</v>
      </c>
      <c r="X145">
        <v>1.1105E-2</v>
      </c>
      <c r="Y145">
        <v>7.3550000000000004E-4</v>
      </c>
      <c r="Z145">
        <v>1.9855999999999999E-2</v>
      </c>
      <c r="AA145">
        <v>0.82047999999999999</v>
      </c>
      <c r="AB145">
        <v>1.244E-2</v>
      </c>
      <c r="AC145">
        <v>2.2545E-4</v>
      </c>
      <c r="AD145">
        <v>3.4245999999999999E-3</v>
      </c>
      <c r="AE145">
        <v>3.4816E-2</v>
      </c>
      <c r="AF145">
        <v>41.396700000000003</v>
      </c>
      <c r="AG145">
        <v>41.396700000000003</v>
      </c>
      <c r="AH145">
        <v>51.582099999999997</v>
      </c>
      <c r="AI145">
        <v>1.1006999999999999E-2</v>
      </c>
      <c r="AJ145">
        <v>441.68079999999998</v>
      </c>
      <c r="AK145">
        <v>8.8555999999999996E-2</v>
      </c>
      <c r="AL145">
        <v>27.4617</v>
      </c>
      <c r="AM145">
        <v>0</v>
      </c>
      <c r="AN145">
        <v>4.3537999999999997</v>
      </c>
      <c r="AO145">
        <v>0.40286</v>
      </c>
      <c r="AP145">
        <v>0.62368999999999997</v>
      </c>
      <c r="AQ145">
        <v>2.0830000000000001E-2</v>
      </c>
      <c r="AR145">
        <v>-1.8332999999999999</v>
      </c>
      <c r="AS145">
        <v>-203.27070000000001</v>
      </c>
    </row>
    <row r="146" spans="1:45">
      <c r="A146" t="s">
        <v>449</v>
      </c>
      <c r="B146">
        <v>283.40300000000002</v>
      </c>
      <c r="C146">
        <v>44.225000000000001</v>
      </c>
      <c r="D146" t="s">
        <v>450</v>
      </c>
      <c r="E146" t="s">
        <v>721</v>
      </c>
      <c r="F146">
        <v>3128.6104999999998</v>
      </c>
      <c r="G146">
        <v>2199.8879999999999</v>
      </c>
      <c r="H146">
        <v>31489.187900000001</v>
      </c>
      <c r="I146">
        <v>0.34842000000000001</v>
      </c>
      <c r="J146">
        <v>0.17377999999999999</v>
      </c>
      <c r="K146">
        <v>1.3794999999999999</v>
      </c>
      <c r="L146">
        <v>0.54225999999999996</v>
      </c>
      <c r="M146">
        <v>0</v>
      </c>
      <c r="N146">
        <v>0</v>
      </c>
      <c r="O146">
        <v>0</v>
      </c>
      <c r="P146">
        <v>23.905999999999999</v>
      </c>
      <c r="Q146">
        <v>0.21043000000000001</v>
      </c>
      <c r="R146">
        <v>90.963700000000003</v>
      </c>
      <c r="S146">
        <v>8.4110999999999995E-3</v>
      </c>
      <c r="T146">
        <v>0.16458</v>
      </c>
      <c r="U146">
        <v>0.21804999999999999</v>
      </c>
      <c r="V146">
        <v>1.831</v>
      </c>
      <c r="W146">
        <v>8.7106000000000006E-3</v>
      </c>
      <c r="X146">
        <v>1.1105E-2</v>
      </c>
      <c r="Y146">
        <v>7.3550000000000004E-4</v>
      </c>
      <c r="Z146">
        <v>1.9855999999999999E-2</v>
      </c>
      <c r="AA146">
        <v>0.82047999999999999</v>
      </c>
      <c r="AB146">
        <v>1.244E-2</v>
      </c>
      <c r="AC146">
        <v>2.2545E-4</v>
      </c>
      <c r="AD146">
        <v>3.4245999999999999E-3</v>
      </c>
      <c r="AE146">
        <v>3.4816E-2</v>
      </c>
      <c r="AF146">
        <v>7.4184999999999999</v>
      </c>
      <c r="AG146">
        <v>7.4184999999999999</v>
      </c>
      <c r="AH146">
        <v>9.2437000000000005</v>
      </c>
      <c r="AI146">
        <v>1.1006999999999999E-2</v>
      </c>
      <c r="AJ146">
        <v>441.68079999999998</v>
      </c>
      <c r="AK146">
        <v>8.8555999999999996E-2</v>
      </c>
      <c r="AL146">
        <v>5.0963000000000003</v>
      </c>
      <c r="AM146">
        <v>0</v>
      </c>
      <c r="AN146">
        <v>0.72160000000000002</v>
      </c>
      <c r="AO146">
        <v>0.40286</v>
      </c>
      <c r="AP146">
        <v>0.62368999999999997</v>
      </c>
      <c r="AQ146">
        <v>2.0830000000000001E-2</v>
      </c>
      <c r="AR146">
        <v>-1.8332999999999999</v>
      </c>
      <c r="AS146">
        <v>-203.27070000000001</v>
      </c>
    </row>
    <row r="147" spans="1:45">
      <c r="A147" t="s">
        <v>451</v>
      </c>
      <c r="B147">
        <v>282.46699999999998</v>
      </c>
      <c r="C147">
        <v>44.116999999999997</v>
      </c>
      <c r="D147" t="s">
        <v>452</v>
      </c>
      <c r="E147" t="s">
        <v>721</v>
      </c>
      <c r="F147">
        <v>3121.3444</v>
      </c>
      <c r="G147">
        <v>2184.9007999999999</v>
      </c>
      <c r="H147">
        <v>31375.9084</v>
      </c>
      <c r="I147">
        <v>0.34650999999999998</v>
      </c>
      <c r="J147">
        <v>0.27166000000000001</v>
      </c>
      <c r="K147">
        <v>1.3833</v>
      </c>
      <c r="L147">
        <v>0.54125999999999996</v>
      </c>
      <c r="M147">
        <v>0</v>
      </c>
      <c r="N147">
        <v>0</v>
      </c>
      <c r="O147">
        <v>0</v>
      </c>
      <c r="P147">
        <v>22.852599999999999</v>
      </c>
      <c r="Q147">
        <v>0.20055999999999999</v>
      </c>
      <c r="R147">
        <v>90.963700000000003</v>
      </c>
      <c r="S147">
        <v>8.4110999999999995E-3</v>
      </c>
      <c r="T147">
        <v>0.16458</v>
      </c>
      <c r="U147">
        <v>0.21804999999999999</v>
      </c>
      <c r="V147">
        <v>1.831</v>
      </c>
      <c r="W147">
        <v>8.7106000000000006E-3</v>
      </c>
      <c r="X147">
        <v>1.1105E-2</v>
      </c>
      <c r="Y147">
        <v>7.3550000000000004E-4</v>
      </c>
      <c r="Z147">
        <v>1.9855999999999999E-2</v>
      </c>
      <c r="AA147">
        <v>0.82047999999999999</v>
      </c>
      <c r="AB147">
        <v>1.244E-2</v>
      </c>
      <c r="AC147">
        <v>2.2545E-4</v>
      </c>
      <c r="AD147">
        <v>3.4245999999999999E-3</v>
      </c>
      <c r="AE147">
        <v>3.4816E-2</v>
      </c>
      <c r="AF147">
        <v>7.4184999999999999</v>
      </c>
      <c r="AG147">
        <v>7.4184999999999999</v>
      </c>
      <c r="AH147">
        <v>9.2437000000000005</v>
      </c>
      <c r="AI147">
        <v>1.1006999999999999E-2</v>
      </c>
      <c r="AJ147">
        <v>441.68079999999998</v>
      </c>
      <c r="AK147">
        <v>8.8555999999999996E-2</v>
      </c>
      <c r="AL147">
        <v>5.09</v>
      </c>
      <c r="AM147">
        <v>0</v>
      </c>
      <c r="AN147">
        <v>0.69338999999999995</v>
      </c>
      <c r="AO147">
        <v>0.40286</v>
      </c>
      <c r="AP147">
        <v>0.62368999999999997</v>
      </c>
      <c r="AQ147">
        <v>2.0830000000000001E-2</v>
      </c>
      <c r="AR147">
        <v>-1.8332999999999999</v>
      </c>
      <c r="AS147">
        <v>-203.27070000000001</v>
      </c>
    </row>
    <row r="148" spans="1:45">
      <c r="A148" t="s">
        <v>453</v>
      </c>
      <c r="B148">
        <v>278.846</v>
      </c>
      <c r="C148">
        <v>43.036000000000001</v>
      </c>
      <c r="D148" t="s">
        <v>454</v>
      </c>
      <c r="E148" t="s">
        <v>721</v>
      </c>
      <c r="F148">
        <v>3103.2552000000001</v>
      </c>
      <c r="G148">
        <v>2195.4758000000002</v>
      </c>
      <c r="H148">
        <v>31036.795300000002</v>
      </c>
      <c r="I148">
        <v>0.35882999999999998</v>
      </c>
      <c r="J148">
        <v>0.28127000000000002</v>
      </c>
      <c r="K148">
        <v>1.3632</v>
      </c>
      <c r="L148">
        <v>0.51595999999999997</v>
      </c>
      <c r="M148">
        <v>0</v>
      </c>
      <c r="N148">
        <v>0</v>
      </c>
      <c r="O148">
        <v>0</v>
      </c>
      <c r="P148">
        <v>23.544699999999999</v>
      </c>
      <c r="Q148">
        <v>0.20691999999999999</v>
      </c>
      <c r="R148">
        <v>90.963700000000003</v>
      </c>
      <c r="S148">
        <v>8.4110999999999995E-3</v>
      </c>
      <c r="T148">
        <v>0.16458</v>
      </c>
      <c r="U148">
        <v>0.21804999999999999</v>
      </c>
      <c r="V148">
        <v>1.831</v>
      </c>
      <c r="W148">
        <v>8.7106000000000006E-3</v>
      </c>
      <c r="X148">
        <v>1.1105E-2</v>
      </c>
      <c r="Y148">
        <v>7.3550000000000004E-4</v>
      </c>
      <c r="Z148">
        <v>1.9855999999999999E-2</v>
      </c>
      <c r="AA148">
        <v>0.82047999999999999</v>
      </c>
      <c r="AB148">
        <v>1.244E-2</v>
      </c>
      <c r="AC148">
        <v>2.2545E-4</v>
      </c>
      <c r="AD148">
        <v>3.4245999999999999E-3</v>
      </c>
      <c r="AE148">
        <v>3.4816E-2</v>
      </c>
      <c r="AF148">
        <v>7.4184999999999999</v>
      </c>
      <c r="AG148">
        <v>7.4184999999999999</v>
      </c>
      <c r="AH148">
        <v>9.2437000000000005</v>
      </c>
      <c r="AI148">
        <v>1.1006999999999999E-2</v>
      </c>
      <c r="AJ148">
        <v>441.68079999999998</v>
      </c>
      <c r="AK148">
        <v>8.8555999999999996E-2</v>
      </c>
      <c r="AL148">
        <v>5.0989000000000004</v>
      </c>
      <c r="AM148">
        <v>0</v>
      </c>
      <c r="AN148">
        <v>0.68128</v>
      </c>
      <c r="AO148">
        <v>0.40286</v>
      </c>
      <c r="AP148">
        <v>0.62368999999999997</v>
      </c>
      <c r="AQ148">
        <v>2.0830000000000001E-2</v>
      </c>
      <c r="AR148">
        <v>-1.8332999999999999</v>
      </c>
      <c r="AS148">
        <v>-203.27070000000001</v>
      </c>
    </row>
    <row r="149" spans="1:45">
      <c r="A149" t="s">
        <v>455</v>
      </c>
      <c r="B149">
        <v>282.68099999999998</v>
      </c>
      <c r="C149">
        <v>45.951999999999998</v>
      </c>
      <c r="D149" t="s">
        <v>456</v>
      </c>
      <c r="E149" t="s">
        <v>721</v>
      </c>
      <c r="F149">
        <v>3355.8573000000001</v>
      </c>
      <c r="G149">
        <v>2087.261</v>
      </c>
      <c r="H149">
        <v>35725.207600000002</v>
      </c>
      <c r="I149">
        <v>0.32244</v>
      </c>
      <c r="J149">
        <v>0.23230999999999999</v>
      </c>
      <c r="K149">
        <v>1.6898</v>
      </c>
      <c r="L149">
        <v>0.64154</v>
      </c>
      <c r="M149" s="156">
        <v>1.7336000000000001E-5</v>
      </c>
      <c r="N149">
        <v>0</v>
      </c>
      <c r="O149">
        <v>0</v>
      </c>
      <c r="P149">
        <v>16.594100000000001</v>
      </c>
      <c r="Q149">
        <v>0.16042000000000001</v>
      </c>
      <c r="R149">
        <v>90.963700000000003</v>
      </c>
      <c r="S149">
        <v>8.4110999999999995E-3</v>
      </c>
      <c r="T149">
        <v>0.16458</v>
      </c>
      <c r="U149">
        <v>0.21804999999999999</v>
      </c>
      <c r="V149">
        <v>1.831</v>
      </c>
      <c r="W149">
        <v>8.7106000000000006E-3</v>
      </c>
      <c r="X149">
        <v>1.1105E-2</v>
      </c>
      <c r="Y149">
        <v>7.3550000000000004E-4</v>
      </c>
      <c r="Z149">
        <v>1.9855999999999999E-2</v>
      </c>
      <c r="AA149">
        <v>0.82047999999999999</v>
      </c>
      <c r="AB149">
        <v>1.244E-2</v>
      </c>
      <c r="AC149">
        <v>2.2545E-4</v>
      </c>
      <c r="AD149">
        <v>3.4245999999999999E-3</v>
      </c>
      <c r="AE149">
        <v>3.4816E-2</v>
      </c>
      <c r="AF149">
        <v>7.4184999999999999</v>
      </c>
      <c r="AG149">
        <v>7.4184999999999999</v>
      </c>
      <c r="AH149">
        <v>9.2437000000000005</v>
      </c>
      <c r="AI149">
        <v>1.1006999999999999E-2</v>
      </c>
      <c r="AJ149">
        <v>441.68079999999998</v>
      </c>
      <c r="AK149">
        <v>8.8555999999999996E-2</v>
      </c>
      <c r="AL149">
        <v>4.6978999999999997</v>
      </c>
      <c r="AM149">
        <v>0</v>
      </c>
      <c r="AN149">
        <v>0.93318999999999996</v>
      </c>
      <c r="AO149">
        <v>0.40286</v>
      </c>
      <c r="AP149">
        <v>0.62368999999999997</v>
      </c>
      <c r="AQ149">
        <v>2.0830000000000001E-2</v>
      </c>
      <c r="AR149">
        <v>-1.8332999999999999</v>
      </c>
      <c r="AS149">
        <v>-203.27070000000001</v>
      </c>
    </row>
    <row r="150" spans="1:45">
      <c r="A150" t="s">
        <v>457</v>
      </c>
      <c r="B150">
        <v>286.267</v>
      </c>
      <c r="C150">
        <v>45.466999999999999</v>
      </c>
      <c r="D150" t="s">
        <v>458</v>
      </c>
      <c r="E150" t="s">
        <v>721</v>
      </c>
      <c r="F150">
        <v>3086.7084</v>
      </c>
      <c r="G150">
        <v>2129.4414000000002</v>
      </c>
      <c r="H150">
        <v>32775.166100000002</v>
      </c>
      <c r="I150">
        <v>0.30625999999999998</v>
      </c>
      <c r="J150">
        <v>7.0750999999999994E-2</v>
      </c>
      <c r="K150">
        <v>1.5012000000000001</v>
      </c>
      <c r="L150">
        <v>0.60380999999999996</v>
      </c>
      <c r="M150" s="156">
        <v>6.3949999999999996E-5</v>
      </c>
      <c r="N150" s="156">
        <v>2.6492999999999998E-7</v>
      </c>
      <c r="O150">
        <v>1.6948000000000001E-4</v>
      </c>
      <c r="P150">
        <v>4.3815999999999997</v>
      </c>
      <c r="Q150">
        <v>0.17054</v>
      </c>
      <c r="R150">
        <v>20.8062</v>
      </c>
      <c r="S150">
        <v>8.4110999999999995E-3</v>
      </c>
      <c r="T150">
        <v>3.7644999999999998E-2</v>
      </c>
      <c r="U150">
        <v>4.9875999999999997E-2</v>
      </c>
      <c r="V150">
        <v>1.831</v>
      </c>
      <c r="W150">
        <v>8.7106000000000006E-3</v>
      </c>
      <c r="X150">
        <v>1.1105E-2</v>
      </c>
      <c r="Y150">
        <v>7.3550000000000004E-4</v>
      </c>
      <c r="Z150">
        <v>1.9855999999999999E-2</v>
      </c>
      <c r="AA150">
        <v>0.82047999999999999</v>
      </c>
      <c r="AB150">
        <v>1.244E-2</v>
      </c>
      <c r="AC150">
        <v>2.2545E-4</v>
      </c>
      <c r="AD150">
        <v>3.4245999999999999E-3</v>
      </c>
      <c r="AE150">
        <v>3.4816E-2</v>
      </c>
      <c r="AF150">
        <v>1.6968000000000001</v>
      </c>
      <c r="AG150">
        <v>1.6968000000000001</v>
      </c>
      <c r="AH150">
        <v>2.1143000000000001</v>
      </c>
      <c r="AI150">
        <v>1.1006999999999999E-2</v>
      </c>
      <c r="AJ150">
        <v>441.68079999999998</v>
      </c>
      <c r="AK150">
        <v>8.8555999999999996E-2</v>
      </c>
      <c r="AL150">
        <v>1.1466000000000001</v>
      </c>
      <c r="AM150">
        <v>0</v>
      </c>
      <c r="AN150">
        <v>0.17501</v>
      </c>
      <c r="AO150">
        <v>0.40286</v>
      </c>
      <c r="AP150">
        <v>0.62368999999999997</v>
      </c>
      <c r="AQ150">
        <v>2.0830000000000001E-2</v>
      </c>
      <c r="AR150">
        <v>-1.8332999999999999</v>
      </c>
      <c r="AS150">
        <v>-203.27070000000001</v>
      </c>
    </row>
    <row r="151" spans="1:45">
      <c r="A151" t="s">
        <v>459</v>
      </c>
      <c r="B151">
        <v>282.25</v>
      </c>
      <c r="C151">
        <v>55.283000000000001</v>
      </c>
      <c r="D151" t="s">
        <v>460</v>
      </c>
      <c r="E151" t="s">
        <v>721</v>
      </c>
      <c r="F151">
        <v>4019.1660999999999</v>
      </c>
      <c r="G151">
        <v>1833.6466</v>
      </c>
      <c r="H151">
        <v>49686.381399999998</v>
      </c>
      <c r="I151">
        <v>0.27483000000000002</v>
      </c>
      <c r="J151">
        <v>0</v>
      </c>
      <c r="K151">
        <v>2.7214999999999998</v>
      </c>
      <c r="L151">
        <v>0.90805000000000002</v>
      </c>
      <c r="M151">
        <v>0</v>
      </c>
      <c r="N151">
        <v>0</v>
      </c>
      <c r="O151">
        <v>0</v>
      </c>
      <c r="P151">
        <v>0.16613</v>
      </c>
      <c r="Q151">
        <v>9.6740999999999997E-3</v>
      </c>
      <c r="R151">
        <v>20.8062</v>
      </c>
      <c r="S151">
        <v>8.4110999999999995E-3</v>
      </c>
      <c r="T151">
        <v>3.7644999999999998E-2</v>
      </c>
      <c r="U151">
        <v>4.9875999999999997E-2</v>
      </c>
      <c r="V151">
        <v>1.831</v>
      </c>
      <c r="W151">
        <v>8.7106000000000006E-3</v>
      </c>
      <c r="X151">
        <v>1.1105E-2</v>
      </c>
      <c r="Y151">
        <v>7.3550000000000004E-4</v>
      </c>
      <c r="Z151">
        <v>1.9855999999999999E-2</v>
      </c>
      <c r="AA151">
        <v>0.82047999999999999</v>
      </c>
      <c r="AB151">
        <v>1.244E-2</v>
      </c>
      <c r="AC151">
        <v>2.2545E-4</v>
      </c>
      <c r="AD151">
        <v>3.4245999999999999E-3</v>
      </c>
      <c r="AE151">
        <v>3.4816E-2</v>
      </c>
      <c r="AF151">
        <v>1.6968000000000001</v>
      </c>
      <c r="AG151">
        <v>1.6968000000000001</v>
      </c>
      <c r="AH151">
        <v>2.1143000000000001</v>
      </c>
      <c r="AI151">
        <v>1.1006999999999999E-2</v>
      </c>
      <c r="AJ151">
        <v>441.68079999999998</v>
      </c>
      <c r="AK151">
        <v>8.8555999999999996E-2</v>
      </c>
      <c r="AL151">
        <v>0.79469000000000001</v>
      </c>
      <c r="AM151">
        <v>0</v>
      </c>
      <c r="AN151">
        <v>0.34381</v>
      </c>
      <c r="AO151">
        <v>0.40286</v>
      </c>
      <c r="AP151">
        <v>0.62368999999999997</v>
      </c>
      <c r="AQ151">
        <v>2.0830000000000001E-2</v>
      </c>
      <c r="AR151">
        <v>-1.8332999999999999</v>
      </c>
      <c r="AS151">
        <v>-203.27070000000001</v>
      </c>
    </row>
    <row r="152" spans="1:45">
      <c r="A152" t="s">
        <v>461</v>
      </c>
      <c r="B152">
        <v>284.33100000000002</v>
      </c>
      <c r="C152">
        <v>45.323</v>
      </c>
      <c r="D152" t="s">
        <v>462</v>
      </c>
      <c r="E152" t="s">
        <v>721</v>
      </c>
      <c r="F152">
        <v>3266.8631999999998</v>
      </c>
      <c r="G152">
        <v>2129.6017999999999</v>
      </c>
      <c r="H152">
        <v>34068.409399999997</v>
      </c>
      <c r="I152">
        <v>0.32834999999999998</v>
      </c>
      <c r="J152">
        <v>0.29474</v>
      </c>
      <c r="K152">
        <v>1.57</v>
      </c>
      <c r="L152">
        <v>0.60899000000000003</v>
      </c>
      <c r="M152" s="156">
        <v>1.2261E-5</v>
      </c>
      <c r="N152">
        <v>0</v>
      </c>
      <c r="O152">
        <v>0</v>
      </c>
      <c r="P152">
        <v>19.258400000000002</v>
      </c>
      <c r="Q152">
        <v>0.17638999999999999</v>
      </c>
      <c r="R152">
        <v>90.963700000000003</v>
      </c>
      <c r="S152">
        <v>8.4110999999999995E-3</v>
      </c>
      <c r="T152">
        <v>0.16458</v>
      </c>
      <c r="U152">
        <v>0.21804999999999999</v>
      </c>
      <c r="V152">
        <v>1.831</v>
      </c>
      <c r="W152">
        <v>8.7106000000000006E-3</v>
      </c>
      <c r="X152">
        <v>1.1105E-2</v>
      </c>
      <c r="Y152">
        <v>7.3550000000000004E-4</v>
      </c>
      <c r="Z152">
        <v>1.9855999999999999E-2</v>
      </c>
      <c r="AA152">
        <v>0.82047999999999999</v>
      </c>
      <c r="AB152">
        <v>1.244E-2</v>
      </c>
      <c r="AC152">
        <v>2.2545E-4</v>
      </c>
      <c r="AD152">
        <v>3.4245999999999999E-3</v>
      </c>
      <c r="AE152">
        <v>3.4816E-2</v>
      </c>
      <c r="AF152">
        <v>7.4184999999999999</v>
      </c>
      <c r="AG152">
        <v>7.4184999999999999</v>
      </c>
      <c r="AH152">
        <v>9.2437000000000005</v>
      </c>
      <c r="AI152">
        <v>1.1006999999999999E-2</v>
      </c>
      <c r="AJ152">
        <v>441.68079999999998</v>
      </c>
      <c r="AK152">
        <v>8.8555999999999996E-2</v>
      </c>
      <c r="AL152">
        <v>4.9005000000000001</v>
      </c>
      <c r="AM152">
        <v>0</v>
      </c>
      <c r="AN152">
        <v>0.80093999999999999</v>
      </c>
      <c r="AO152">
        <v>0.40286</v>
      </c>
      <c r="AP152">
        <v>0.62368999999999997</v>
      </c>
      <c r="AQ152">
        <v>2.0830000000000001E-2</v>
      </c>
      <c r="AR152">
        <v>-1.8332999999999999</v>
      </c>
      <c r="AS152">
        <v>-203.27070000000001</v>
      </c>
    </row>
    <row r="153" spans="1:45">
      <c r="A153" t="s">
        <v>463</v>
      </c>
      <c r="B153">
        <v>278.89999999999998</v>
      </c>
      <c r="C153">
        <v>44.75</v>
      </c>
      <c r="D153" t="s">
        <v>464</v>
      </c>
      <c r="E153" t="s">
        <v>721</v>
      </c>
      <c r="F153">
        <v>3180.5981999999999</v>
      </c>
      <c r="G153">
        <v>2107.8193999999999</v>
      </c>
      <c r="H153">
        <v>32537.327499999999</v>
      </c>
      <c r="I153">
        <v>0.37540000000000001</v>
      </c>
      <c r="J153">
        <v>9.4894999999999993E-2</v>
      </c>
      <c r="K153">
        <v>1.4610000000000001</v>
      </c>
      <c r="L153">
        <v>0.55259999999999998</v>
      </c>
      <c r="M153">
        <v>0</v>
      </c>
      <c r="N153">
        <v>0</v>
      </c>
      <c r="O153">
        <v>0</v>
      </c>
      <c r="P153">
        <v>17.946300000000001</v>
      </c>
      <c r="Q153">
        <v>0.17415</v>
      </c>
      <c r="R153">
        <v>90.963700000000003</v>
      </c>
      <c r="S153">
        <v>8.4110999999999995E-3</v>
      </c>
      <c r="T153">
        <v>0.16458</v>
      </c>
      <c r="U153">
        <v>0.21804999999999999</v>
      </c>
      <c r="V153">
        <v>1.831</v>
      </c>
      <c r="W153">
        <v>8.7106000000000006E-3</v>
      </c>
      <c r="X153">
        <v>1.1105E-2</v>
      </c>
      <c r="Y153">
        <v>7.3550000000000004E-4</v>
      </c>
      <c r="Z153">
        <v>1.9855999999999999E-2</v>
      </c>
      <c r="AA153">
        <v>0.82047999999999999</v>
      </c>
      <c r="AB153">
        <v>1.244E-2</v>
      </c>
      <c r="AC153">
        <v>2.2545E-4</v>
      </c>
      <c r="AD153">
        <v>3.4245999999999999E-3</v>
      </c>
      <c r="AE153">
        <v>3.4816E-2</v>
      </c>
      <c r="AF153">
        <v>7.4184999999999999</v>
      </c>
      <c r="AG153">
        <v>7.4184999999999999</v>
      </c>
      <c r="AH153">
        <v>9.2437000000000005</v>
      </c>
      <c r="AI153">
        <v>1.1006999999999999E-2</v>
      </c>
      <c r="AJ153">
        <v>441.68079999999998</v>
      </c>
      <c r="AK153">
        <v>8.8555999999999996E-2</v>
      </c>
      <c r="AL153">
        <v>5.0260999999999996</v>
      </c>
      <c r="AM153">
        <v>0</v>
      </c>
      <c r="AN153">
        <v>0.74833000000000005</v>
      </c>
      <c r="AO153">
        <v>0.40286</v>
      </c>
      <c r="AP153">
        <v>0.62368999999999997</v>
      </c>
      <c r="AQ153">
        <v>2.0830000000000001E-2</v>
      </c>
      <c r="AR153">
        <v>-1.8332999999999999</v>
      </c>
      <c r="AS153">
        <v>-203.27070000000001</v>
      </c>
    </row>
    <row r="154" spans="1:45">
      <c r="A154" t="s">
        <v>465</v>
      </c>
      <c r="B154">
        <v>293.46699999999998</v>
      </c>
      <c r="C154">
        <v>45.866999999999997</v>
      </c>
      <c r="D154" t="s">
        <v>466</v>
      </c>
      <c r="E154" t="s">
        <v>721</v>
      </c>
      <c r="F154">
        <v>3909.1878999999999</v>
      </c>
      <c r="G154">
        <v>2067.4517000000001</v>
      </c>
      <c r="H154">
        <v>34445.311399999999</v>
      </c>
      <c r="I154">
        <v>0.34922999999999998</v>
      </c>
      <c r="J154">
        <v>1.1420999999999999</v>
      </c>
      <c r="K154">
        <v>1.6022000000000001</v>
      </c>
      <c r="L154">
        <v>0.61482000000000003</v>
      </c>
      <c r="M154" s="156">
        <v>6.8591000000000001E-6</v>
      </c>
      <c r="N154">
        <v>0</v>
      </c>
      <c r="O154">
        <v>0</v>
      </c>
      <c r="P154">
        <v>85.385599999999997</v>
      </c>
      <c r="Q154">
        <v>0.14717</v>
      </c>
      <c r="R154">
        <v>507.59809999999999</v>
      </c>
      <c r="S154">
        <v>8.4110999999999995E-3</v>
      </c>
      <c r="T154">
        <v>0.91839999999999999</v>
      </c>
      <c r="U154">
        <v>1.2168000000000001</v>
      </c>
      <c r="V154">
        <v>1.831</v>
      </c>
      <c r="W154">
        <v>8.7106000000000006E-3</v>
      </c>
      <c r="X154">
        <v>1.1105E-2</v>
      </c>
      <c r="Y154">
        <v>7.3550000000000004E-4</v>
      </c>
      <c r="Z154">
        <v>1.9855999999999999E-2</v>
      </c>
      <c r="AA154">
        <v>0.82047999999999999</v>
      </c>
      <c r="AB154">
        <v>1.244E-2</v>
      </c>
      <c r="AC154">
        <v>2.2545E-4</v>
      </c>
      <c r="AD154">
        <v>3.4245999999999999E-3</v>
      </c>
      <c r="AE154">
        <v>3.4816E-2</v>
      </c>
      <c r="AF154">
        <v>41.396700000000003</v>
      </c>
      <c r="AG154">
        <v>41.396700000000003</v>
      </c>
      <c r="AH154">
        <v>51.582099999999997</v>
      </c>
      <c r="AI154">
        <v>1.1006999999999999E-2</v>
      </c>
      <c r="AJ154">
        <v>441.68079999999998</v>
      </c>
      <c r="AK154">
        <v>8.8555999999999996E-2</v>
      </c>
      <c r="AL154">
        <v>27.183800000000002</v>
      </c>
      <c r="AM154">
        <v>0</v>
      </c>
      <c r="AN154">
        <v>4.3042999999999996</v>
      </c>
      <c r="AO154">
        <v>0.40286</v>
      </c>
      <c r="AP154">
        <v>0.62368999999999997</v>
      </c>
      <c r="AQ154">
        <v>2.0830000000000001E-2</v>
      </c>
      <c r="AR154">
        <v>-1.8332999999999999</v>
      </c>
      <c r="AS154">
        <v>-203.27070000000001</v>
      </c>
    </row>
    <row r="155" spans="1:45">
      <c r="A155" t="s">
        <v>467</v>
      </c>
      <c r="B155">
        <v>295.32100000000003</v>
      </c>
      <c r="C155">
        <v>46.112000000000002</v>
      </c>
      <c r="D155" t="s">
        <v>468</v>
      </c>
      <c r="E155" t="s">
        <v>721</v>
      </c>
      <c r="F155">
        <v>3902.3982999999998</v>
      </c>
      <c r="G155">
        <v>2073.1821</v>
      </c>
      <c r="H155">
        <v>34284.634599999998</v>
      </c>
      <c r="I155">
        <v>0.36920999999999998</v>
      </c>
      <c r="J155">
        <v>0.79990000000000006</v>
      </c>
      <c r="K155">
        <v>1.5811999999999999</v>
      </c>
      <c r="L155">
        <v>0.59965999999999997</v>
      </c>
      <c r="M155">
        <v>0</v>
      </c>
      <c r="N155">
        <v>0</v>
      </c>
      <c r="O155">
        <v>0</v>
      </c>
      <c r="P155">
        <v>87.491900000000001</v>
      </c>
      <c r="Q155">
        <v>0.15073</v>
      </c>
      <c r="R155">
        <v>507.59809999999999</v>
      </c>
      <c r="S155">
        <v>8.4110999999999995E-3</v>
      </c>
      <c r="T155">
        <v>0.91839999999999999</v>
      </c>
      <c r="U155">
        <v>1.2168000000000001</v>
      </c>
      <c r="V155">
        <v>1.831</v>
      </c>
      <c r="W155">
        <v>8.7106000000000006E-3</v>
      </c>
      <c r="X155">
        <v>1.1105E-2</v>
      </c>
      <c r="Y155">
        <v>7.3550000000000004E-4</v>
      </c>
      <c r="Z155">
        <v>1.9855999999999999E-2</v>
      </c>
      <c r="AA155">
        <v>0.82047999999999999</v>
      </c>
      <c r="AB155">
        <v>1.244E-2</v>
      </c>
      <c r="AC155">
        <v>2.2545E-4</v>
      </c>
      <c r="AD155">
        <v>3.4245999999999999E-3</v>
      </c>
      <c r="AE155">
        <v>3.4816E-2</v>
      </c>
      <c r="AF155">
        <v>41.396700000000003</v>
      </c>
      <c r="AG155">
        <v>41.396700000000003</v>
      </c>
      <c r="AH155">
        <v>51.582099999999997</v>
      </c>
      <c r="AI155">
        <v>1.1006999999999999E-2</v>
      </c>
      <c r="AJ155">
        <v>441.68079999999998</v>
      </c>
      <c r="AK155">
        <v>8.8555999999999996E-2</v>
      </c>
      <c r="AL155">
        <v>27.529499999999999</v>
      </c>
      <c r="AM155">
        <v>0</v>
      </c>
      <c r="AN155">
        <v>4.3070000000000004</v>
      </c>
      <c r="AO155">
        <v>0.40286</v>
      </c>
      <c r="AP155">
        <v>0.62368999999999997</v>
      </c>
      <c r="AQ155">
        <v>2.0830000000000001E-2</v>
      </c>
      <c r="AR155">
        <v>-1.8332999999999999</v>
      </c>
      <c r="AS155">
        <v>-203.27070000000001</v>
      </c>
    </row>
    <row r="156" spans="1:45">
      <c r="A156" t="s">
        <v>469</v>
      </c>
      <c r="B156">
        <v>296.86700000000002</v>
      </c>
      <c r="C156">
        <v>46.283000000000001</v>
      </c>
      <c r="D156" t="s">
        <v>470</v>
      </c>
      <c r="E156" t="s">
        <v>721</v>
      </c>
      <c r="F156">
        <v>3132.5043000000001</v>
      </c>
      <c r="G156">
        <v>2070.9222</v>
      </c>
      <c r="H156">
        <v>33492.505499999999</v>
      </c>
      <c r="I156">
        <v>0.38815</v>
      </c>
      <c r="J156">
        <v>2.0302000000000001E-2</v>
      </c>
      <c r="K156">
        <v>1.5245</v>
      </c>
      <c r="L156">
        <v>0.57094999999999996</v>
      </c>
      <c r="M156">
        <v>0</v>
      </c>
      <c r="N156">
        <v>0</v>
      </c>
      <c r="O156">
        <v>0</v>
      </c>
      <c r="P156">
        <v>4.3432000000000004</v>
      </c>
      <c r="Q156">
        <v>0.15478</v>
      </c>
      <c r="R156">
        <v>25.4191</v>
      </c>
      <c r="S156">
        <v>8.4110999999999995E-3</v>
      </c>
      <c r="T156">
        <v>4.5990999999999997E-2</v>
      </c>
      <c r="U156">
        <v>6.0934000000000002E-2</v>
      </c>
      <c r="V156">
        <v>1.831</v>
      </c>
      <c r="W156">
        <v>8.7106000000000006E-3</v>
      </c>
      <c r="X156">
        <v>1.1105E-2</v>
      </c>
      <c r="Y156">
        <v>7.3550000000000004E-4</v>
      </c>
      <c r="Z156">
        <v>1.9855999999999999E-2</v>
      </c>
      <c r="AA156">
        <v>0.82047999999999999</v>
      </c>
      <c r="AB156">
        <v>1.244E-2</v>
      </c>
      <c r="AC156">
        <v>2.2545E-4</v>
      </c>
      <c r="AD156">
        <v>3.4245999999999999E-3</v>
      </c>
      <c r="AE156">
        <v>3.4816E-2</v>
      </c>
      <c r="AF156">
        <v>2.073</v>
      </c>
      <c r="AG156">
        <v>2.073</v>
      </c>
      <c r="AH156">
        <v>2.5831</v>
      </c>
      <c r="AI156">
        <v>1.1006999999999999E-2</v>
      </c>
      <c r="AJ156">
        <v>441.68079999999998</v>
      </c>
      <c r="AK156">
        <v>8.8555999999999996E-2</v>
      </c>
      <c r="AL156">
        <v>1.3952</v>
      </c>
      <c r="AM156">
        <v>0</v>
      </c>
      <c r="AN156">
        <v>0.21529999999999999</v>
      </c>
      <c r="AO156">
        <v>0.40286</v>
      </c>
      <c r="AP156">
        <v>0.62368999999999997</v>
      </c>
      <c r="AQ156">
        <v>2.0830000000000001E-2</v>
      </c>
      <c r="AR156">
        <v>-1.8332999999999999</v>
      </c>
      <c r="AS156">
        <v>-203.27070000000001</v>
      </c>
    </row>
    <row r="157" spans="1:45">
      <c r="A157" t="s">
        <v>472</v>
      </c>
      <c r="B157">
        <v>299.95</v>
      </c>
      <c r="C157">
        <v>46.167000000000002</v>
      </c>
      <c r="D157" t="s">
        <v>473</v>
      </c>
      <c r="E157" t="s">
        <v>721</v>
      </c>
      <c r="F157">
        <v>4985.2776999999996</v>
      </c>
      <c r="G157">
        <v>2048.6035999999999</v>
      </c>
      <c r="H157">
        <v>33063.912400000001</v>
      </c>
      <c r="I157">
        <v>0.38492999999999999</v>
      </c>
      <c r="J157">
        <v>0.77971999999999997</v>
      </c>
      <c r="K157">
        <v>1.5135000000000001</v>
      </c>
      <c r="L157">
        <v>0.55647999999999997</v>
      </c>
      <c r="M157">
        <v>0</v>
      </c>
      <c r="N157">
        <v>0</v>
      </c>
      <c r="O157">
        <v>0</v>
      </c>
      <c r="P157">
        <v>199.40799999999999</v>
      </c>
      <c r="Q157">
        <v>0.14974000000000001</v>
      </c>
      <c r="R157">
        <v>1287.0130999999999</v>
      </c>
      <c r="S157">
        <v>8.4110999999999995E-3</v>
      </c>
      <c r="T157">
        <v>2.3285999999999998</v>
      </c>
      <c r="U157">
        <v>3.0851999999999999</v>
      </c>
      <c r="V157">
        <v>1.831</v>
      </c>
      <c r="W157">
        <v>8.7106000000000006E-3</v>
      </c>
      <c r="X157">
        <v>1.1105E-2</v>
      </c>
      <c r="Y157">
        <v>7.3550000000000004E-4</v>
      </c>
      <c r="Z157">
        <v>1.9855999999999999E-2</v>
      </c>
      <c r="AA157">
        <v>0.82047999999999999</v>
      </c>
      <c r="AB157">
        <v>1.244E-2</v>
      </c>
      <c r="AC157">
        <v>2.2545E-4</v>
      </c>
      <c r="AD157">
        <v>3.4245999999999999E-3</v>
      </c>
      <c r="AE157">
        <v>3.4816E-2</v>
      </c>
      <c r="AF157">
        <v>104.96120000000001</v>
      </c>
      <c r="AG157">
        <v>104.96120000000001</v>
      </c>
      <c r="AH157">
        <v>130.78630000000001</v>
      </c>
      <c r="AI157">
        <v>1.1006999999999999E-2</v>
      </c>
      <c r="AJ157">
        <v>441.68079999999998</v>
      </c>
      <c r="AK157">
        <v>8.8555999999999996E-2</v>
      </c>
      <c r="AL157">
        <v>70.897300000000001</v>
      </c>
      <c r="AM157">
        <v>0</v>
      </c>
      <c r="AN157">
        <v>10.5273</v>
      </c>
      <c r="AO157">
        <v>0.40286</v>
      </c>
      <c r="AP157">
        <v>0.62368999999999997</v>
      </c>
      <c r="AQ157">
        <v>2.0830000000000001E-2</v>
      </c>
      <c r="AR157">
        <v>-1.8332999999999999</v>
      </c>
      <c r="AS157">
        <v>-203.27070000000001</v>
      </c>
    </row>
    <row r="158" spans="1:45">
      <c r="A158" t="s">
        <v>474</v>
      </c>
      <c r="B158">
        <v>288.60700000000003</v>
      </c>
      <c r="C158">
        <v>46.790999999999997</v>
      </c>
      <c r="D158" t="s">
        <v>475</v>
      </c>
      <c r="E158" t="s">
        <v>721</v>
      </c>
      <c r="F158">
        <v>3286.1878999999999</v>
      </c>
      <c r="G158">
        <v>2069.8773999999999</v>
      </c>
      <c r="H158">
        <v>36391.947200000002</v>
      </c>
      <c r="I158">
        <v>0.33437</v>
      </c>
      <c r="J158">
        <v>2.8275999999999999E-2</v>
      </c>
      <c r="K158">
        <v>1.7269000000000001</v>
      </c>
      <c r="L158">
        <v>0.65376000000000001</v>
      </c>
      <c r="M158" s="156">
        <v>1.5725E-6</v>
      </c>
      <c r="N158">
        <v>0</v>
      </c>
      <c r="O158">
        <v>0</v>
      </c>
      <c r="P158">
        <v>3.5607000000000002</v>
      </c>
      <c r="Q158">
        <v>0.15176000000000001</v>
      </c>
      <c r="R158">
        <v>20.8062</v>
      </c>
      <c r="S158">
        <v>8.4110999999999995E-3</v>
      </c>
      <c r="T158">
        <v>3.7644999999999998E-2</v>
      </c>
      <c r="U158">
        <v>4.9875999999999997E-2</v>
      </c>
      <c r="V158">
        <v>1.831</v>
      </c>
      <c r="W158">
        <v>8.7106000000000006E-3</v>
      </c>
      <c r="X158">
        <v>1.1105E-2</v>
      </c>
      <c r="Y158">
        <v>7.3550000000000004E-4</v>
      </c>
      <c r="Z158">
        <v>1.9855999999999999E-2</v>
      </c>
      <c r="AA158">
        <v>0.82047999999999999</v>
      </c>
      <c r="AB158">
        <v>1.244E-2</v>
      </c>
      <c r="AC158">
        <v>2.2545E-4</v>
      </c>
      <c r="AD158">
        <v>3.4245999999999999E-3</v>
      </c>
      <c r="AE158">
        <v>3.4816E-2</v>
      </c>
      <c r="AF158">
        <v>1.6968000000000001</v>
      </c>
      <c r="AG158">
        <v>1.6968000000000001</v>
      </c>
      <c r="AH158">
        <v>2.1143000000000001</v>
      </c>
      <c r="AI158">
        <v>1.1006999999999999E-2</v>
      </c>
      <c r="AJ158">
        <v>441.68079999999998</v>
      </c>
      <c r="AK158">
        <v>8.8555999999999996E-2</v>
      </c>
      <c r="AL158">
        <v>1.0773999999999999</v>
      </c>
      <c r="AM158">
        <v>0</v>
      </c>
      <c r="AN158">
        <v>0.20766999999999999</v>
      </c>
      <c r="AO158">
        <v>0.40286</v>
      </c>
      <c r="AP158">
        <v>0.62368999999999997</v>
      </c>
      <c r="AQ158">
        <v>2.0830000000000001E-2</v>
      </c>
      <c r="AR158">
        <v>-1.8332999999999999</v>
      </c>
      <c r="AS158">
        <v>-203.27070000000001</v>
      </c>
    </row>
    <row r="159" spans="1:45">
      <c r="A159" t="s">
        <v>722</v>
      </c>
      <c r="B159">
        <v>288.61700000000002</v>
      </c>
      <c r="C159">
        <v>46.783000000000001</v>
      </c>
      <c r="D159" t="s">
        <v>723</v>
      </c>
      <c r="E159" t="s">
        <v>721</v>
      </c>
      <c r="F159">
        <v>3294.0322999999999</v>
      </c>
      <c r="G159">
        <v>2055.8757999999998</v>
      </c>
      <c r="H159">
        <v>36537.355499999998</v>
      </c>
      <c r="I159">
        <v>0.33744000000000002</v>
      </c>
      <c r="J159">
        <v>2.5772E-2</v>
      </c>
      <c r="K159">
        <v>1.7393000000000001</v>
      </c>
      <c r="L159">
        <v>0.65347</v>
      </c>
      <c r="M159" s="156">
        <v>9.8256999999999998E-6</v>
      </c>
      <c r="N159">
        <v>0</v>
      </c>
      <c r="O159">
        <v>0</v>
      </c>
      <c r="P159">
        <v>3.3472</v>
      </c>
      <c r="Q159">
        <v>0.14802999999999999</v>
      </c>
      <c r="R159">
        <v>20.8062</v>
      </c>
      <c r="S159">
        <v>8.4110999999999995E-3</v>
      </c>
      <c r="T159">
        <v>3.7644999999999998E-2</v>
      </c>
      <c r="U159">
        <v>4.9875999999999997E-2</v>
      </c>
      <c r="V159">
        <v>1.831</v>
      </c>
      <c r="W159">
        <v>8.7106000000000006E-3</v>
      </c>
      <c r="X159">
        <v>1.1105E-2</v>
      </c>
      <c r="Y159">
        <v>7.3550000000000004E-4</v>
      </c>
      <c r="Z159">
        <v>1.9855999999999999E-2</v>
      </c>
      <c r="AA159">
        <v>0.82047999999999999</v>
      </c>
      <c r="AB159">
        <v>1.244E-2</v>
      </c>
      <c r="AC159">
        <v>2.2545E-4</v>
      </c>
      <c r="AD159">
        <v>3.4245999999999999E-3</v>
      </c>
      <c r="AE159">
        <v>3.4816E-2</v>
      </c>
      <c r="AF159">
        <v>1.6968000000000001</v>
      </c>
      <c r="AG159">
        <v>1.6968000000000001</v>
      </c>
      <c r="AH159">
        <v>2.1143000000000001</v>
      </c>
      <c r="AI159">
        <v>1.1006999999999999E-2</v>
      </c>
      <c r="AJ159">
        <v>441.68079999999998</v>
      </c>
      <c r="AK159">
        <v>8.8555999999999996E-2</v>
      </c>
      <c r="AL159">
        <v>1.0692999999999999</v>
      </c>
      <c r="AM159">
        <v>0</v>
      </c>
      <c r="AN159">
        <v>0.22020000000000001</v>
      </c>
      <c r="AO159">
        <v>0.40286</v>
      </c>
      <c r="AP159">
        <v>0.62368999999999997</v>
      </c>
      <c r="AQ159">
        <v>2.0830000000000001E-2</v>
      </c>
      <c r="AR159">
        <v>-1.8332999999999999</v>
      </c>
      <c r="AS159">
        <v>-203.27070000000001</v>
      </c>
    </row>
    <row r="160" spans="1:45">
      <c r="A160" t="s">
        <v>476</v>
      </c>
      <c r="B160">
        <v>291.78300000000002</v>
      </c>
      <c r="C160">
        <v>48.6</v>
      </c>
      <c r="D160" t="s">
        <v>477</v>
      </c>
      <c r="E160" t="s">
        <v>721</v>
      </c>
      <c r="F160">
        <v>3336.1763000000001</v>
      </c>
      <c r="G160">
        <v>1958.9059999999999</v>
      </c>
      <c r="H160">
        <v>37324.486700000001</v>
      </c>
      <c r="I160">
        <v>0.34217999999999998</v>
      </c>
      <c r="J160">
        <v>3.0747000000000001E-3</v>
      </c>
      <c r="K160">
        <v>1.8171999999999999</v>
      </c>
      <c r="L160">
        <v>0.68520000000000003</v>
      </c>
      <c r="M160">
        <v>0</v>
      </c>
      <c r="N160">
        <v>0</v>
      </c>
      <c r="O160">
        <v>0</v>
      </c>
      <c r="P160">
        <v>1.8908</v>
      </c>
      <c r="Q160">
        <v>9.5643000000000006E-2</v>
      </c>
      <c r="R160">
        <v>20.8062</v>
      </c>
      <c r="S160">
        <v>8.4110999999999995E-3</v>
      </c>
      <c r="T160">
        <v>3.7644999999999998E-2</v>
      </c>
      <c r="U160">
        <v>4.9875999999999997E-2</v>
      </c>
      <c r="V160">
        <v>1.831</v>
      </c>
      <c r="W160">
        <v>8.7106000000000006E-3</v>
      </c>
      <c r="X160">
        <v>1.1105E-2</v>
      </c>
      <c r="Y160">
        <v>7.3550000000000004E-4</v>
      </c>
      <c r="Z160">
        <v>1.9855999999999999E-2</v>
      </c>
      <c r="AA160">
        <v>0.82047999999999999</v>
      </c>
      <c r="AB160">
        <v>1.244E-2</v>
      </c>
      <c r="AC160">
        <v>2.2545E-4</v>
      </c>
      <c r="AD160">
        <v>3.4245999999999999E-3</v>
      </c>
      <c r="AE160">
        <v>3.4816E-2</v>
      </c>
      <c r="AF160">
        <v>1.6968000000000001</v>
      </c>
      <c r="AG160">
        <v>1.6968000000000001</v>
      </c>
      <c r="AH160">
        <v>2.1143000000000001</v>
      </c>
      <c r="AI160">
        <v>1.1006999999999999E-2</v>
      </c>
      <c r="AJ160">
        <v>441.68079999999998</v>
      </c>
      <c r="AK160">
        <v>8.8555999999999996E-2</v>
      </c>
      <c r="AL160">
        <v>1.0809</v>
      </c>
      <c r="AM160">
        <v>0</v>
      </c>
      <c r="AN160">
        <v>0.22258</v>
      </c>
      <c r="AO160">
        <v>0.40286</v>
      </c>
      <c r="AP160">
        <v>0.62368999999999997</v>
      </c>
      <c r="AQ160">
        <v>2.0830000000000001E-2</v>
      </c>
      <c r="AR160">
        <v>-1.8332999999999999</v>
      </c>
      <c r="AS160">
        <v>-203.27070000000001</v>
      </c>
    </row>
    <row r="161" spans="1:45">
      <c r="A161" t="s">
        <v>478</v>
      </c>
      <c r="B161">
        <v>282.21699999999998</v>
      </c>
      <c r="C161">
        <v>48.052999999999997</v>
      </c>
      <c r="D161" t="s">
        <v>479</v>
      </c>
      <c r="E161" t="s">
        <v>721</v>
      </c>
      <c r="F161">
        <v>3486.7689999999998</v>
      </c>
      <c r="G161">
        <v>1922.5065</v>
      </c>
      <c r="H161">
        <v>40052.560100000002</v>
      </c>
      <c r="I161">
        <v>0.30802000000000002</v>
      </c>
      <c r="J161">
        <v>2.0378E-2</v>
      </c>
      <c r="K161">
        <v>2.0539999999999998</v>
      </c>
      <c r="L161">
        <v>0.72299000000000002</v>
      </c>
      <c r="M161">
        <v>1.091E-4</v>
      </c>
      <c r="N161" s="156">
        <v>3.3206E-6</v>
      </c>
      <c r="O161">
        <v>2.374E-4</v>
      </c>
      <c r="P161">
        <v>1.4049</v>
      </c>
      <c r="Q161">
        <v>7.0005999999999999E-2</v>
      </c>
      <c r="R161">
        <v>20.8062</v>
      </c>
      <c r="S161">
        <v>8.4110999999999995E-3</v>
      </c>
      <c r="T161">
        <v>3.7644999999999998E-2</v>
      </c>
      <c r="U161">
        <v>4.9875999999999997E-2</v>
      </c>
      <c r="V161">
        <v>1.831</v>
      </c>
      <c r="W161">
        <v>8.7106000000000006E-3</v>
      </c>
      <c r="X161">
        <v>1.1105E-2</v>
      </c>
      <c r="Y161">
        <v>7.3550000000000004E-4</v>
      </c>
      <c r="Z161">
        <v>1.9855999999999999E-2</v>
      </c>
      <c r="AA161">
        <v>0.82047999999999999</v>
      </c>
      <c r="AB161">
        <v>1.244E-2</v>
      </c>
      <c r="AC161">
        <v>2.2545E-4</v>
      </c>
      <c r="AD161">
        <v>3.4245999999999999E-3</v>
      </c>
      <c r="AE161">
        <v>3.4816E-2</v>
      </c>
      <c r="AF161">
        <v>1.6968000000000001</v>
      </c>
      <c r="AG161">
        <v>1.6968000000000001</v>
      </c>
      <c r="AH161">
        <v>2.1143000000000001</v>
      </c>
      <c r="AI161">
        <v>1.1006999999999999E-2</v>
      </c>
      <c r="AJ161">
        <v>441.68079999999998</v>
      </c>
      <c r="AK161">
        <v>8.8555999999999996E-2</v>
      </c>
      <c r="AL161">
        <v>0.95752000000000004</v>
      </c>
      <c r="AM161">
        <v>0</v>
      </c>
      <c r="AN161">
        <v>0.26423000000000002</v>
      </c>
      <c r="AO161">
        <v>0.40286</v>
      </c>
      <c r="AP161">
        <v>0.62368999999999997</v>
      </c>
      <c r="AQ161">
        <v>2.0830000000000001E-2</v>
      </c>
      <c r="AR161">
        <v>-1.8332999999999999</v>
      </c>
      <c r="AS161">
        <v>-203.27070000000001</v>
      </c>
    </row>
    <row r="162" spans="1:45">
      <c r="A162" t="s">
        <v>480</v>
      </c>
      <c r="B162">
        <v>281.16399999999999</v>
      </c>
      <c r="C162">
        <v>48.206000000000003</v>
      </c>
      <c r="D162" t="s">
        <v>481</v>
      </c>
      <c r="E162" t="s">
        <v>721</v>
      </c>
      <c r="F162">
        <v>3525.7363</v>
      </c>
      <c r="G162">
        <v>1929.8364999999999</v>
      </c>
      <c r="H162">
        <v>40753.907599999999</v>
      </c>
      <c r="I162">
        <v>0.27733999999999998</v>
      </c>
      <c r="J162">
        <v>1.6848999999999999E-2</v>
      </c>
      <c r="K162">
        <v>2.1103999999999998</v>
      </c>
      <c r="L162">
        <v>0.74924999999999997</v>
      </c>
      <c r="M162" s="156">
        <v>3.9644999999999997E-5</v>
      </c>
      <c r="N162" s="156">
        <v>2.7052E-6</v>
      </c>
      <c r="O162">
        <v>5.4266000000000004E-4</v>
      </c>
      <c r="P162">
        <v>1.5338000000000001</v>
      </c>
      <c r="Q162">
        <v>7.3376999999999998E-2</v>
      </c>
      <c r="R162">
        <v>20.8062</v>
      </c>
      <c r="S162">
        <v>8.4110999999999995E-3</v>
      </c>
      <c r="T162">
        <v>3.7644999999999998E-2</v>
      </c>
      <c r="U162">
        <v>4.9875999999999997E-2</v>
      </c>
      <c r="V162">
        <v>1.831</v>
      </c>
      <c r="W162">
        <v>8.7106000000000006E-3</v>
      </c>
      <c r="X162">
        <v>1.1105E-2</v>
      </c>
      <c r="Y162">
        <v>7.3550000000000004E-4</v>
      </c>
      <c r="Z162">
        <v>1.9855999999999999E-2</v>
      </c>
      <c r="AA162">
        <v>0.82047999999999999</v>
      </c>
      <c r="AB162">
        <v>1.244E-2</v>
      </c>
      <c r="AC162">
        <v>2.2545E-4</v>
      </c>
      <c r="AD162">
        <v>3.4245999999999999E-3</v>
      </c>
      <c r="AE162">
        <v>3.4816E-2</v>
      </c>
      <c r="AF162">
        <v>1.6968000000000001</v>
      </c>
      <c r="AG162">
        <v>1.6968000000000001</v>
      </c>
      <c r="AH162">
        <v>2.1143000000000001</v>
      </c>
      <c r="AI162">
        <v>1.1006999999999999E-2</v>
      </c>
      <c r="AJ162">
        <v>441.68079999999998</v>
      </c>
      <c r="AK162">
        <v>8.8555999999999996E-2</v>
      </c>
      <c r="AL162">
        <v>0.94684999999999997</v>
      </c>
      <c r="AM162">
        <v>0</v>
      </c>
      <c r="AN162">
        <v>0.25999</v>
      </c>
      <c r="AO162">
        <v>0.40286</v>
      </c>
      <c r="AP162">
        <v>0.62368999999999997</v>
      </c>
      <c r="AQ162">
        <v>2.0830000000000001E-2</v>
      </c>
      <c r="AR162">
        <v>-1.8332999999999999</v>
      </c>
      <c r="AS162">
        <v>-203.27070000000001</v>
      </c>
    </row>
    <row r="163" spans="1:45">
      <c r="A163" t="s">
        <v>482</v>
      </c>
      <c r="B163">
        <v>289.00400000000002</v>
      </c>
      <c r="C163">
        <v>48.331000000000003</v>
      </c>
      <c r="D163" t="s">
        <v>483</v>
      </c>
      <c r="E163" t="s">
        <v>721</v>
      </c>
      <c r="F163">
        <v>3415.1444000000001</v>
      </c>
      <c r="G163">
        <v>1959.0897</v>
      </c>
      <c r="H163">
        <v>38749.782899999998</v>
      </c>
      <c r="I163">
        <v>0.30074000000000001</v>
      </c>
      <c r="J163">
        <v>2.2627000000000001E-2</v>
      </c>
      <c r="K163">
        <v>1.9489000000000001</v>
      </c>
      <c r="L163">
        <v>0.71018000000000003</v>
      </c>
      <c r="M163" s="156">
        <v>9.4975000000000005E-5</v>
      </c>
      <c r="N163">
        <v>0</v>
      </c>
      <c r="O163">
        <v>0</v>
      </c>
      <c r="P163">
        <v>1.9437</v>
      </c>
      <c r="Q163">
        <v>9.2565999999999996E-2</v>
      </c>
      <c r="R163">
        <v>20.8062</v>
      </c>
      <c r="S163">
        <v>8.4110999999999995E-3</v>
      </c>
      <c r="T163">
        <v>3.7644999999999998E-2</v>
      </c>
      <c r="U163">
        <v>4.9875999999999997E-2</v>
      </c>
      <c r="V163">
        <v>1.831</v>
      </c>
      <c r="W163">
        <v>8.7106000000000006E-3</v>
      </c>
      <c r="X163">
        <v>1.1105E-2</v>
      </c>
      <c r="Y163">
        <v>7.3550000000000004E-4</v>
      </c>
      <c r="Z163">
        <v>1.9855999999999999E-2</v>
      </c>
      <c r="AA163">
        <v>0.82047999999999999</v>
      </c>
      <c r="AB163">
        <v>1.244E-2</v>
      </c>
      <c r="AC163">
        <v>2.2545E-4</v>
      </c>
      <c r="AD163">
        <v>3.4245999999999999E-3</v>
      </c>
      <c r="AE163">
        <v>3.4816E-2</v>
      </c>
      <c r="AF163">
        <v>1.6968000000000001</v>
      </c>
      <c r="AG163">
        <v>1.6968000000000001</v>
      </c>
      <c r="AH163">
        <v>2.1143000000000001</v>
      </c>
      <c r="AI163">
        <v>1.1006999999999999E-2</v>
      </c>
      <c r="AJ163">
        <v>441.68079999999998</v>
      </c>
      <c r="AK163">
        <v>8.8555999999999996E-2</v>
      </c>
      <c r="AL163">
        <v>0.99690999999999996</v>
      </c>
      <c r="AM163">
        <v>0</v>
      </c>
      <c r="AN163">
        <v>0.23685999999999999</v>
      </c>
      <c r="AO163">
        <v>0.40286</v>
      </c>
      <c r="AP163">
        <v>0.62368999999999997</v>
      </c>
      <c r="AQ163">
        <v>2.0830000000000001E-2</v>
      </c>
      <c r="AR163">
        <v>-1.8332999999999999</v>
      </c>
      <c r="AS163">
        <v>-203.27070000000001</v>
      </c>
    </row>
    <row r="164" spans="1:45">
      <c r="A164" t="s">
        <v>484</v>
      </c>
      <c r="B164">
        <v>287.733</v>
      </c>
      <c r="C164">
        <v>48.517000000000003</v>
      </c>
      <c r="D164" t="s">
        <v>485</v>
      </c>
      <c r="E164" t="s">
        <v>721</v>
      </c>
      <c r="F164">
        <v>3470.1916000000001</v>
      </c>
      <c r="G164">
        <v>1979.3239000000001</v>
      </c>
      <c r="H164">
        <v>39737.848899999997</v>
      </c>
      <c r="I164">
        <v>0.2656</v>
      </c>
      <c r="J164">
        <v>1.073E-2</v>
      </c>
      <c r="K164">
        <v>2.0225</v>
      </c>
      <c r="L164">
        <v>0.73633000000000004</v>
      </c>
      <c r="M164" s="156">
        <v>1.9198000000000002E-5</v>
      </c>
      <c r="N164">
        <v>0</v>
      </c>
      <c r="O164">
        <v>0</v>
      </c>
      <c r="P164">
        <v>2.258</v>
      </c>
      <c r="Q164">
        <v>0.10592</v>
      </c>
      <c r="R164">
        <v>20.8062</v>
      </c>
      <c r="S164">
        <v>8.4110999999999995E-3</v>
      </c>
      <c r="T164">
        <v>3.7644999999999998E-2</v>
      </c>
      <c r="U164">
        <v>4.9875999999999997E-2</v>
      </c>
      <c r="V164">
        <v>1.831</v>
      </c>
      <c r="W164">
        <v>8.7106000000000006E-3</v>
      </c>
      <c r="X164">
        <v>1.1105E-2</v>
      </c>
      <c r="Y164">
        <v>7.3550000000000004E-4</v>
      </c>
      <c r="Z164">
        <v>1.9855999999999999E-2</v>
      </c>
      <c r="AA164">
        <v>0.82047999999999999</v>
      </c>
      <c r="AB164">
        <v>1.244E-2</v>
      </c>
      <c r="AC164">
        <v>2.2545E-4</v>
      </c>
      <c r="AD164">
        <v>3.4245999999999999E-3</v>
      </c>
      <c r="AE164">
        <v>3.4816E-2</v>
      </c>
      <c r="AF164">
        <v>1.6968000000000001</v>
      </c>
      <c r="AG164">
        <v>1.6968000000000001</v>
      </c>
      <c r="AH164">
        <v>2.1143000000000001</v>
      </c>
      <c r="AI164">
        <v>1.1006999999999999E-2</v>
      </c>
      <c r="AJ164">
        <v>441.68079999999998</v>
      </c>
      <c r="AK164">
        <v>8.8555999999999996E-2</v>
      </c>
      <c r="AL164">
        <v>0.98704000000000003</v>
      </c>
      <c r="AM164">
        <v>0</v>
      </c>
      <c r="AN164">
        <v>0.25008000000000002</v>
      </c>
      <c r="AO164">
        <v>0.40286</v>
      </c>
      <c r="AP164">
        <v>0.62368999999999997</v>
      </c>
      <c r="AQ164">
        <v>2.0830000000000001E-2</v>
      </c>
      <c r="AR164">
        <v>-1.8332999999999999</v>
      </c>
      <c r="AS164">
        <v>-203.27070000000001</v>
      </c>
    </row>
    <row r="165" spans="1:45">
      <c r="A165" t="s">
        <v>486</v>
      </c>
      <c r="B165">
        <v>280.577</v>
      </c>
      <c r="C165">
        <v>46.363999999999997</v>
      </c>
      <c r="D165" t="s">
        <v>487</v>
      </c>
      <c r="E165" t="s">
        <v>721</v>
      </c>
      <c r="F165">
        <v>3435.4396999999999</v>
      </c>
      <c r="G165">
        <v>2014.8876</v>
      </c>
      <c r="H165">
        <v>37247.937100000003</v>
      </c>
      <c r="I165">
        <v>0.34266999999999997</v>
      </c>
      <c r="J165">
        <v>6.8775000000000003E-2</v>
      </c>
      <c r="K165">
        <v>1.7949999999999999</v>
      </c>
      <c r="L165">
        <v>0.66276999999999997</v>
      </c>
      <c r="M165" s="156">
        <v>2.9600999999999998E-6</v>
      </c>
      <c r="N165">
        <v>0</v>
      </c>
      <c r="O165">
        <v>0</v>
      </c>
      <c r="P165">
        <v>12.0962</v>
      </c>
      <c r="Q165">
        <v>0.13374</v>
      </c>
      <c r="R165">
        <v>90.963700000000003</v>
      </c>
      <c r="S165">
        <v>8.4110999999999995E-3</v>
      </c>
      <c r="T165">
        <v>0.16458</v>
      </c>
      <c r="U165">
        <v>0.21804999999999999</v>
      </c>
      <c r="V165">
        <v>1.831</v>
      </c>
      <c r="W165">
        <v>8.7106000000000006E-3</v>
      </c>
      <c r="X165">
        <v>1.1105E-2</v>
      </c>
      <c r="Y165">
        <v>7.3550000000000004E-4</v>
      </c>
      <c r="Z165">
        <v>1.9855999999999999E-2</v>
      </c>
      <c r="AA165">
        <v>0.82047999999999999</v>
      </c>
      <c r="AB165">
        <v>1.244E-2</v>
      </c>
      <c r="AC165">
        <v>2.2545E-4</v>
      </c>
      <c r="AD165">
        <v>3.4245999999999999E-3</v>
      </c>
      <c r="AE165">
        <v>3.4816E-2</v>
      </c>
      <c r="AF165">
        <v>7.4184999999999999</v>
      </c>
      <c r="AG165">
        <v>7.4184999999999999</v>
      </c>
      <c r="AH165">
        <v>9.2437000000000005</v>
      </c>
      <c r="AI165">
        <v>1.1006999999999999E-2</v>
      </c>
      <c r="AJ165">
        <v>441.68079999999998</v>
      </c>
      <c r="AK165">
        <v>8.8555999999999996E-2</v>
      </c>
      <c r="AL165">
        <v>4.5495999999999999</v>
      </c>
      <c r="AM165">
        <v>0</v>
      </c>
      <c r="AN165">
        <v>0.96194999999999997</v>
      </c>
      <c r="AO165">
        <v>0.40286</v>
      </c>
      <c r="AP165">
        <v>0.62368999999999997</v>
      </c>
      <c r="AQ165">
        <v>2.0830000000000001E-2</v>
      </c>
      <c r="AR165">
        <v>-1.8332999999999999</v>
      </c>
      <c r="AS165">
        <v>-203.27070000000001</v>
      </c>
    </row>
    <row r="166" spans="1:45">
      <c r="A166" t="s">
        <v>488</v>
      </c>
      <c r="B166">
        <v>278.62299999999999</v>
      </c>
      <c r="C166">
        <v>48.57</v>
      </c>
      <c r="D166" t="s">
        <v>489</v>
      </c>
      <c r="E166" t="s">
        <v>721</v>
      </c>
      <c r="F166">
        <v>3637.6205</v>
      </c>
      <c r="G166">
        <v>1917.3123000000001</v>
      </c>
      <c r="H166">
        <v>41013.5772</v>
      </c>
      <c r="I166">
        <v>0.26841999999999999</v>
      </c>
      <c r="J166">
        <v>0.1067</v>
      </c>
      <c r="K166">
        <v>2.1425000000000001</v>
      </c>
      <c r="L166">
        <v>0.75702000000000003</v>
      </c>
      <c r="M166" s="156">
        <v>3.6622999999999998E-5</v>
      </c>
      <c r="N166">
        <v>0</v>
      </c>
      <c r="O166">
        <v>0</v>
      </c>
      <c r="P166">
        <v>5.8750999999999998</v>
      </c>
      <c r="Q166">
        <v>6.2898999999999997E-2</v>
      </c>
      <c r="R166">
        <v>90.963700000000003</v>
      </c>
      <c r="S166">
        <v>8.4110999999999995E-3</v>
      </c>
      <c r="T166">
        <v>0.16458</v>
      </c>
      <c r="U166">
        <v>0.21804999999999999</v>
      </c>
      <c r="V166">
        <v>1.831</v>
      </c>
      <c r="W166">
        <v>8.7106000000000006E-3</v>
      </c>
      <c r="X166">
        <v>1.1105E-2</v>
      </c>
      <c r="Y166">
        <v>7.3550000000000004E-4</v>
      </c>
      <c r="Z166">
        <v>1.9855999999999999E-2</v>
      </c>
      <c r="AA166">
        <v>0.82047999999999999</v>
      </c>
      <c r="AB166">
        <v>1.244E-2</v>
      </c>
      <c r="AC166">
        <v>2.2545E-4</v>
      </c>
      <c r="AD166">
        <v>3.4245999999999999E-3</v>
      </c>
      <c r="AE166">
        <v>3.4816E-2</v>
      </c>
      <c r="AF166">
        <v>7.4184999999999999</v>
      </c>
      <c r="AG166">
        <v>7.4184999999999999</v>
      </c>
      <c r="AH166">
        <v>9.2437000000000005</v>
      </c>
      <c r="AI166">
        <v>1.1006999999999999E-2</v>
      </c>
      <c r="AJ166">
        <v>441.68079999999998</v>
      </c>
      <c r="AK166">
        <v>8.8555999999999996E-2</v>
      </c>
      <c r="AL166">
        <v>4.0754999999999999</v>
      </c>
      <c r="AM166">
        <v>0</v>
      </c>
      <c r="AN166">
        <v>1.1734</v>
      </c>
      <c r="AO166">
        <v>0.40286</v>
      </c>
      <c r="AP166">
        <v>0.62368999999999997</v>
      </c>
      <c r="AQ166">
        <v>2.0830000000000001E-2</v>
      </c>
      <c r="AR166">
        <v>-1.8332999999999999</v>
      </c>
      <c r="AS166">
        <v>-203.27070000000001</v>
      </c>
    </row>
    <row r="167" spans="1:45">
      <c r="A167" t="s">
        <v>490</v>
      </c>
      <c r="B167">
        <v>236.57400000000001</v>
      </c>
      <c r="C167">
        <v>48.646999999999998</v>
      </c>
      <c r="D167" t="s">
        <v>491</v>
      </c>
      <c r="E167" t="s">
        <v>721</v>
      </c>
      <c r="F167">
        <v>2640.4580999999998</v>
      </c>
      <c r="G167">
        <v>1894.7947999999999</v>
      </c>
      <c r="H167">
        <v>23168.527600000001</v>
      </c>
      <c r="I167">
        <v>0.36408000000000001</v>
      </c>
      <c r="J167">
        <v>1.3731999999999999E-2</v>
      </c>
      <c r="K167">
        <v>1.1012999999999999</v>
      </c>
      <c r="L167">
        <v>0.31957999999999998</v>
      </c>
      <c r="M167">
        <v>0</v>
      </c>
      <c r="N167">
        <v>0</v>
      </c>
      <c r="O167">
        <v>0</v>
      </c>
      <c r="P167">
        <v>3.7401</v>
      </c>
      <c r="Q167">
        <v>4.0143999999999999E-2</v>
      </c>
      <c r="R167">
        <v>85.868799999999993</v>
      </c>
      <c r="S167">
        <v>8.4110999999999995E-3</v>
      </c>
      <c r="T167">
        <v>0.15536</v>
      </c>
      <c r="U167">
        <v>0.20584</v>
      </c>
      <c r="V167">
        <v>1.831</v>
      </c>
      <c r="W167">
        <v>8.7106000000000006E-3</v>
      </c>
      <c r="X167">
        <v>1.1105E-2</v>
      </c>
      <c r="Y167">
        <v>7.3550000000000004E-4</v>
      </c>
      <c r="Z167">
        <v>1.9855999999999999E-2</v>
      </c>
      <c r="AA167">
        <v>0.82047999999999999</v>
      </c>
      <c r="AB167">
        <v>1.244E-2</v>
      </c>
      <c r="AC167">
        <v>2.2545E-4</v>
      </c>
      <c r="AD167">
        <v>3.4245999999999999E-3</v>
      </c>
      <c r="AE167">
        <v>3.4816E-2</v>
      </c>
      <c r="AF167">
        <v>7.0030000000000001</v>
      </c>
      <c r="AG167">
        <v>7.0030000000000001</v>
      </c>
      <c r="AH167">
        <v>8.7260000000000009</v>
      </c>
      <c r="AI167">
        <v>1.1006999999999999E-2</v>
      </c>
      <c r="AJ167">
        <v>441.68079999999998</v>
      </c>
      <c r="AK167">
        <v>8.8555999999999996E-2</v>
      </c>
      <c r="AL167">
        <v>5.0343</v>
      </c>
      <c r="AM167">
        <v>0</v>
      </c>
      <c r="AN167">
        <v>0.40943000000000002</v>
      </c>
      <c r="AO167">
        <v>0.40286</v>
      </c>
      <c r="AP167">
        <v>0.62368999999999997</v>
      </c>
      <c r="AQ167">
        <v>2.0830000000000001E-2</v>
      </c>
      <c r="AR167">
        <v>-1.8332999999999999</v>
      </c>
      <c r="AS167">
        <v>-203.27070000000001</v>
      </c>
    </row>
    <row r="168" spans="1:45">
      <c r="A168" t="s">
        <v>492</v>
      </c>
      <c r="B168">
        <v>307.24799999999999</v>
      </c>
      <c r="C168">
        <v>47.619</v>
      </c>
      <c r="D168" t="s">
        <v>493</v>
      </c>
      <c r="E168" t="s">
        <v>721</v>
      </c>
      <c r="F168">
        <v>3295.6397999999999</v>
      </c>
      <c r="G168">
        <v>1951.47</v>
      </c>
      <c r="H168">
        <v>34232.765299999999</v>
      </c>
      <c r="I168">
        <v>0.39451000000000003</v>
      </c>
      <c r="J168">
        <v>7.4909E-4</v>
      </c>
      <c r="K168">
        <v>1.6303000000000001</v>
      </c>
      <c r="L168">
        <v>0.57401999999999997</v>
      </c>
      <c r="M168">
        <v>0</v>
      </c>
      <c r="N168">
        <v>0</v>
      </c>
      <c r="O168">
        <v>0</v>
      </c>
      <c r="P168">
        <v>9.6423000000000005</v>
      </c>
      <c r="Q168">
        <v>9.7897999999999999E-2</v>
      </c>
      <c r="R168">
        <v>113.1469</v>
      </c>
      <c r="S168">
        <v>8.4110999999999995E-3</v>
      </c>
      <c r="T168">
        <v>0.20472000000000001</v>
      </c>
      <c r="U168">
        <v>0.27123000000000003</v>
      </c>
      <c r="V168">
        <v>1.831</v>
      </c>
      <c r="W168">
        <v>8.7106000000000006E-3</v>
      </c>
      <c r="X168">
        <v>1.1105E-2</v>
      </c>
      <c r="Y168">
        <v>7.3550000000000004E-4</v>
      </c>
      <c r="Z168">
        <v>1.9855999999999999E-2</v>
      </c>
      <c r="AA168">
        <v>0.82047999999999999</v>
      </c>
      <c r="AB168">
        <v>1.244E-2</v>
      </c>
      <c r="AC168">
        <v>2.2545E-4</v>
      </c>
      <c r="AD168">
        <v>3.4245999999999999E-3</v>
      </c>
      <c r="AE168">
        <v>3.4816E-2</v>
      </c>
      <c r="AF168">
        <v>9.2276000000000007</v>
      </c>
      <c r="AG168">
        <v>9.2276000000000007</v>
      </c>
      <c r="AH168">
        <v>11.497999999999999</v>
      </c>
      <c r="AI168">
        <v>1.1006999999999999E-2</v>
      </c>
      <c r="AJ168">
        <v>441.68079999999998</v>
      </c>
      <c r="AK168">
        <v>8.8555999999999996E-2</v>
      </c>
      <c r="AL168">
        <v>6.1379999999999999</v>
      </c>
      <c r="AM168">
        <v>0</v>
      </c>
      <c r="AN168">
        <v>0.99526999999999999</v>
      </c>
      <c r="AO168">
        <v>0.40286</v>
      </c>
      <c r="AP168">
        <v>0.62368999999999997</v>
      </c>
      <c r="AQ168">
        <v>2.0830000000000001E-2</v>
      </c>
      <c r="AR168">
        <v>-1.8332999999999999</v>
      </c>
      <c r="AS168">
        <v>-203.27070000000001</v>
      </c>
    </row>
    <row r="169" spans="1:45">
      <c r="A169" t="s">
        <v>495</v>
      </c>
      <c r="B169">
        <v>305.43200000000002</v>
      </c>
      <c r="C169">
        <v>48.936999999999998</v>
      </c>
      <c r="D169" t="s">
        <v>496</v>
      </c>
      <c r="E169" t="s">
        <v>721</v>
      </c>
      <c r="F169">
        <v>3394.1437999999998</v>
      </c>
      <c r="G169">
        <v>1932.2098000000001</v>
      </c>
      <c r="H169">
        <v>36039.293799999999</v>
      </c>
      <c r="I169">
        <v>0.37234</v>
      </c>
      <c r="J169">
        <v>1.6591999999999999E-2</v>
      </c>
      <c r="K169">
        <v>1.7513000000000001</v>
      </c>
      <c r="L169">
        <v>0.64000999999999997</v>
      </c>
      <c r="M169">
        <v>0</v>
      </c>
      <c r="N169">
        <v>0</v>
      </c>
      <c r="O169">
        <v>0</v>
      </c>
      <c r="P169">
        <v>8.0728000000000009</v>
      </c>
      <c r="Q169">
        <v>7.5380000000000003E-2</v>
      </c>
      <c r="R169">
        <v>113.1469</v>
      </c>
      <c r="S169">
        <v>8.4110999999999995E-3</v>
      </c>
      <c r="T169">
        <v>0.20472000000000001</v>
      </c>
      <c r="U169">
        <v>0.27123000000000003</v>
      </c>
      <c r="V169">
        <v>1.831</v>
      </c>
      <c r="W169">
        <v>8.7106000000000006E-3</v>
      </c>
      <c r="X169">
        <v>1.1105E-2</v>
      </c>
      <c r="Y169">
        <v>7.3550000000000004E-4</v>
      </c>
      <c r="Z169">
        <v>1.9855999999999999E-2</v>
      </c>
      <c r="AA169">
        <v>0.82047999999999999</v>
      </c>
      <c r="AB169">
        <v>1.244E-2</v>
      </c>
      <c r="AC169">
        <v>2.2545E-4</v>
      </c>
      <c r="AD169">
        <v>3.4245999999999999E-3</v>
      </c>
      <c r="AE169">
        <v>3.4816E-2</v>
      </c>
      <c r="AF169">
        <v>9.2276000000000007</v>
      </c>
      <c r="AG169">
        <v>9.2276000000000007</v>
      </c>
      <c r="AH169">
        <v>11.497999999999999</v>
      </c>
      <c r="AI169">
        <v>1.1006999999999999E-2</v>
      </c>
      <c r="AJ169">
        <v>441.68079999999998</v>
      </c>
      <c r="AK169">
        <v>8.8555999999999996E-2</v>
      </c>
      <c r="AL169">
        <v>6.04</v>
      </c>
      <c r="AM169">
        <v>0</v>
      </c>
      <c r="AN169">
        <v>1.0643</v>
      </c>
      <c r="AO169">
        <v>0.40286</v>
      </c>
      <c r="AP169">
        <v>0.62368999999999997</v>
      </c>
      <c r="AQ169">
        <v>2.0830000000000001E-2</v>
      </c>
      <c r="AR169">
        <v>-1.8332999999999999</v>
      </c>
      <c r="AS169">
        <v>-203.27070000000001</v>
      </c>
    </row>
    <row r="170" spans="1:45">
      <c r="A170" t="s">
        <v>497</v>
      </c>
      <c r="B170">
        <v>302.60000000000002</v>
      </c>
      <c r="C170">
        <v>49.216999999999999</v>
      </c>
      <c r="D170" t="s">
        <v>498</v>
      </c>
      <c r="E170" t="s">
        <v>721</v>
      </c>
      <c r="F170">
        <v>3418.7458999999999</v>
      </c>
      <c r="G170">
        <v>1948.4873</v>
      </c>
      <c r="H170">
        <v>36459.211900000002</v>
      </c>
      <c r="I170">
        <v>0.36033999999999999</v>
      </c>
      <c r="J170">
        <v>5.0945999999999998E-2</v>
      </c>
      <c r="K170">
        <v>1.7718</v>
      </c>
      <c r="L170">
        <v>0.65686</v>
      </c>
      <c r="M170">
        <v>0</v>
      </c>
      <c r="N170">
        <v>0</v>
      </c>
      <c r="O170">
        <v>0</v>
      </c>
      <c r="P170">
        <v>9.3962000000000003</v>
      </c>
      <c r="Q170">
        <v>8.3107E-2</v>
      </c>
      <c r="R170">
        <v>113.1469</v>
      </c>
      <c r="S170">
        <v>8.4110999999999995E-3</v>
      </c>
      <c r="T170">
        <v>0.20472000000000001</v>
      </c>
      <c r="U170">
        <v>0.27123000000000003</v>
      </c>
      <c r="V170">
        <v>1.831</v>
      </c>
      <c r="W170">
        <v>8.7106000000000006E-3</v>
      </c>
      <c r="X170">
        <v>1.1105E-2</v>
      </c>
      <c r="Y170">
        <v>7.3550000000000004E-4</v>
      </c>
      <c r="Z170">
        <v>1.9855999999999999E-2</v>
      </c>
      <c r="AA170">
        <v>0.82047999999999999</v>
      </c>
      <c r="AB170">
        <v>1.244E-2</v>
      </c>
      <c r="AC170">
        <v>2.2545E-4</v>
      </c>
      <c r="AD170">
        <v>3.4245999999999999E-3</v>
      </c>
      <c r="AE170">
        <v>3.4816E-2</v>
      </c>
      <c r="AF170">
        <v>9.2276000000000007</v>
      </c>
      <c r="AG170">
        <v>9.2276000000000007</v>
      </c>
      <c r="AH170">
        <v>11.497999999999999</v>
      </c>
      <c r="AI170">
        <v>1.1006999999999999E-2</v>
      </c>
      <c r="AJ170">
        <v>441.68079999999998</v>
      </c>
      <c r="AK170">
        <v>8.8555999999999996E-2</v>
      </c>
      <c r="AL170">
        <v>6.0053000000000001</v>
      </c>
      <c r="AM170">
        <v>0</v>
      </c>
      <c r="AN170">
        <v>1.0787</v>
      </c>
      <c r="AO170">
        <v>0.40286</v>
      </c>
      <c r="AP170">
        <v>0.62368999999999997</v>
      </c>
      <c r="AQ170">
        <v>2.0830000000000001E-2</v>
      </c>
      <c r="AR170">
        <v>-1.8332999999999999</v>
      </c>
      <c r="AS170">
        <v>-203.27070000000001</v>
      </c>
    </row>
    <row r="171" spans="1:45">
      <c r="A171" t="s">
        <v>499</v>
      </c>
      <c r="B171">
        <v>293.75</v>
      </c>
      <c r="C171">
        <v>50.216999999999999</v>
      </c>
      <c r="D171" t="s">
        <v>500</v>
      </c>
      <c r="E171" t="s">
        <v>721</v>
      </c>
      <c r="F171">
        <v>3564.8561</v>
      </c>
      <c r="G171">
        <v>1893.6599000000001</v>
      </c>
      <c r="H171">
        <v>41469.873599999999</v>
      </c>
      <c r="I171">
        <v>0.26752999999999999</v>
      </c>
      <c r="J171" s="156">
        <v>8.5074000000000006E-5</v>
      </c>
      <c r="K171">
        <v>2.1623999999999999</v>
      </c>
      <c r="L171">
        <v>0.78464</v>
      </c>
      <c r="M171">
        <v>0</v>
      </c>
      <c r="N171">
        <v>0</v>
      </c>
      <c r="O171">
        <v>0</v>
      </c>
      <c r="P171">
        <v>0.97484000000000004</v>
      </c>
      <c r="Q171">
        <v>5.2229999999999999E-2</v>
      </c>
      <c r="R171">
        <v>20.8062</v>
      </c>
      <c r="S171">
        <v>8.4110999999999995E-3</v>
      </c>
      <c r="T171">
        <v>3.7644999999999998E-2</v>
      </c>
      <c r="U171">
        <v>4.9875999999999997E-2</v>
      </c>
      <c r="V171">
        <v>1.831</v>
      </c>
      <c r="W171">
        <v>8.7106000000000006E-3</v>
      </c>
      <c r="X171">
        <v>1.1105E-2</v>
      </c>
      <c r="Y171">
        <v>7.3550000000000004E-4</v>
      </c>
      <c r="Z171">
        <v>1.9855999999999999E-2</v>
      </c>
      <c r="AA171">
        <v>0.82047999999999999</v>
      </c>
      <c r="AB171">
        <v>1.244E-2</v>
      </c>
      <c r="AC171">
        <v>2.2545E-4</v>
      </c>
      <c r="AD171">
        <v>3.4245999999999999E-3</v>
      </c>
      <c r="AE171">
        <v>3.4816E-2</v>
      </c>
      <c r="AF171">
        <v>1.6968000000000001</v>
      </c>
      <c r="AG171">
        <v>1.6968000000000001</v>
      </c>
      <c r="AH171">
        <v>2.1143000000000001</v>
      </c>
      <c r="AI171">
        <v>1.1006999999999999E-2</v>
      </c>
      <c r="AJ171">
        <v>441.68079999999998</v>
      </c>
      <c r="AK171">
        <v>8.8555999999999996E-2</v>
      </c>
      <c r="AL171">
        <v>0.98107999999999995</v>
      </c>
      <c r="AM171">
        <v>0</v>
      </c>
      <c r="AN171">
        <v>0.25542999999999999</v>
      </c>
      <c r="AO171">
        <v>0.40286</v>
      </c>
      <c r="AP171">
        <v>0.62368999999999997</v>
      </c>
      <c r="AQ171">
        <v>2.0830000000000001E-2</v>
      </c>
      <c r="AR171">
        <v>-1.8332999999999999</v>
      </c>
      <c r="AS171">
        <v>-203.27070000000001</v>
      </c>
    </row>
    <row r="172" spans="1:45">
      <c r="A172" t="s">
        <v>501</v>
      </c>
      <c r="B172">
        <v>301.45</v>
      </c>
      <c r="C172">
        <v>48.533000000000001</v>
      </c>
      <c r="D172" t="s">
        <v>502</v>
      </c>
      <c r="E172" t="s">
        <v>721</v>
      </c>
      <c r="F172">
        <v>3309.8854000000001</v>
      </c>
      <c r="G172">
        <v>1990.3824999999999</v>
      </c>
      <c r="H172">
        <v>34432.181700000001</v>
      </c>
      <c r="I172">
        <v>0.38618999999999998</v>
      </c>
      <c r="J172">
        <v>3.5899999999999999E-3</v>
      </c>
      <c r="K172">
        <v>1.6125</v>
      </c>
      <c r="L172">
        <v>0.59226999999999996</v>
      </c>
      <c r="M172">
        <v>0</v>
      </c>
      <c r="N172">
        <v>0</v>
      </c>
      <c r="O172">
        <v>0</v>
      </c>
      <c r="P172">
        <v>12.8507</v>
      </c>
      <c r="Q172">
        <v>0.12139999999999999</v>
      </c>
      <c r="R172">
        <v>113.1469</v>
      </c>
      <c r="S172">
        <v>8.4110999999999995E-3</v>
      </c>
      <c r="T172">
        <v>0.20472000000000001</v>
      </c>
      <c r="U172">
        <v>0.27123000000000003</v>
      </c>
      <c r="V172">
        <v>1.831</v>
      </c>
      <c r="W172">
        <v>8.7106000000000006E-3</v>
      </c>
      <c r="X172">
        <v>1.1105E-2</v>
      </c>
      <c r="Y172">
        <v>7.3550000000000004E-4</v>
      </c>
      <c r="Z172">
        <v>1.9855999999999999E-2</v>
      </c>
      <c r="AA172">
        <v>0.82047999999999999</v>
      </c>
      <c r="AB172">
        <v>1.244E-2</v>
      </c>
      <c r="AC172">
        <v>2.2545E-4</v>
      </c>
      <c r="AD172">
        <v>3.4245999999999999E-3</v>
      </c>
      <c r="AE172">
        <v>3.4816E-2</v>
      </c>
      <c r="AF172">
        <v>9.2276000000000007</v>
      </c>
      <c r="AG172">
        <v>9.2276000000000007</v>
      </c>
      <c r="AH172">
        <v>11.497999999999999</v>
      </c>
      <c r="AI172">
        <v>1.1006999999999999E-2</v>
      </c>
      <c r="AJ172">
        <v>441.68079999999998</v>
      </c>
      <c r="AK172">
        <v>8.8555999999999996E-2</v>
      </c>
      <c r="AL172">
        <v>6.1506999999999996</v>
      </c>
      <c r="AM172">
        <v>0</v>
      </c>
      <c r="AN172">
        <v>0.96875</v>
      </c>
      <c r="AO172">
        <v>0.40286</v>
      </c>
      <c r="AP172">
        <v>0.62368999999999997</v>
      </c>
      <c r="AQ172">
        <v>2.0830000000000001E-2</v>
      </c>
      <c r="AR172">
        <v>-1.8332999999999999</v>
      </c>
      <c r="AS172">
        <v>-203.27070000000001</v>
      </c>
    </row>
    <row r="173" spans="1:45">
      <c r="A173" t="s">
        <v>503</v>
      </c>
      <c r="B173">
        <v>299.58300000000003</v>
      </c>
      <c r="C173">
        <v>53.317</v>
      </c>
      <c r="D173" t="s">
        <v>504</v>
      </c>
      <c r="E173" t="s">
        <v>721</v>
      </c>
      <c r="F173">
        <v>3833.4169000000002</v>
      </c>
      <c r="G173">
        <v>1850.9054000000001</v>
      </c>
      <c r="H173">
        <v>44088.610200000003</v>
      </c>
      <c r="I173">
        <v>0.20544000000000001</v>
      </c>
      <c r="J173">
        <v>7.2684999999999998E-3</v>
      </c>
      <c r="K173">
        <v>2.3809999999999998</v>
      </c>
      <c r="L173">
        <v>0.87021000000000004</v>
      </c>
      <c r="M173">
        <v>0</v>
      </c>
      <c r="N173">
        <v>0</v>
      </c>
      <c r="O173">
        <v>0</v>
      </c>
      <c r="P173">
        <v>2.0836999999999999</v>
      </c>
      <c r="Q173">
        <v>1.6466999999999999E-2</v>
      </c>
      <c r="R173">
        <v>113.1469</v>
      </c>
      <c r="S173">
        <v>8.4110999999999995E-3</v>
      </c>
      <c r="T173">
        <v>0.20472000000000001</v>
      </c>
      <c r="U173">
        <v>0.27123000000000003</v>
      </c>
      <c r="V173">
        <v>1.831</v>
      </c>
      <c r="W173">
        <v>8.7106000000000006E-3</v>
      </c>
      <c r="X173">
        <v>1.1105E-2</v>
      </c>
      <c r="Y173">
        <v>7.3550000000000004E-4</v>
      </c>
      <c r="Z173">
        <v>1.9855999999999999E-2</v>
      </c>
      <c r="AA173">
        <v>0.82047999999999999</v>
      </c>
      <c r="AB173">
        <v>1.244E-2</v>
      </c>
      <c r="AC173">
        <v>2.2545E-4</v>
      </c>
      <c r="AD173">
        <v>3.4245999999999999E-3</v>
      </c>
      <c r="AE173">
        <v>3.4816E-2</v>
      </c>
      <c r="AF173">
        <v>9.2276000000000007</v>
      </c>
      <c r="AG173">
        <v>9.2276000000000007</v>
      </c>
      <c r="AH173">
        <v>11.497999999999999</v>
      </c>
      <c r="AI173">
        <v>1.1006999999999999E-2</v>
      </c>
      <c r="AJ173">
        <v>441.68079999999998</v>
      </c>
      <c r="AK173">
        <v>8.8555999999999996E-2</v>
      </c>
      <c r="AL173">
        <v>4.9432999999999998</v>
      </c>
      <c r="AM173">
        <v>0</v>
      </c>
      <c r="AN173">
        <v>1.4785999999999999</v>
      </c>
      <c r="AO173">
        <v>0.40286</v>
      </c>
      <c r="AP173">
        <v>0.62368999999999997</v>
      </c>
      <c r="AQ173">
        <v>2.0830000000000001E-2</v>
      </c>
      <c r="AR173">
        <v>-1.8332999999999999</v>
      </c>
      <c r="AS173">
        <v>-203.27070000000001</v>
      </c>
    </row>
    <row r="174" spans="1:45">
      <c r="A174" t="s">
        <v>505</v>
      </c>
      <c r="B174">
        <v>302.96699999999998</v>
      </c>
      <c r="C174">
        <v>53.716999999999999</v>
      </c>
      <c r="D174" t="s">
        <v>506</v>
      </c>
      <c r="E174" t="s">
        <v>721</v>
      </c>
      <c r="F174">
        <v>3800.1633000000002</v>
      </c>
      <c r="G174">
        <v>1847.2379000000001</v>
      </c>
      <c r="H174">
        <v>43493.833200000001</v>
      </c>
      <c r="I174">
        <v>0.32071</v>
      </c>
      <c r="J174">
        <v>1.1964E-4</v>
      </c>
      <c r="K174">
        <v>2.2845</v>
      </c>
      <c r="L174">
        <v>0.80725999999999998</v>
      </c>
      <c r="M174">
        <v>0</v>
      </c>
      <c r="N174">
        <v>0</v>
      </c>
      <c r="O174">
        <v>0</v>
      </c>
      <c r="P174">
        <v>1.4908999999999999</v>
      </c>
      <c r="Q174">
        <v>1.3801000000000001E-2</v>
      </c>
      <c r="R174">
        <v>113.1469</v>
      </c>
      <c r="S174">
        <v>8.4110999999999995E-3</v>
      </c>
      <c r="T174">
        <v>0.20472000000000001</v>
      </c>
      <c r="U174">
        <v>0.27123000000000003</v>
      </c>
      <c r="V174">
        <v>1.831</v>
      </c>
      <c r="W174">
        <v>8.7106000000000006E-3</v>
      </c>
      <c r="X174">
        <v>1.1105E-2</v>
      </c>
      <c r="Y174">
        <v>7.3550000000000004E-4</v>
      </c>
      <c r="Z174">
        <v>1.9855999999999999E-2</v>
      </c>
      <c r="AA174">
        <v>0.82047999999999999</v>
      </c>
      <c r="AB174">
        <v>1.244E-2</v>
      </c>
      <c r="AC174">
        <v>2.2545E-4</v>
      </c>
      <c r="AD174">
        <v>3.4245999999999999E-3</v>
      </c>
      <c r="AE174">
        <v>3.4816E-2</v>
      </c>
      <c r="AF174">
        <v>9.2276000000000007</v>
      </c>
      <c r="AG174">
        <v>9.2276000000000007</v>
      </c>
      <c r="AH174">
        <v>11.497999999999999</v>
      </c>
      <c r="AI174">
        <v>1.1006999999999999E-2</v>
      </c>
      <c r="AJ174">
        <v>441.68079999999998</v>
      </c>
      <c r="AK174">
        <v>8.8555999999999996E-2</v>
      </c>
      <c r="AL174">
        <v>5.2214999999999998</v>
      </c>
      <c r="AM174">
        <v>0</v>
      </c>
      <c r="AN174">
        <v>1.4988999999999999</v>
      </c>
      <c r="AO174">
        <v>0.40286</v>
      </c>
      <c r="AP174">
        <v>0.62368999999999997</v>
      </c>
      <c r="AQ174">
        <v>2.0830000000000001E-2</v>
      </c>
      <c r="AR174">
        <v>-1.8332999999999999</v>
      </c>
      <c r="AS174">
        <v>-203.27070000000001</v>
      </c>
    </row>
    <row r="175" spans="1:45">
      <c r="A175" t="s">
        <v>507</v>
      </c>
      <c r="B175">
        <v>293.13600000000002</v>
      </c>
      <c r="C175">
        <v>52.921999999999997</v>
      </c>
      <c r="D175" t="s">
        <v>508</v>
      </c>
      <c r="E175" t="s">
        <v>721</v>
      </c>
      <c r="F175">
        <v>4114.1229999999996</v>
      </c>
      <c r="G175">
        <v>1839.4648999999999</v>
      </c>
      <c r="H175">
        <v>49172.227400000003</v>
      </c>
      <c r="I175">
        <v>0.22437000000000001</v>
      </c>
      <c r="J175">
        <v>2.6795E-3</v>
      </c>
      <c r="K175">
        <v>2.7178</v>
      </c>
      <c r="L175">
        <v>0.91844000000000003</v>
      </c>
      <c r="M175" s="156">
        <v>5.4415000000000003E-6</v>
      </c>
      <c r="N175">
        <v>0</v>
      </c>
      <c r="O175">
        <v>0</v>
      </c>
      <c r="P175">
        <v>1.4590000000000001</v>
      </c>
      <c r="Q175">
        <v>1.298E-2</v>
      </c>
      <c r="R175">
        <v>113.1469</v>
      </c>
      <c r="S175">
        <v>8.4110999999999995E-3</v>
      </c>
      <c r="T175">
        <v>0.20472000000000001</v>
      </c>
      <c r="U175">
        <v>0.27123000000000003</v>
      </c>
      <c r="V175">
        <v>1.831</v>
      </c>
      <c r="W175">
        <v>8.7106000000000006E-3</v>
      </c>
      <c r="X175">
        <v>1.1105E-2</v>
      </c>
      <c r="Y175">
        <v>7.3550000000000004E-4</v>
      </c>
      <c r="Z175">
        <v>1.9855999999999999E-2</v>
      </c>
      <c r="AA175">
        <v>0.82047999999999999</v>
      </c>
      <c r="AB175">
        <v>1.244E-2</v>
      </c>
      <c r="AC175">
        <v>2.2545E-4</v>
      </c>
      <c r="AD175">
        <v>3.4245999999999999E-3</v>
      </c>
      <c r="AE175">
        <v>3.4816E-2</v>
      </c>
      <c r="AF175">
        <v>9.2276000000000007</v>
      </c>
      <c r="AG175">
        <v>9.2276000000000007</v>
      </c>
      <c r="AH175">
        <v>11.497999999999999</v>
      </c>
      <c r="AI175">
        <v>1.1006999999999999E-2</v>
      </c>
      <c r="AJ175">
        <v>441.68079999999998</v>
      </c>
      <c r="AK175">
        <v>8.8555999999999996E-2</v>
      </c>
      <c r="AL175">
        <v>4.2565</v>
      </c>
      <c r="AM175">
        <v>0</v>
      </c>
      <c r="AN175">
        <v>1.8546</v>
      </c>
      <c r="AO175">
        <v>0.40286</v>
      </c>
      <c r="AP175">
        <v>0.62368999999999997</v>
      </c>
      <c r="AQ175">
        <v>2.0830000000000001E-2</v>
      </c>
      <c r="AR175">
        <v>-1.8332999999999999</v>
      </c>
      <c r="AS175">
        <v>-203.27070000000001</v>
      </c>
    </row>
    <row r="176" spans="1:45">
      <c r="A176" t="s">
        <v>509</v>
      </c>
      <c r="B176">
        <v>277.53300000000002</v>
      </c>
      <c r="C176">
        <v>49.414000000000001</v>
      </c>
      <c r="D176" t="s">
        <v>510</v>
      </c>
      <c r="E176" t="s">
        <v>721</v>
      </c>
      <c r="F176">
        <v>3676.6381999999999</v>
      </c>
      <c r="G176">
        <v>1931.2608</v>
      </c>
      <c r="H176">
        <v>41701.201200000003</v>
      </c>
      <c r="I176">
        <v>0.2712</v>
      </c>
      <c r="J176">
        <v>9.1706999999999997E-2</v>
      </c>
      <c r="K176">
        <v>2.1789999999999998</v>
      </c>
      <c r="L176">
        <v>0.76</v>
      </c>
      <c r="M176" s="156">
        <v>3.5987E-5</v>
      </c>
      <c r="N176">
        <v>0</v>
      </c>
      <c r="O176">
        <v>0</v>
      </c>
      <c r="P176">
        <v>6.9</v>
      </c>
      <c r="Q176">
        <v>7.4838000000000002E-2</v>
      </c>
      <c r="R176">
        <v>90.963700000000003</v>
      </c>
      <c r="S176">
        <v>8.4110999999999995E-3</v>
      </c>
      <c r="T176">
        <v>0.16458</v>
      </c>
      <c r="U176">
        <v>0.21804999999999999</v>
      </c>
      <c r="V176">
        <v>1.831</v>
      </c>
      <c r="W176">
        <v>8.7106000000000006E-3</v>
      </c>
      <c r="X176">
        <v>1.1105E-2</v>
      </c>
      <c r="Y176">
        <v>7.3550000000000004E-4</v>
      </c>
      <c r="Z176">
        <v>1.9855999999999999E-2</v>
      </c>
      <c r="AA176">
        <v>0.82047999999999999</v>
      </c>
      <c r="AB176">
        <v>1.244E-2</v>
      </c>
      <c r="AC176">
        <v>2.2545E-4</v>
      </c>
      <c r="AD176">
        <v>3.4245999999999999E-3</v>
      </c>
      <c r="AE176">
        <v>3.4816E-2</v>
      </c>
      <c r="AF176">
        <v>7.4184999999999999</v>
      </c>
      <c r="AG176">
        <v>7.4184999999999999</v>
      </c>
      <c r="AH176">
        <v>9.2437000000000005</v>
      </c>
      <c r="AI176">
        <v>1.1006999999999999E-2</v>
      </c>
      <c r="AJ176">
        <v>441.68079999999998</v>
      </c>
      <c r="AK176">
        <v>8.8555999999999996E-2</v>
      </c>
      <c r="AL176">
        <v>3.9937999999999998</v>
      </c>
      <c r="AM176">
        <v>0</v>
      </c>
      <c r="AN176">
        <v>1.1666000000000001</v>
      </c>
      <c r="AO176">
        <v>0.40286</v>
      </c>
      <c r="AP176">
        <v>0.62368999999999997</v>
      </c>
      <c r="AQ176">
        <v>2.0830000000000001E-2</v>
      </c>
      <c r="AR176">
        <v>-1.8332999999999999</v>
      </c>
      <c r="AS176">
        <v>-203.27070000000001</v>
      </c>
    </row>
    <row r="177" spans="1:45">
      <c r="A177" t="s">
        <v>511</v>
      </c>
      <c r="B177">
        <v>273.08300000000003</v>
      </c>
      <c r="C177">
        <v>49.767000000000003</v>
      </c>
      <c r="D177" t="s">
        <v>512</v>
      </c>
      <c r="E177" t="s">
        <v>721</v>
      </c>
      <c r="F177">
        <v>3722.7982000000002</v>
      </c>
      <c r="G177">
        <v>1908.9077</v>
      </c>
      <c r="H177">
        <v>42561.027099999999</v>
      </c>
      <c r="I177">
        <v>0.25895000000000001</v>
      </c>
      <c r="J177">
        <v>5.1596000000000003E-2</v>
      </c>
      <c r="K177">
        <v>2.2530999999999999</v>
      </c>
      <c r="L177">
        <v>0.78005999999999998</v>
      </c>
      <c r="M177" s="156">
        <v>1.7176E-5</v>
      </c>
      <c r="N177">
        <v>0</v>
      </c>
      <c r="O177">
        <v>0</v>
      </c>
      <c r="P177">
        <v>5.4583000000000004</v>
      </c>
      <c r="Q177">
        <v>6.0596999999999998E-2</v>
      </c>
      <c r="R177">
        <v>90.963700000000003</v>
      </c>
      <c r="S177">
        <v>8.4110999999999995E-3</v>
      </c>
      <c r="T177">
        <v>0.16458</v>
      </c>
      <c r="U177">
        <v>0.21804999999999999</v>
      </c>
      <c r="V177">
        <v>1.831</v>
      </c>
      <c r="W177">
        <v>8.7106000000000006E-3</v>
      </c>
      <c r="X177">
        <v>1.1105E-2</v>
      </c>
      <c r="Y177">
        <v>7.3550000000000004E-4</v>
      </c>
      <c r="Z177">
        <v>1.9855999999999999E-2</v>
      </c>
      <c r="AA177">
        <v>0.82047999999999999</v>
      </c>
      <c r="AB177">
        <v>1.244E-2</v>
      </c>
      <c r="AC177">
        <v>2.2545E-4</v>
      </c>
      <c r="AD177">
        <v>3.4245999999999999E-3</v>
      </c>
      <c r="AE177">
        <v>3.4816E-2</v>
      </c>
      <c r="AF177">
        <v>7.4184999999999999</v>
      </c>
      <c r="AG177">
        <v>7.4184999999999999</v>
      </c>
      <c r="AH177">
        <v>9.2437000000000005</v>
      </c>
      <c r="AI177">
        <v>1.1006999999999999E-2</v>
      </c>
      <c r="AJ177">
        <v>441.68079999999998</v>
      </c>
      <c r="AK177">
        <v>8.8555999999999996E-2</v>
      </c>
      <c r="AL177">
        <v>3.9171</v>
      </c>
      <c r="AM177">
        <v>0</v>
      </c>
      <c r="AN177">
        <v>1.2485999999999999</v>
      </c>
      <c r="AO177">
        <v>0.40286</v>
      </c>
      <c r="AP177">
        <v>0.62368999999999997</v>
      </c>
      <c r="AQ177">
        <v>2.0830000000000001E-2</v>
      </c>
      <c r="AR177">
        <v>-1.8332999999999999</v>
      </c>
      <c r="AS177">
        <v>-203.27070000000001</v>
      </c>
    </row>
    <row r="178" spans="1:45">
      <c r="A178" t="s">
        <v>513</v>
      </c>
      <c r="B178">
        <v>268.10000000000002</v>
      </c>
      <c r="C178">
        <v>50.116999999999997</v>
      </c>
      <c r="D178" t="s">
        <v>514</v>
      </c>
      <c r="E178" t="s">
        <v>721</v>
      </c>
      <c r="F178">
        <v>3660.5551999999998</v>
      </c>
      <c r="G178">
        <v>1949.8196</v>
      </c>
      <c r="H178">
        <v>41388.7791</v>
      </c>
      <c r="I178">
        <v>0.27083000000000002</v>
      </c>
      <c r="J178">
        <v>0.10854999999999999</v>
      </c>
      <c r="K178">
        <v>2.1400999999999999</v>
      </c>
      <c r="L178">
        <v>0.75817000000000001</v>
      </c>
      <c r="M178" s="156">
        <v>8.6186999999999993E-6</v>
      </c>
      <c r="N178">
        <v>0</v>
      </c>
      <c r="O178">
        <v>0</v>
      </c>
      <c r="P178">
        <v>8.0744000000000007</v>
      </c>
      <c r="Q178">
        <v>9.1308E-2</v>
      </c>
      <c r="R178">
        <v>90.963700000000003</v>
      </c>
      <c r="S178">
        <v>8.4110999999999995E-3</v>
      </c>
      <c r="T178">
        <v>0.16458</v>
      </c>
      <c r="U178">
        <v>0.21804999999999999</v>
      </c>
      <c r="V178">
        <v>1.831</v>
      </c>
      <c r="W178">
        <v>8.7106000000000006E-3</v>
      </c>
      <c r="X178">
        <v>1.1105E-2</v>
      </c>
      <c r="Y178">
        <v>7.3550000000000004E-4</v>
      </c>
      <c r="Z178">
        <v>1.9855999999999999E-2</v>
      </c>
      <c r="AA178">
        <v>0.82047999999999999</v>
      </c>
      <c r="AB178">
        <v>1.244E-2</v>
      </c>
      <c r="AC178">
        <v>2.2545E-4</v>
      </c>
      <c r="AD178">
        <v>3.4245999999999999E-3</v>
      </c>
      <c r="AE178">
        <v>3.4816E-2</v>
      </c>
      <c r="AF178">
        <v>7.4184999999999999</v>
      </c>
      <c r="AG178">
        <v>7.4184999999999999</v>
      </c>
      <c r="AH178">
        <v>9.2437000000000005</v>
      </c>
      <c r="AI178">
        <v>1.1006999999999999E-2</v>
      </c>
      <c r="AJ178">
        <v>441.68079999999998</v>
      </c>
      <c r="AK178">
        <v>8.8555999999999996E-2</v>
      </c>
      <c r="AL178">
        <v>3.9948000000000001</v>
      </c>
      <c r="AM178">
        <v>0</v>
      </c>
      <c r="AN178">
        <v>1.2003999999999999</v>
      </c>
      <c r="AO178">
        <v>0.40286</v>
      </c>
      <c r="AP178">
        <v>0.62368999999999997</v>
      </c>
      <c r="AQ178">
        <v>2.0830000000000001E-2</v>
      </c>
      <c r="AR178">
        <v>-1.8332999999999999</v>
      </c>
      <c r="AS178">
        <v>-203.27070000000001</v>
      </c>
    </row>
    <row r="179" spans="1:45">
      <c r="A179" t="s">
        <v>515</v>
      </c>
      <c r="B179">
        <v>262.76</v>
      </c>
      <c r="C179">
        <v>49.91</v>
      </c>
      <c r="D179" t="s">
        <v>516</v>
      </c>
      <c r="E179" t="s">
        <v>721</v>
      </c>
      <c r="F179">
        <v>3548.5747999999999</v>
      </c>
      <c r="G179">
        <v>2021.7891999999999</v>
      </c>
      <c r="H179">
        <v>39796.669800000003</v>
      </c>
      <c r="I179">
        <v>0.25791999999999998</v>
      </c>
      <c r="J179">
        <v>0.21439</v>
      </c>
      <c r="K179">
        <v>2.0270999999999999</v>
      </c>
      <c r="L179">
        <v>0.7268</v>
      </c>
      <c r="M179">
        <v>1.081E-4</v>
      </c>
      <c r="N179">
        <v>0</v>
      </c>
      <c r="O179">
        <v>0</v>
      </c>
      <c r="P179">
        <v>9.9093999999999998</v>
      </c>
      <c r="Q179">
        <v>0.12309</v>
      </c>
      <c r="R179">
        <v>71.534400000000005</v>
      </c>
      <c r="S179">
        <v>8.4110999999999995E-3</v>
      </c>
      <c r="T179">
        <v>0.12942999999999999</v>
      </c>
      <c r="U179">
        <v>0.17147999999999999</v>
      </c>
      <c r="V179">
        <v>1.831</v>
      </c>
      <c r="W179">
        <v>8.7106000000000006E-3</v>
      </c>
      <c r="X179">
        <v>1.1105E-2</v>
      </c>
      <c r="Y179">
        <v>7.3550000000000004E-4</v>
      </c>
      <c r="Z179">
        <v>1.9855999999999999E-2</v>
      </c>
      <c r="AA179">
        <v>0.82047999999999999</v>
      </c>
      <c r="AB179">
        <v>1.244E-2</v>
      </c>
      <c r="AC179">
        <v>2.2545E-4</v>
      </c>
      <c r="AD179">
        <v>3.4245999999999999E-3</v>
      </c>
      <c r="AE179">
        <v>3.4816E-2</v>
      </c>
      <c r="AF179">
        <v>5.8338999999999999</v>
      </c>
      <c r="AG179">
        <v>5.8338999999999999</v>
      </c>
      <c r="AH179">
        <v>7.2693000000000003</v>
      </c>
      <c r="AI179">
        <v>1.1006999999999999E-2</v>
      </c>
      <c r="AJ179">
        <v>441.68079999999998</v>
      </c>
      <c r="AK179">
        <v>8.8555999999999996E-2</v>
      </c>
      <c r="AL179">
        <v>3.2292000000000001</v>
      </c>
      <c r="AM179">
        <v>0</v>
      </c>
      <c r="AN179">
        <v>0.90651999999999999</v>
      </c>
      <c r="AO179">
        <v>0.40286</v>
      </c>
      <c r="AP179">
        <v>0.62368999999999997</v>
      </c>
      <c r="AQ179">
        <v>2.0830000000000001E-2</v>
      </c>
      <c r="AR179">
        <v>-1.8332999999999999</v>
      </c>
      <c r="AS179">
        <v>-203.27070000000001</v>
      </c>
    </row>
    <row r="180" spans="1:45">
      <c r="A180" t="s">
        <v>517</v>
      </c>
      <c r="B180">
        <v>255.333</v>
      </c>
      <c r="C180">
        <v>50.433</v>
      </c>
      <c r="D180" t="s">
        <v>518</v>
      </c>
      <c r="E180" t="s">
        <v>721</v>
      </c>
      <c r="F180">
        <v>4866.55</v>
      </c>
      <c r="G180">
        <v>1940.3433</v>
      </c>
      <c r="H180">
        <v>40177.682099999998</v>
      </c>
      <c r="I180">
        <v>0.26121</v>
      </c>
      <c r="J180">
        <v>3.2168999999999999</v>
      </c>
      <c r="K180">
        <v>2.0712000000000002</v>
      </c>
      <c r="L180">
        <v>0.75978000000000001</v>
      </c>
      <c r="M180">
        <v>3.6017999999999998E-4</v>
      </c>
      <c r="N180" s="156">
        <v>5.1483999999999997E-5</v>
      </c>
      <c r="O180">
        <v>0.33894999999999997</v>
      </c>
      <c r="P180">
        <v>77.797600000000003</v>
      </c>
      <c r="Q180">
        <v>7.2363999999999998E-2</v>
      </c>
      <c r="R180">
        <v>994.87189999999998</v>
      </c>
      <c r="S180">
        <v>8.4110999999999995E-3</v>
      </c>
      <c r="T180">
        <v>1.8</v>
      </c>
      <c r="U180">
        <v>2.3849</v>
      </c>
      <c r="V180">
        <v>1.831</v>
      </c>
      <c r="W180">
        <v>8.7106000000000006E-3</v>
      </c>
      <c r="X180">
        <v>1.1105E-2</v>
      </c>
      <c r="Y180">
        <v>7.3550000000000004E-4</v>
      </c>
      <c r="Z180">
        <v>1.9855999999999999E-2</v>
      </c>
      <c r="AA180">
        <v>0.82047999999999999</v>
      </c>
      <c r="AB180">
        <v>1.244E-2</v>
      </c>
      <c r="AC180">
        <v>2.2545E-4</v>
      </c>
      <c r="AD180">
        <v>3.4245999999999999E-3</v>
      </c>
      <c r="AE180">
        <v>3.4816E-2</v>
      </c>
      <c r="AF180">
        <v>81.135900000000007</v>
      </c>
      <c r="AG180">
        <v>81.135900000000007</v>
      </c>
      <c r="AH180">
        <v>101.0989</v>
      </c>
      <c r="AI180">
        <v>1.1006999999999999E-2</v>
      </c>
      <c r="AJ180">
        <v>441.68079999999998</v>
      </c>
      <c r="AK180">
        <v>8.8555999999999996E-2</v>
      </c>
      <c r="AL180">
        <v>45.688299999999998</v>
      </c>
      <c r="AM180">
        <v>0</v>
      </c>
      <c r="AN180">
        <v>12.428800000000001</v>
      </c>
      <c r="AO180">
        <v>0.40286</v>
      </c>
      <c r="AP180">
        <v>0.62368999999999997</v>
      </c>
      <c r="AQ180">
        <v>2.0830000000000001E-2</v>
      </c>
      <c r="AR180">
        <v>-1.8332999999999999</v>
      </c>
      <c r="AS180">
        <v>-203.27070000000001</v>
      </c>
    </row>
    <row r="181" spans="1:45">
      <c r="A181" t="s">
        <v>519</v>
      </c>
      <c r="B181">
        <v>258.89999999999998</v>
      </c>
      <c r="C181">
        <v>53.966999999999999</v>
      </c>
      <c r="D181" t="s">
        <v>520</v>
      </c>
      <c r="E181" t="s">
        <v>721</v>
      </c>
      <c r="F181">
        <v>3761.1606000000002</v>
      </c>
      <c r="G181">
        <v>1914.9654</v>
      </c>
      <c r="H181">
        <v>43733.936900000001</v>
      </c>
      <c r="I181">
        <v>0.23183999999999999</v>
      </c>
      <c r="J181">
        <v>5.9406E-2</v>
      </c>
      <c r="K181">
        <v>2.3353999999999999</v>
      </c>
      <c r="L181">
        <v>0.80930000000000002</v>
      </c>
      <c r="M181" s="156">
        <v>9.5126999999999999E-5</v>
      </c>
      <c r="N181" s="156">
        <v>5.0328000000000003E-6</v>
      </c>
      <c r="O181">
        <v>2.3365999999999999E-3</v>
      </c>
      <c r="P181">
        <v>4.6619999999999999</v>
      </c>
      <c r="Q181">
        <v>6.8501999999999993E-2</v>
      </c>
      <c r="R181">
        <v>71.534400000000005</v>
      </c>
      <c r="S181">
        <v>8.4110999999999995E-3</v>
      </c>
      <c r="T181">
        <v>0.12942999999999999</v>
      </c>
      <c r="U181">
        <v>0.17147999999999999</v>
      </c>
      <c r="V181">
        <v>1.831</v>
      </c>
      <c r="W181">
        <v>8.7106000000000006E-3</v>
      </c>
      <c r="X181">
        <v>1.1105E-2</v>
      </c>
      <c r="Y181">
        <v>7.3550000000000004E-4</v>
      </c>
      <c r="Z181">
        <v>1.9855999999999999E-2</v>
      </c>
      <c r="AA181">
        <v>0.82047999999999999</v>
      </c>
      <c r="AB181">
        <v>1.244E-2</v>
      </c>
      <c r="AC181">
        <v>2.2545E-4</v>
      </c>
      <c r="AD181">
        <v>3.4245999999999999E-3</v>
      </c>
      <c r="AE181">
        <v>3.4816E-2</v>
      </c>
      <c r="AF181">
        <v>5.8338999999999999</v>
      </c>
      <c r="AG181">
        <v>5.8338999999999999</v>
      </c>
      <c r="AH181">
        <v>7.2693000000000003</v>
      </c>
      <c r="AI181">
        <v>1.1006999999999999E-2</v>
      </c>
      <c r="AJ181">
        <v>441.68079999999998</v>
      </c>
      <c r="AK181">
        <v>8.8555999999999996E-2</v>
      </c>
      <c r="AL181">
        <v>2.9569999999999999</v>
      </c>
      <c r="AM181">
        <v>0</v>
      </c>
      <c r="AN181">
        <v>1.0291999999999999</v>
      </c>
      <c r="AO181">
        <v>0.40286</v>
      </c>
      <c r="AP181">
        <v>0.62368999999999997</v>
      </c>
      <c r="AQ181">
        <v>2.0830000000000001E-2</v>
      </c>
      <c r="AR181">
        <v>-1.8332999999999999</v>
      </c>
      <c r="AS181">
        <v>-203.27070000000001</v>
      </c>
    </row>
    <row r="182" spans="1:45">
      <c r="A182" t="s">
        <v>521</v>
      </c>
      <c r="B182">
        <v>254.327</v>
      </c>
      <c r="C182">
        <v>53.213999999999999</v>
      </c>
      <c r="D182" t="s">
        <v>522</v>
      </c>
      <c r="E182" t="s">
        <v>721</v>
      </c>
      <c r="F182">
        <v>4994.7750999999998</v>
      </c>
      <c r="G182">
        <v>1935.28</v>
      </c>
      <c r="H182">
        <v>42558.130899999996</v>
      </c>
      <c r="I182">
        <v>0.23183999999999999</v>
      </c>
      <c r="J182">
        <v>0.98989000000000005</v>
      </c>
      <c r="K182">
        <v>2.2467999999999999</v>
      </c>
      <c r="L182">
        <v>0.79388999999999998</v>
      </c>
      <c r="M182">
        <v>4.9432000000000002E-4</v>
      </c>
      <c r="N182" s="156">
        <v>1.6804999999999999E-5</v>
      </c>
      <c r="O182">
        <v>0.22151999999999999</v>
      </c>
      <c r="P182">
        <v>79.006500000000003</v>
      </c>
      <c r="Q182">
        <v>7.9509999999999997E-2</v>
      </c>
      <c r="R182">
        <v>994.87189999999998</v>
      </c>
      <c r="S182">
        <v>8.4110999999999995E-3</v>
      </c>
      <c r="T182">
        <v>1.8</v>
      </c>
      <c r="U182">
        <v>2.3849</v>
      </c>
      <c r="V182">
        <v>1.831</v>
      </c>
      <c r="W182">
        <v>8.7106000000000006E-3</v>
      </c>
      <c r="X182">
        <v>1.1105E-2</v>
      </c>
      <c r="Y182">
        <v>7.3550000000000004E-4</v>
      </c>
      <c r="Z182">
        <v>1.9855999999999999E-2</v>
      </c>
      <c r="AA182">
        <v>0.82047999999999999</v>
      </c>
      <c r="AB182">
        <v>1.244E-2</v>
      </c>
      <c r="AC182">
        <v>2.2545E-4</v>
      </c>
      <c r="AD182">
        <v>3.4245999999999999E-3</v>
      </c>
      <c r="AE182">
        <v>3.4816E-2</v>
      </c>
      <c r="AF182">
        <v>81.135900000000007</v>
      </c>
      <c r="AG182">
        <v>81.135900000000007</v>
      </c>
      <c r="AH182">
        <v>101.0989</v>
      </c>
      <c r="AI182">
        <v>1.1006999999999999E-2</v>
      </c>
      <c r="AJ182">
        <v>441.68079999999998</v>
      </c>
      <c r="AK182">
        <v>8.8555999999999996E-2</v>
      </c>
      <c r="AL182">
        <v>42.405700000000003</v>
      </c>
      <c r="AM182">
        <v>0</v>
      </c>
      <c r="AN182">
        <v>13.188700000000001</v>
      </c>
      <c r="AO182">
        <v>0.40286</v>
      </c>
      <c r="AP182">
        <v>0.62368999999999997</v>
      </c>
      <c r="AQ182">
        <v>2.0830000000000001E-2</v>
      </c>
      <c r="AR182">
        <v>-1.8332999999999999</v>
      </c>
      <c r="AS182">
        <v>-203.27070000000001</v>
      </c>
    </row>
    <row r="183" spans="1:45">
      <c r="A183" t="s">
        <v>523</v>
      </c>
      <c r="B183">
        <v>249.928</v>
      </c>
      <c r="C183">
        <v>53.308999999999997</v>
      </c>
      <c r="D183" t="s">
        <v>524</v>
      </c>
      <c r="E183" t="s">
        <v>721</v>
      </c>
      <c r="F183">
        <v>5033.9032999999999</v>
      </c>
      <c r="G183">
        <v>1895.3109999999999</v>
      </c>
      <c r="H183">
        <v>41199.357100000001</v>
      </c>
      <c r="I183">
        <v>0.27937000000000001</v>
      </c>
      <c r="J183">
        <v>0.43364999999999998</v>
      </c>
      <c r="K183">
        <v>2.1332</v>
      </c>
      <c r="L183">
        <v>0.78417999999999999</v>
      </c>
      <c r="M183">
        <v>1.8599E-4</v>
      </c>
      <c r="N183" s="156">
        <v>4.5420000000000002E-5</v>
      </c>
      <c r="O183">
        <v>0.16614999999999999</v>
      </c>
      <c r="P183">
        <v>52.2577</v>
      </c>
      <c r="Q183">
        <v>4.8519E-2</v>
      </c>
      <c r="R183">
        <v>1098.972</v>
      </c>
      <c r="S183">
        <v>8.4110999999999995E-3</v>
      </c>
      <c r="T183">
        <v>1.9883999999999999</v>
      </c>
      <c r="U183">
        <v>2.6343999999999999</v>
      </c>
      <c r="V183">
        <v>1.831</v>
      </c>
      <c r="W183">
        <v>8.7106000000000006E-3</v>
      </c>
      <c r="X183">
        <v>1.1105E-2</v>
      </c>
      <c r="Y183">
        <v>7.3550000000000004E-4</v>
      </c>
      <c r="Z183">
        <v>1.9855999999999999E-2</v>
      </c>
      <c r="AA183">
        <v>0.82047999999999999</v>
      </c>
      <c r="AB183">
        <v>1.244E-2</v>
      </c>
      <c r="AC183">
        <v>2.2545E-4</v>
      </c>
      <c r="AD183">
        <v>3.4245999999999999E-3</v>
      </c>
      <c r="AE183">
        <v>3.4816E-2</v>
      </c>
      <c r="AF183">
        <v>89.625699999999995</v>
      </c>
      <c r="AG183">
        <v>89.625699999999995</v>
      </c>
      <c r="AH183">
        <v>111.6776</v>
      </c>
      <c r="AI183">
        <v>1.1006999999999999E-2</v>
      </c>
      <c r="AJ183">
        <v>441.68079999999998</v>
      </c>
      <c r="AK183">
        <v>8.8555999999999996E-2</v>
      </c>
      <c r="AL183">
        <v>50.675600000000003</v>
      </c>
      <c r="AM183">
        <v>0</v>
      </c>
      <c r="AN183">
        <v>14.5909</v>
      </c>
      <c r="AO183">
        <v>0.40286</v>
      </c>
      <c r="AP183">
        <v>0.62368999999999997</v>
      </c>
      <c r="AQ183">
        <v>2.0830000000000001E-2</v>
      </c>
      <c r="AR183">
        <v>-1.8332999999999999</v>
      </c>
      <c r="AS183">
        <v>-203.27070000000001</v>
      </c>
    </row>
    <row r="184" spans="1:45">
      <c r="A184" t="s">
        <v>525</v>
      </c>
      <c r="B184">
        <v>268.18299999999999</v>
      </c>
      <c r="C184">
        <v>81.167000000000002</v>
      </c>
      <c r="D184" t="s">
        <v>526</v>
      </c>
      <c r="E184" t="s">
        <v>721</v>
      </c>
      <c r="F184">
        <v>4680.7505000000001</v>
      </c>
      <c r="G184">
        <v>1881.1495</v>
      </c>
      <c r="H184">
        <v>35029.0723</v>
      </c>
      <c r="I184">
        <v>0.27172000000000002</v>
      </c>
      <c r="J184">
        <v>10.5564</v>
      </c>
      <c r="K184">
        <v>1.7466999999999999</v>
      </c>
      <c r="L184">
        <v>0.72289999999999999</v>
      </c>
      <c r="M184">
        <v>2.4867000000000001E-3</v>
      </c>
      <c r="N184">
        <v>1.0355E-3</v>
      </c>
      <c r="O184">
        <v>5.6798000000000002</v>
      </c>
      <c r="P184">
        <v>21.517499999999998</v>
      </c>
      <c r="Q184">
        <v>1.4555E-2</v>
      </c>
      <c r="R184">
        <v>1098.972</v>
      </c>
      <c r="S184">
        <v>8.4110999999999995E-3</v>
      </c>
      <c r="T184">
        <v>1.9883999999999999</v>
      </c>
      <c r="U184">
        <v>2.6343999999999999</v>
      </c>
      <c r="V184">
        <v>1.831</v>
      </c>
      <c r="W184">
        <v>8.7106000000000006E-3</v>
      </c>
      <c r="X184">
        <v>1.1105E-2</v>
      </c>
      <c r="Y184">
        <v>7.3550000000000004E-4</v>
      </c>
      <c r="Z184">
        <v>1.9855999999999999E-2</v>
      </c>
      <c r="AA184">
        <v>0.82047999999999999</v>
      </c>
      <c r="AB184">
        <v>1.244E-2</v>
      </c>
      <c r="AC184">
        <v>2.2545E-4</v>
      </c>
      <c r="AD184">
        <v>3.4245999999999999E-3</v>
      </c>
      <c r="AE184">
        <v>3.4816E-2</v>
      </c>
      <c r="AF184">
        <v>89.625699999999995</v>
      </c>
      <c r="AG184">
        <v>89.625699999999995</v>
      </c>
      <c r="AH184">
        <v>111.6776</v>
      </c>
      <c r="AI184">
        <v>1.1006999999999999E-2</v>
      </c>
      <c r="AJ184">
        <v>441.68079999999998</v>
      </c>
      <c r="AK184">
        <v>8.8555999999999996E-2</v>
      </c>
      <c r="AL184">
        <v>58.3172</v>
      </c>
      <c r="AM184">
        <v>0</v>
      </c>
      <c r="AN184">
        <v>10.7509</v>
      </c>
      <c r="AO184">
        <v>0.40286</v>
      </c>
      <c r="AP184">
        <v>0.62368999999999997</v>
      </c>
      <c r="AQ184">
        <v>2.0830000000000001E-2</v>
      </c>
      <c r="AR184">
        <v>-1.8332999999999999</v>
      </c>
      <c r="AS184">
        <v>-203.27070000000001</v>
      </c>
    </row>
    <row r="185" spans="1:45">
      <c r="A185" t="s">
        <v>527</v>
      </c>
      <c r="B185">
        <v>251.983</v>
      </c>
      <c r="C185">
        <v>66.832999999999998</v>
      </c>
      <c r="D185" t="s">
        <v>528</v>
      </c>
      <c r="E185" t="s">
        <v>721</v>
      </c>
      <c r="F185">
        <v>6046.8765000000003</v>
      </c>
      <c r="G185">
        <v>1822.7358999999999</v>
      </c>
      <c r="H185">
        <v>60528.654199999997</v>
      </c>
      <c r="I185">
        <v>0.16619999999999999</v>
      </c>
      <c r="J185">
        <v>9.2188000000000003E-4</v>
      </c>
      <c r="K185">
        <v>3.5137</v>
      </c>
      <c r="L185">
        <v>1.0844</v>
      </c>
      <c r="M185">
        <v>0</v>
      </c>
      <c r="N185">
        <v>0</v>
      </c>
      <c r="O185">
        <v>0</v>
      </c>
      <c r="P185">
        <v>3.6179999999999999</v>
      </c>
      <c r="Q185">
        <v>3.8300999999999999E-3</v>
      </c>
      <c r="R185">
        <v>1098.972</v>
      </c>
      <c r="S185">
        <v>8.4110999999999995E-3</v>
      </c>
      <c r="T185">
        <v>1.9883999999999999</v>
      </c>
      <c r="U185">
        <v>2.6343999999999999</v>
      </c>
      <c r="V185">
        <v>1.831</v>
      </c>
      <c r="W185">
        <v>8.7106000000000006E-3</v>
      </c>
      <c r="X185">
        <v>1.1105E-2</v>
      </c>
      <c r="Y185">
        <v>7.3550000000000004E-4</v>
      </c>
      <c r="Z185">
        <v>1.9855999999999999E-2</v>
      </c>
      <c r="AA185">
        <v>0.82047999999999999</v>
      </c>
      <c r="AB185">
        <v>1.244E-2</v>
      </c>
      <c r="AC185">
        <v>2.2545E-4</v>
      </c>
      <c r="AD185">
        <v>3.4245999999999999E-3</v>
      </c>
      <c r="AE185">
        <v>3.4816E-2</v>
      </c>
      <c r="AF185">
        <v>89.625699999999995</v>
      </c>
      <c r="AG185">
        <v>89.625699999999995</v>
      </c>
      <c r="AH185">
        <v>111.6776</v>
      </c>
      <c r="AI185">
        <v>1.1006999999999999E-2</v>
      </c>
      <c r="AJ185">
        <v>441.68079999999998</v>
      </c>
      <c r="AK185">
        <v>8.8555999999999996E-2</v>
      </c>
      <c r="AL185">
        <v>30.531099999999999</v>
      </c>
      <c r="AM185">
        <v>0</v>
      </c>
      <c r="AN185">
        <v>26.0517</v>
      </c>
      <c r="AO185">
        <v>0.40286</v>
      </c>
      <c r="AP185">
        <v>0.62368999999999997</v>
      </c>
      <c r="AQ185">
        <v>2.0830000000000001E-2</v>
      </c>
      <c r="AR185">
        <v>-1.8332999999999999</v>
      </c>
      <c r="AS185">
        <v>-203.27070000000001</v>
      </c>
    </row>
    <row r="186" spans="1:45">
      <c r="A186" t="s">
        <v>529</v>
      </c>
      <c r="B186">
        <v>251.756</v>
      </c>
      <c r="C186">
        <v>52.768999999999998</v>
      </c>
      <c r="D186" t="s">
        <v>530</v>
      </c>
      <c r="E186" t="s">
        <v>721</v>
      </c>
      <c r="F186">
        <v>4873.0496000000003</v>
      </c>
      <c r="G186">
        <v>1913.9386999999999</v>
      </c>
      <c r="H186">
        <v>40639.3364</v>
      </c>
      <c r="I186">
        <v>0.25362000000000001</v>
      </c>
      <c r="J186">
        <v>1.4443999999999999</v>
      </c>
      <c r="K186">
        <v>2.1067</v>
      </c>
      <c r="L186">
        <v>0.77998000000000001</v>
      </c>
      <c r="M186">
        <v>6.2704000000000004E-4</v>
      </c>
      <c r="N186" s="156">
        <v>3.8899999999999997E-5</v>
      </c>
      <c r="O186">
        <v>0.27473999999999998</v>
      </c>
      <c r="P186">
        <v>60.012300000000003</v>
      </c>
      <c r="Q186">
        <v>6.0412E-2</v>
      </c>
      <c r="R186">
        <v>994.87189999999998</v>
      </c>
      <c r="S186">
        <v>8.4110999999999995E-3</v>
      </c>
      <c r="T186">
        <v>1.8</v>
      </c>
      <c r="U186">
        <v>2.3849</v>
      </c>
      <c r="V186">
        <v>1.831</v>
      </c>
      <c r="W186">
        <v>8.7106000000000006E-3</v>
      </c>
      <c r="X186">
        <v>1.1105E-2</v>
      </c>
      <c r="Y186">
        <v>7.3550000000000004E-4</v>
      </c>
      <c r="Z186">
        <v>1.9855999999999999E-2</v>
      </c>
      <c r="AA186">
        <v>0.82047999999999999</v>
      </c>
      <c r="AB186">
        <v>1.244E-2</v>
      </c>
      <c r="AC186">
        <v>2.2545E-4</v>
      </c>
      <c r="AD186">
        <v>3.4245999999999999E-3</v>
      </c>
      <c r="AE186">
        <v>3.4816E-2</v>
      </c>
      <c r="AF186">
        <v>81.135900000000007</v>
      </c>
      <c r="AG186">
        <v>81.135900000000007</v>
      </c>
      <c r="AH186">
        <v>101.0989</v>
      </c>
      <c r="AI186">
        <v>1.1006999999999999E-2</v>
      </c>
      <c r="AJ186">
        <v>441.68079999999998</v>
      </c>
      <c r="AK186">
        <v>8.8555999999999996E-2</v>
      </c>
      <c r="AL186">
        <v>45.7819</v>
      </c>
      <c r="AM186">
        <v>0</v>
      </c>
      <c r="AN186">
        <v>12.879899999999999</v>
      </c>
      <c r="AO186">
        <v>0.40286</v>
      </c>
      <c r="AP186">
        <v>0.62368999999999997</v>
      </c>
      <c r="AQ186">
        <v>2.0830000000000001E-2</v>
      </c>
      <c r="AR186">
        <v>-1.8332999999999999</v>
      </c>
      <c r="AS186">
        <v>-203.27070000000001</v>
      </c>
    </row>
    <row r="187" spans="1:45">
      <c r="A187" t="s">
        <v>531</v>
      </c>
      <c r="B187">
        <v>245.98</v>
      </c>
      <c r="C187">
        <v>51.113999999999997</v>
      </c>
      <c r="D187" t="s">
        <v>532</v>
      </c>
      <c r="E187" t="s">
        <v>721</v>
      </c>
      <c r="F187">
        <v>4783.6804000000002</v>
      </c>
      <c r="G187">
        <v>1853.5672999999999</v>
      </c>
      <c r="H187">
        <v>37284.256099999999</v>
      </c>
      <c r="I187">
        <v>0.25224000000000002</v>
      </c>
      <c r="J187">
        <v>1.3542000000000001</v>
      </c>
      <c r="K187">
        <v>1.8569</v>
      </c>
      <c r="L187">
        <v>0.81794</v>
      </c>
      <c r="M187">
        <v>4.1454000000000003E-4</v>
      </c>
      <c r="N187" s="156">
        <v>3.3270999999999999E-6</v>
      </c>
      <c r="O187">
        <v>2.5714999999999998E-2</v>
      </c>
      <c r="P187">
        <v>13.3171</v>
      </c>
      <c r="Q187">
        <v>9.5545999999999999E-3</v>
      </c>
      <c r="R187">
        <v>1098.972</v>
      </c>
      <c r="S187">
        <v>8.4110999999999995E-3</v>
      </c>
      <c r="T187">
        <v>1.9883999999999999</v>
      </c>
      <c r="U187">
        <v>2.6343999999999999</v>
      </c>
      <c r="V187">
        <v>1.831</v>
      </c>
      <c r="W187">
        <v>8.7106000000000006E-3</v>
      </c>
      <c r="X187">
        <v>1.1105E-2</v>
      </c>
      <c r="Y187">
        <v>7.3550000000000004E-4</v>
      </c>
      <c r="Z187">
        <v>1.9855999999999999E-2</v>
      </c>
      <c r="AA187">
        <v>0.82047999999999999</v>
      </c>
      <c r="AB187">
        <v>1.244E-2</v>
      </c>
      <c r="AC187">
        <v>2.2545E-4</v>
      </c>
      <c r="AD187">
        <v>3.4245999999999999E-3</v>
      </c>
      <c r="AE187">
        <v>3.4816E-2</v>
      </c>
      <c r="AF187">
        <v>89.625699999999995</v>
      </c>
      <c r="AG187">
        <v>89.625699999999995</v>
      </c>
      <c r="AH187">
        <v>111.6776</v>
      </c>
      <c r="AI187">
        <v>1.1006999999999999E-2</v>
      </c>
      <c r="AJ187">
        <v>441.68079999999998</v>
      </c>
      <c r="AK187">
        <v>8.8555999999999996E-2</v>
      </c>
      <c r="AL187">
        <v>58.3949</v>
      </c>
      <c r="AM187">
        <v>0</v>
      </c>
      <c r="AN187">
        <v>11.7165</v>
      </c>
      <c r="AO187">
        <v>0.40286</v>
      </c>
      <c r="AP187">
        <v>0.62368999999999997</v>
      </c>
      <c r="AQ187">
        <v>2.0830000000000001E-2</v>
      </c>
      <c r="AR187">
        <v>-1.8332999999999999</v>
      </c>
      <c r="AS187">
        <v>-203.27070000000001</v>
      </c>
    </row>
    <row r="188" spans="1:45">
      <c r="A188" t="s">
        <v>533</v>
      </c>
      <c r="B188">
        <v>246.1</v>
      </c>
      <c r="C188">
        <v>52.183</v>
      </c>
      <c r="D188" t="s">
        <v>534</v>
      </c>
      <c r="E188" t="s">
        <v>721</v>
      </c>
      <c r="F188">
        <v>4958.2280000000001</v>
      </c>
      <c r="G188">
        <v>1860.682</v>
      </c>
      <c r="H188">
        <v>40332.29</v>
      </c>
      <c r="I188">
        <v>0.26995999999999998</v>
      </c>
      <c r="J188">
        <v>0.42070000000000002</v>
      </c>
      <c r="K188">
        <v>2.0922000000000001</v>
      </c>
      <c r="L188">
        <v>0.79686000000000001</v>
      </c>
      <c r="M188">
        <v>1.5327E-4</v>
      </c>
      <c r="N188" s="156">
        <v>2.0174999999999999E-5</v>
      </c>
      <c r="O188">
        <v>6.4042000000000002E-2</v>
      </c>
      <c r="P188">
        <v>23.4648</v>
      </c>
      <c r="Q188">
        <v>1.7972999999999999E-2</v>
      </c>
      <c r="R188">
        <v>1098.972</v>
      </c>
      <c r="S188">
        <v>8.4110999999999995E-3</v>
      </c>
      <c r="T188">
        <v>1.9883999999999999</v>
      </c>
      <c r="U188">
        <v>2.6343999999999999</v>
      </c>
      <c r="V188">
        <v>1.831</v>
      </c>
      <c r="W188">
        <v>8.7106000000000006E-3</v>
      </c>
      <c r="X188">
        <v>1.1105E-2</v>
      </c>
      <c r="Y188">
        <v>7.3550000000000004E-4</v>
      </c>
      <c r="Z188">
        <v>1.9855999999999999E-2</v>
      </c>
      <c r="AA188">
        <v>0.82047999999999999</v>
      </c>
      <c r="AB188">
        <v>1.244E-2</v>
      </c>
      <c r="AC188">
        <v>2.2545E-4</v>
      </c>
      <c r="AD188">
        <v>3.4245999999999999E-3</v>
      </c>
      <c r="AE188">
        <v>3.4816E-2</v>
      </c>
      <c r="AF188">
        <v>89.625699999999995</v>
      </c>
      <c r="AG188">
        <v>89.625699999999995</v>
      </c>
      <c r="AH188">
        <v>111.6776</v>
      </c>
      <c r="AI188">
        <v>1.1006999999999999E-2</v>
      </c>
      <c r="AJ188">
        <v>441.68079999999998</v>
      </c>
      <c r="AK188">
        <v>8.8555999999999996E-2</v>
      </c>
      <c r="AL188">
        <v>52.855699999999999</v>
      </c>
      <c r="AM188">
        <v>0</v>
      </c>
      <c r="AN188">
        <v>13.6814</v>
      </c>
      <c r="AO188">
        <v>0.40286</v>
      </c>
      <c r="AP188">
        <v>0.62368999999999997</v>
      </c>
      <c r="AQ188">
        <v>2.0830000000000001E-2</v>
      </c>
      <c r="AR188">
        <v>-1.8332999999999999</v>
      </c>
      <c r="AS188">
        <v>-203.27070000000001</v>
      </c>
    </row>
    <row r="189" spans="1:45">
      <c r="A189" t="s">
        <v>535</v>
      </c>
      <c r="B189">
        <v>243.535</v>
      </c>
      <c r="C189">
        <v>53.579000000000001</v>
      </c>
      <c r="D189" t="s">
        <v>536</v>
      </c>
      <c r="E189" t="s">
        <v>721</v>
      </c>
      <c r="F189">
        <v>4961.3780999999999</v>
      </c>
      <c r="G189">
        <v>1849.4963</v>
      </c>
      <c r="H189">
        <v>40550.282599999999</v>
      </c>
      <c r="I189">
        <v>0.28622999999999998</v>
      </c>
      <c r="J189">
        <v>0.49081999999999998</v>
      </c>
      <c r="K189">
        <v>2.0924</v>
      </c>
      <c r="L189">
        <v>0.80542999999999998</v>
      </c>
      <c r="M189">
        <v>2.196E-4</v>
      </c>
      <c r="N189" s="156">
        <v>1.9967999999999999E-5</v>
      </c>
      <c r="O189">
        <v>4.3900000000000002E-2</v>
      </c>
      <c r="P189">
        <v>13.400499999999999</v>
      </c>
      <c r="Q189">
        <v>1.0106E-2</v>
      </c>
      <c r="R189">
        <v>1098.972</v>
      </c>
      <c r="S189">
        <v>8.4110999999999995E-3</v>
      </c>
      <c r="T189">
        <v>1.9883999999999999</v>
      </c>
      <c r="U189">
        <v>2.6343999999999999</v>
      </c>
      <c r="V189">
        <v>1.831</v>
      </c>
      <c r="W189">
        <v>8.7106000000000006E-3</v>
      </c>
      <c r="X189">
        <v>1.1105E-2</v>
      </c>
      <c r="Y189">
        <v>7.3550000000000004E-4</v>
      </c>
      <c r="Z189">
        <v>1.9855999999999999E-2</v>
      </c>
      <c r="AA189">
        <v>0.82047999999999999</v>
      </c>
      <c r="AB189">
        <v>1.244E-2</v>
      </c>
      <c r="AC189">
        <v>2.2545E-4</v>
      </c>
      <c r="AD189">
        <v>3.4245999999999999E-3</v>
      </c>
      <c r="AE189">
        <v>3.4816E-2</v>
      </c>
      <c r="AF189">
        <v>89.625699999999995</v>
      </c>
      <c r="AG189">
        <v>89.625699999999995</v>
      </c>
      <c r="AH189">
        <v>111.6776</v>
      </c>
      <c r="AI189">
        <v>1.1006999999999999E-2</v>
      </c>
      <c r="AJ189">
        <v>441.68079999999998</v>
      </c>
      <c r="AK189">
        <v>8.8555999999999996E-2</v>
      </c>
      <c r="AL189">
        <v>53.369599999999998</v>
      </c>
      <c r="AM189">
        <v>0</v>
      </c>
      <c r="AN189">
        <v>14.2545</v>
      </c>
      <c r="AO189">
        <v>0.40286</v>
      </c>
      <c r="AP189">
        <v>0.62368999999999997</v>
      </c>
      <c r="AQ189">
        <v>2.0830000000000001E-2</v>
      </c>
      <c r="AR189">
        <v>-1.8332999999999999</v>
      </c>
      <c r="AS189">
        <v>-203.27070000000001</v>
      </c>
    </row>
    <row r="190" spans="1:45">
      <c r="A190" t="s">
        <v>537</v>
      </c>
      <c r="B190">
        <v>239.55600000000001</v>
      </c>
      <c r="C190">
        <v>50.701999999999998</v>
      </c>
      <c r="D190" t="s">
        <v>538</v>
      </c>
      <c r="E190" t="s">
        <v>721</v>
      </c>
      <c r="F190">
        <v>2930.3444</v>
      </c>
      <c r="G190">
        <v>1889.4612</v>
      </c>
      <c r="H190">
        <v>28406.878199999999</v>
      </c>
      <c r="I190">
        <v>0.2361</v>
      </c>
      <c r="J190">
        <v>1.2591000000000001</v>
      </c>
      <c r="K190">
        <v>1.3731</v>
      </c>
      <c r="L190">
        <v>0.60912999999999995</v>
      </c>
      <c r="M190">
        <v>6.8649999999999996E-3</v>
      </c>
      <c r="N190">
        <v>2.2921E-3</v>
      </c>
      <c r="O190">
        <v>0.84436999999999995</v>
      </c>
      <c r="P190">
        <v>1.2808999999999999</v>
      </c>
      <c r="Q190">
        <v>1.0252000000000001E-2</v>
      </c>
      <c r="R190">
        <v>85.868799999999993</v>
      </c>
      <c r="S190">
        <v>8.4110999999999995E-3</v>
      </c>
      <c r="T190">
        <v>0.15536</v>
      </c>
      <c r="U190">
        <v>0.20584</v>
      </c>
      <c r="V190">
        <v>1.831</v>
      </c>
      <c r="W190">
        <v>8.7106000000000006E-3</v>
      </c>
      <c r="X190">
        <v>1.1105E-2</v>
      </c>
      <c r="Y190">
        <v>7.3550000000000004E-4</v>
      </c>
      <c r="Z190">
        <v>1.9855999999999999E-2</v>
      </c>
      <c r="AA190">
        <v>0.82047999999999999</v>
      </c>
      <c r="AB190">
        <v>1.244E-2</v>
      </c>
      <c r="AC190">
        <v>2.2545E-4</v>
      </c>
      <c r="AD190">
        <v>3.4245999999999999E-3</v>
      </c>
      <c r="AE190">
        <v>3.4816E-2</v>
      </c>
      <c r="AF190">
        <v>7.0030000000000001</v>
      </c>
      <c r="AG190">
        <v>7.0030000000000001</v>
      </c>
      <c r="AH190">
        <v>8.7260000000000009</v>
      </c>
      <c r="AI190">
        <v>1.1006999999999999E-2</v>
      </c>
      <c r="AJ190">
        <v>441.68079999999998</v>
      </c>
      <c r="AK190">
        <v>8.8555999999999996E-2</v>
      </c>
      <c r="AL190">
        <v>4.9020999999999999</v>
      </c>
      <c r="AM190">
        <v>0</v>
      </c>
      <c r="AN190">
        <v>0.57852000000000003</v>
      </c>
      <c r="AO190">
        <v>0.40286</v>
      </c>
      <c r="AP190">
        <v>0.62368999999999997</v>
      </c>
      <c r="AQ190">
        <v>2.0830000000000001E-2</v>
      </c>
      <c r="AR190">
        <v>-1.8332999999999999</v>
      </c>
      <c r="AS190">
        <v>-203.27070000000001</v>
      </c>
    </row>
    <row r="191" spans="1:45">
      <c r="A191" t="s">
        <v>539</v>
      </c>
      <c r="B191">
        <v>240.398</v>
      </c>
      <c r="C191">
        <v>49.463000000000001</v>
      </c>
      <c r="D191" t="s">
        <v>540</v>
      </c>
      <c r="E191" t="s">
        <v>721</v>
      </c>
      <c r="F191">
        <v>2871.4389999999999</v>
      </c>
      <c r="G191">
        <v>1890.8402000000001</v>
      </c>
      <c r="H191">
        <v>27342.104500000001</v>
      </c>
      <c r="I191">
        <v>0.22742000000000001</v>
      </c>
      <c r="J191">
        <v>1.2467999999999999</v>
      </c>
      <c r="K191">
        <v>1.3396999999999999</v>
      </c>
      <c r="L191">
        <v>0.56766000000000005</v>
      </c>
      <c r="M191">
        <v>2.6829000000000002E-3</v>
      </c>
      <c r="N191">
        <v>4.8368E-4</v>
      </c>
      <c r="O191">
        <v>0.17713000000000001</v>
      </c>
      <c r="P191">
        <v>2.0339999999999998</v>
      </c>
      <c r="Q191">
        <v>1.5960999999999999E-2</v>
      </c>
      <c r="R191">
        <v>85.868799999999993</v>
      </c>
      <c r="S191">
        <v>8.4110999999999995E-3</v>
      </c>
      <c r="T191">
        <v>0.15536</v>
      </c>
      <c r="U191">
        <v>0.20584</v>
      </c>
      <c r="V191">
        <v>1.831</v>
      </c>
      <c r="W191">
        <v>8.7106000000000006E-3</v>
      </c>
      <c r="X191">
        <v>1.1105E-2</v>
      </c>
      <c r="Y191">
        <v>7.3550000000000004E-4</v>
      </c>
      <c r="Z191">
        <v>1.9855999999999999E-2</v>
      </c>
      <c r="AA191">
        <v>0.82047999999999999</v>
      </c>
      <c r="AB191">
        <v>1.244E-2</v>
      </c>
      <c r="AC191">
        <v>2.2545E-4</v>
      </c>
      <c r="AD191">
        <v>3.4245999999999999E-3</v>
      </c>
      <c r="AE191">
        <v>3.4816E-2</v>
      </c>
      <c r="AF191">
        <v>7.0030000000000001</v>
      </c>
      <c r="AG191">
        <v>7.0030000000000001</v>
      </c>
      <c r="AH191">
        <v>8.7260000000000009</v>
      </c>
      <c r="AI191">
        <v>1.1006999999999999E-2</v>
      </c>
      <c r="AJ191">
        <v>441.68079999999998</v>
      </c>
      <c r="AK191">
        <v>8.8555999999999996E-2</v>
      </c>
      <c r="AL191">
        <v>4.9375999999999998</v>
      </c>
      <c r="AM191">
        <v>0</v>
      </c>
      <c r="AN191">
        <v>0.55527000000000004</v>
      </c>
      <c r="AO191">
        <v>0.40286</v>
      </c>
      <c r="AP191">
        <v>0.62368999999999997</v>
      </c>
      <c r="AQ191">
        <v>2.0830000000000001E-2</v>
      </c>
      <c r="AR191">
        <v>-1.8332999999999999</v>
      </c>
      <c r="AS191">
        <v>-203.27070000000001</v>
      </c>
    </row>
    <row r="192" spans="1:45">
      <c r="A192" t="s">
        <v>541</v>
      </c>
      <c r="B192">
        <v>236.816</v>
      </c>
      <c r="C192">
        <v>49.194000000000003</v>
      </c>
      <c r="D192" t="s">
        <v>542</v>
      </c>
      <c r="E192" t="s">
        <v>721</v>
      </c>
      <c r="F192">
        <v>2647.9499000000001</v>
      </c>
      <c r="G192">
        <v>1988.4939999999999</v>
      </c>
      <c r="H192">
        <v>23198.284599999999</v>
      </c>
      <c r="I192">
        <v>0.39689000000000002</v>
      </c>
      <c r="J192">
        <v>1.5880999999999999E-2</v>
      </c>
      <c r="K192">
        <v>1.0133000000000001</v>
      </c>
      <c r="L192">
        <v>0.29914000000000002</v>
      </c>
      <c r="M192">
        <v>0</v>
      </c>
      <c r="N192">
        <v>0</v>
      </c>
      <c r="O192">
        <v>0</v>
      </c>
      <c r="P192">
        <v>9.5455000000000005</v>
      </c>
      <c r="Q192">
        <v>0.11808</v>
      </c>
      <c r="R192">
        <v>85.868799999999993</v>
      </c>
      <c r="S192">
        <v>8.4110999999999995E-3</v>
      </c>
      <c r="T192">
        <v>0.15536</v>
      </c>
      <c r="U192">
        <v>0.20584</v>
      </c>
      <c r="V192">
        <v>1.831</v>
      </c>
      <c r="W192">
        <v>8.7106000000000006E-3</v>
      </c>
      <c r="X192">
        <v>1.1105E-2</v>
      </c>
      <c r="Y192">
        <v>7.3550000000000004E-4</v>
      </c>
      <c r="Z192">
        <v>1.9855999999999999E-2</v>
      </c>
      <c r="AA192">
        <v>0.82047999999999999</v>
      </c>
      <c r="AB192">
        <v>1.244E-2</v>
      </c>
      <c r="AC192">
        <v>2.2545E-4</v>
      </c>
      <c r="AD192">
        <v>3.4245999999999999E-3</v>
      </c>
      <c r="AE192">
        <v>3.4816E-2</v>
      </c>
      <c r="AF192">
        <v>7.0030000000000001</v>
      </c>
      <c r="AG192">
        <v>7.0030000000000001</v>
      </c>
      <c r="AH192">
        <v>8.7260000000000009</v>
      </c>
      <c r="AI192">
        <v>1.1006999999999999E-2</v>
      </c>
      <c r="AJ192">
        <v>441.68079999999998</v>
      </c>
      <c r="AK192">
        <v>8.8555999999999996E-2</v>
      </c>
      <c r="AL192">
        <v>5.0641999999999996</v>
      </c>
      <c r="AM192">
        <v>0</v>
      </c>
      <c r="AN192">
        <v>0.41498000000000002</v>
      </c>
      <c r="AO192">
        <v>0.40286</v>
      </c>
      <c r="AP192">
        <v>0.62368999999999997</v>
      </c>
      <c r="AQ192">
        <v>2.0830000000000001E-2</v>
      </c>
      <c r="AR192">
        <v>-1.8332999999999999</v>
      </c>
      <c r="AS192">
        <v>-203.27070000000001</v>
      </c>
    </row>
    <row r="193" spans="1:45">
      <c r="A193" t="s">
        <v>543</v>
      </c>
      <c r="B193">
        <v>235.113</v>
      </c>
      <c r="C193">
        <v>49.710999999999999</v>
      </c>
      <c r="D193" t="s">
        <v>544</v>
      </c>
      <c r="E193" t="s">
        <v>721</v>
      </c>
      <c r="F193">
        <v>2645.9719</v>
      </c>
      <c r="G193">
        <v>1917.6361999999999</v>
      </c>
      <c r="H193">
        <v>23242.339100000001</v>
      </c>
      <c r="I193">
        <v>0.37159999999999999</v>
      </c>
      <c r="J193">
        <v>4.2700000000000002E-2</v>
      </c>
      <c r="K193">
        <v>1.0849</v>
      </c>
      <c r="L193">
        <v>0.31640000000000001</v>
      </c>
      <c r="M193">
        <v>0</v>
      </c>
      <c r="N193">
        <v>0</v>
      </c>
      <c r="O193">
        <v>0</v>
      </c>
      <c r="P193">
        <v>5.0819000000000001</v>
      </c>
      <c r="Q193">
        <v>5.8004E-2</v>
      </c>
      <c r="R193">
        <v>85.868799999999993</v>
      </c>
      <c r="S193">
        <v>8.4110999999999995E-3</v>
      </c>
      <c r="T193">
        <v>0.15536</v>
      </c>
      <c r="U193">
        <v>0.20584</v>
      </c>
      <c r="V193">
        <v>1.831</v>
      </c>
      <c r="W193">
        <v>8.7106000000000006E-3</v>
      </c>
      <c r="X193">
        <v>1.1105E-2</v>
      </c>
      <c r="Y193">
        <v>7.3550000000000004E-4</v>
      </c>
      <c r="Z193">
        <v>1.9855999999999999E-2</v>
      </c>
      <c r="AA193">
        <v>0.82047999999999999</v>
      </c>
      <c r="AB193">
        <v>1.244E-2</v>
      </c>
      <c r="AC193">
        <v>2.2545E-4</v>
      </c>
      <c r="AD193">
        <v>3.4245999999999999E-3</v>
      </c>
      <c r="AE193">
        <v>3.4816E-2</v>
      </c>
      <c r="AF193">
        <v>7.0030000000000001</v>
      </c>
      <c r="AG193">
        <v>7.0030000000000001</v>
      </c>
      <c r="AH193">
        <v>8.7260000000000009</v>
      </c>
      <c r="AI193">
        <v>1.1006999999999999E-2</v>
      </c>
      <c r="AJ193">
        <v>441.68079999999998</v>
      </c>
      <c r="AK193">
        <v>8.8555999999999996E-2</v>
      </c>
      <c r="AL193">
        <v>5.0519999999999996</v>
      </c>
      <c r="AM193">
        <v>0</v>
      </c>
      <c r="AN193">
        <v>0.44527</v>
      </c>
      <c r="AO193">
        <v>0.40286</v>
      </c>
      <c r="AP193">
        <v>0.62368999999999997</v>
      </c>
      <c r="AQ193">
        <v>2.0830000000000001E-2</v>
      </c>
      <c r="AR193">
        <v>-1.8332999999999999</v>
      </c>
      <c r="AS193">
        <v>-203.27070000000001</v>
      </c>
    </row>
    <row r="194" spans="1:45">
      <c r="A194" t="s">
        <v>545</v>
      </c>
      <c r="B194">
        <v>237.321</v>
      </c>
      <c r="C194">
        <v>53.889000000000003</v>
      </c>
      <c r="D194" t="s">
        <v>546</v>
      </c>
      <c r="E194" t="s">
        <v>721</v>
      </c>
      <c r="F194">
        <v>3404.5248000000001</v>
      </c>
      <c r="G194">
        <v>1853.3280999999999</v>
      </c>
      <c r="H194">
        <v>37006.3436</v>
      </c>
      <c r="I194">
        <v>0.32286999999999999</v>
      </c>
      <c r="J194">
        <v>9.2144000000000004E-2</v>
      </c>
      <c r="K194">
        <v>1.8573999999999999</v>
      </c>
      <c r="L194">
        <v>0.72389000000000003</v>
      </c>
      <c r="M194">
        <v>1.6072999999999999E-4</v>
      </c>
      <c r="N194">
        <v>0</v>
      </c>
      <c r="O194">
        <v>0</v>
      </c>
      <c r="P194">
        <v>1.0749</v>
      </c>
      <c r="Q194">
        <v>1.0876E-2</v>
      </c>
      <c r="R194">
        <v>85.868799999999993</v>
      </c>
      <c r="S194">
        <v>8.4110999999999995E-3</v>
      </c>
      <c r="T194">
        <v>0.15536</v>
      </c>
      <c r="U194">
        <v>0.20584</v>
      </c>
      <c r="V194">
        <v>1.831</v>
      </c>
      <c r="W194">
        <v>8.7106000000000006E-3</v>
      </c>
      <c r="X194">
        <v>1.1105E-2</v>
      </c>
      <c r="Y194">
        <v>7.3550000000000004E-4</v>
      </c>
      <c r="Z194">
        <v>1.9855999999999999E-2</v>
      </c>
      <c r="AA194">
        <v>0.82047999999999999</v>
      </c>
      <c r="AB194">
        <v>1.244E-2</v>
      </c>
      <c r="AC194">
        <v>2.2545E-4</v>
      </c>
      <c r="AD194">
        <v>3.4245999999999999E-3</v>
      </c>
      <c r="AE194">
        <v>3.4816E-2</v>
      </c>
      <c r="AF194">
        <v>7.0030000000000001</v>
      </c>
      <c r="AG194">
        <v>7.0030000000000001</v>
      </c>
      <c r="AH194">
        <v>8.7260000000000009</v>
      </c>
      <c r="AI194">
        <v>1.1006999999999999E-2</v>
      </c>
      <c r="AJ194">
        <v>441.68079999999998</v>
      </c>
      <c r="AK194">
        <v>8.8555999999999996E-2</v>
      </c>
      <c r="AL194">
        <v>4.5286999999999997</v>
      </c>
      <c r="AM194">
        <v>0</v>
      </c>
      <c r="AN194">
        <v>0.91586000000000001</v>
      </c>
      <c r="AO194">
        <v>0.40286</v>
      </c>
      <c r="AP194">
        <v>0.62368999999999997</v>
      </c>
      <c r="AQ194">
        <v>2.0830000000000001E-2</v>
      </c>
      <c r="AR194">
        <v>-1.8332999999999999</v>
      </c>
      <c r="AS194">
        <v>-203.27070000000001</v>
      </c>
    </row>
    <row r="195" spans="1:45">
      <c r="A195" t="s">
        <v>547</v>
      </c>
      <c r="B195">
        <v>229.55</v>
      </c>
      <c r="C195">
        <v>54.283000000000001</v>
      </c>
      <c r="D195" t="s">
        <v>548</v>
      </c>
      <c r="E195" t="s">
        <v>721</v>
      </c>
      <c r="F195">
        <v>2868.7224999999999</v>
      </c>
      <c r="G195">
        <v>1879.8889999999999</v>
      </c>
      <c r="H195">
        <v>27305.398300000001</v>
      </c>
      <c r="I195">
        <v>0.46450000000000002</v>
      </c>
      <c r="J195">
        <v>0</v>
      </c>
      <c r="K195">
        <v>1.2616000000000001</v>
      </c>
      <c r="L195">
        <v>0.38566</v>
      </c>
      <c r="M195">
        <v>0</v>
      </c>
      <c r="N195">
        <v>0</v>
      </c>
      <c r="O195">
        <v>0</v>
      </c>
      <c r="P195">
        <v>2.7797000000000001</v>
      </c>
      <c r="Q195">
        <v>3.9279000000000001E-2</v>
      </c>
      <c r="R195">
        <v>85.868799999999993</v>
      </c>
      <c r="S195">
        <v>8.4110999999999995E-3</v>
      </c>
      <c r="T195">
        <v>0.15536</v>
      </c>
      <c r="U195">
        <v>0.20584</v>
      </c>
      <c r="V195">
        <v>1.831</v>
      </c>
      <c r="W195">
        <v>8.7106000000000006E-3</v>
      </c>
      <c r="X195">
        <v>1.1105E-2</v>
      </c>
      <c r="Y195">
        <v>7.3550000000000004E-4</v>
      </c>
      <c r="Z195">
        <v>1.9855999999999999E-2</v>
      </c>
      <c r="AA195">
        <v>0.82047999999999999</v>
      </c>
      <c r="AB195">
        <v>1.244E-2</v>
      </c>
      <c r="AC195">
        <v>2.2545E-4</v>
      </c>
      <c r="AD195">
        <v>3.4245999999999999E-3</v>
      </c>
      <c r="AE195">
        <v>3.4816E-2</v>
      </c>
      <c r="AF195">
        <v>7.0030000000000001</v>
      </c>
      <c r="AG195">
        <v>7.0030000000000001</v>
      </c>
      <c r="AH195">
        <v>8.7260000000000009</v>
      </c>
      <c r="AI195">
        <v>1.1006999999999999E-2</v>
      </c>
      <c r="AJ195">
        <v>441.68079999999998</v>
      </c>
      <c r="AK195">
        <v>8.8555999999999996E-2</v>
      </c>
      <c r="AL195">
        <v>4.9112</v>
      </c>
      <c r="AM195">
        <v>0</v>
      </c>
      <c r="AN195">
        <v>0.57706000000000002</v>
      </c>
      <c r="AO195">
        <v>0.40286</v>
      </c>
      <c r="AP195">
        <v>0.62368999999999997</v>
      </c>
      <c r="AQ195">
        <v>2.0830000000000001E-2</v>
      </c>
      <c r="AR195">
        <v>-1.8332999999999999</v>
      </c>
      <c r="AS195">
        <v>-203.27070000000001</v>
      </c>
    </row>
    <row r="196" spans="1:45">
      <c r="A196" t="s">
        <v>549</v>
      </c>
      <c r="B196">
        <v>285.96699999999998</v>
      </c>
      <c r="C196">
        <v>45.683</v>
      </c>
      <c r="D196" t="s">
        <v>550</v>
      </c>
      <c r="E196" t="s">
        <v>721</v>
      </c>
      <c r="F196">
        <v>3244.5560999999998</v>
      </c>
      <c r="G196">
        <v>2109.4376999999999</v>
      </c>
      <c r="H196">
        <v>35629.718099999998</v>
      </c>
      <c r="I196">
        <v>0.318</v>
      </c>
      <c r="J196">
        <v>4.4137000000000003E-2</v>
      </c>
      <c r="K196">
        <v>1.6827000000000001</v>
      </c>
      <c r="L196">
        <v>0.63646999999999998</v>
      </c>
      <c r="M196" s="156">
        <v>4.3878000000000002E-5</v>
      </c>
      <c r="N196">
        <v>0</v>
      </c>
      <c r="O196">
        <v>0</v>
      </c>
      <c r="P196">
        <v>4.1482000000000001</v>
      </c>
      <c r="Q196">
        <v>0.16947000000000001</v>
      </c>
      <c r="R196">
        <v>20.8062</v>
      </c>
      <c r="S196">
        <v>8.4110999999999995E-3</v>
      </c>
      <c r="T196">
        <v>3.7644999999999998E-2</v>
      </c>
      <c r="U196">
        <v>4.9875999999999997E-2</v>
      </c>
      <c r="V196">
        <v>1.831</v>
      </c>
      <c r="W196">
        <v>8.7106000000000006E-3</v>
      </c>
      <c r="X196">
        <v>1.1105E-2</v>
      </c>
      <c r="Y196">
        <v>7.3550000000000004E-4</v>
      </c>
      <c r="Z196">
        <v>1.9855999999999999E-2</v>
      </c>
      <c r="AA196">
        <v>0.82047999999999999</v>
      </c>
      <c r="AB196">
        <v>1.244E-2</v>
      </c>
      <c r="AC196">
        <v>2.2545E-4</v>
      </c>
      <c r="AD196">
        <v>3.4245999999999999E-3</v>
      </c>
      <c r="AE196">
        <v>3.4816E-2</v>
      </c>
      <c r="AF196">
        <v>1.6968000000000001</v>
      </c>
      <c r="AG196">
        <v>1.6968000000000001</v>
      </c>
      <c r="AH196">
        <v>2.1143000000000001</v>
      </c>
      <c r="AI196">
        <v>1.1006999999999999E-2</v>
      </c>
      <c r="AJ196">
        <v>441.68079999999998</v>
      </c>
      <c r="AK196">
        <v>8.8555999999999996E-2</v>
      </c>
      <c r="AL196">
        <v>1.0792999999999999</v>
      </c>
      <c r="AM196">
        <v>0</v>
      </c>
      <c r="AN196">
        <v>0.20013</v>
      </c>
      <c r="AO196">
        <v>0.40286</v>
      </c>
      <c r="AP196">
        <v>0.62368999999999997</v>
      </c>
      <c r="AQ196">
        <v>2.0830000000000001E-2</v>
      </c>
      <c r="AR196">
        <v>-1.8332999999999999</v>
      </c>
      <c r="AS196">
        <v>-203.27070000000001</v>
      </c>
    </row>
    <row r="197" spans="1:45">
      <c r="A197" t="s">
        <v>551</v>
      </c>
      <c r="B197">
        <v>291.58300000000003</v>
      </c>
      <c r="C197">
        <v>58.1</v>
      </c>
      <c r="D197" t="s">
        <v>552</v>
      </c>
      <c r="E197" t="s">
        <v>721</v>
      </c>
      <c r="F197">
        <v>4189.4144999999999</v>
      </c>
      <c r="G197">
        <v>1829.1406999999999</v>
      </c>
      <c r="H197">
        <v>52760.535799999998</v>
      </c>
      <c r="I197">
        <v>0.22220999999999999</v>
      </c>
      <c r="J197">
        <v>0</v>
      </c>
      <c r="K197">
        <v>2.9401000000000002</v>
      </c>
      <c r="L197">
        <v>0.98573</v>
      </c>
      <c r="M197">
        <v>0</v>
      </c>
      <c r="N197">
        <v>0</v>
      </c>
      <c r="O197">
        <v>0</v>
      </c>
      <c r="P197">
        <v>0.16567999999999999</v>
      </c>
      <c r="Q197">
        <v>8.2260000000000007E-3</v>
      </c>
      <c r="R197">
        <v>20.8062</v>
      </c>
      <c r="S197">
        <v>8.4110999999999995E-3</v>
      </c>
      <c r="T197">
        <v>3.7644999999999998E-2</v>
      </c>
      <c r="U197">
        <v>4.9875999999999997E-2</v>
      </c>
      <c r="V197">
        <v>1.831</v>
      </c>
      <c r="W197">
        <v>8.7106000000000006E-3</v>
      </c>
      <c r="X197">
        <v>1.1105E-2</v>
      </c>
      <c r="Y197">
        <v>7.3550000000000004E-4</v>
      </c>
      <c r="Z197">
        <v>1.9855999999999999E-2</v>
      </c>
      <c r="AA197">
        <v>0.82047999999999999</v>
      </c>
      <c r="AB197">
        <v>1.244E-2</v>
      </c>
      <c r="AC197">
        <v>2.2545E-4</v>
      </c>
      <c r="AD197">
        <v>3.4245999999999999E-3</v>
      </c>
      <c r="AE197">
        <v>3.4816E-2</v>
      </c>
      <c r="AF197">
        <v>1.6968000000000001</v>
      </c>
      <c r="AG197">
        <v>1.6968000000000001</v>
      </c>
      <c r="AH197">
        <v>2.1143000000000001</v>
      </c>
      <c r="AI197">
        <v>1.1006999999999999E-2</v>
      </c>
      <c r="AJ197">
        <v>441.68079999999998</v>
      </c>
      <c r="AK197">
        <v>8.8555999999999996E-2</v>
      </c>
      <c r="AL197">
        <v>0.71986000000000006</v>
      </c>
      <c r="AM197">
        <v>0</v>
      </c>
      <c r="AN197">
        <v>0.35100999999999999</v>
      </c>
      <c r="AO197">
        <v>0.40286</v>
      </c>
      <c r="AP197">
        <v>0.62368999999999997</v>
      </c>
      <c r="AQ197">
        <v>2.0830000000000001E-2</v>
      </c>
      <c r="AR197">
        <v>-1.8332999999999999</v>
      </c>
      <c r="AS197">
        <v>-203.27070000000001</v>
      </c>
    </row>
    <row r="198" spans="1:45">
      <c r="A198" t="s">
        <v>553</v>
      </c>
      <c r="B198">
        <v>291.44400000000002</v>
      </c>
      <c r="C198">
        <v>63.756</v>
      </c>
      <c r="D198" t="s">
        <v>554</v>
      </c>
      <c r="E198" t="s">
        <v>721</v>
      </c>
      <c r="F198">
        <v>6504.4313000000002</v>
      </c>
      <c r="G198">
        <v>1817.2851000000001</v>
      </c>
      <c r="H198">
        <v>60186.966899999999</v>
      </c>
      <c r="I198">
        <v>0.19713</v>
      </c>
      <c r="J198">
        <v>0</v>
      </c>
      <c r="K198">
        <v>3.4278</v>
      </c>
      <c r="L198">
        <v>1.1163000000000001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1463.3086000000001</v>
      </c>
      <c r="S198">
        <v>8.4110999999999995E-3</v>
      </c>
      <c r="T198">
        <v>2.6476000000000002</v>
      </c>
      <c r="U198">
        <v>3.5078</v>
      </c>
      <c r="V198">
        <v>1.831</v>
      </c>
      <c r="W198">
        <v>8.7106000000000006E-3</v>
      </c>
      <c r="X198">
        <v>1.1105E-2</v>
      </c>
      <c r="Y198">
        <v>7.3550000000000004E-4</v>
      </c>
      <c r="Z198">
        <v>1.9855999999999999E-2</v>
      </c>
      <c r="AA198">
        <v>0.82047999999999999</v>
      </c>
      <c r="AB198">
        <v>1.244E-2</v>
      </c>
      <c r="AC198">
        <v>2.2545E-4</v>
      </c>
      <c r="AD198">
        <v>3.4245999999999999E-3</v>
      </c>
      <c r="AE198">
        <v>3.4816E-2</v>
      </c>
      <c r="AF198">
        <v>119.33880000000001</v>
      </c>
      <c r="AG198">
        <v>119.33880000000001</v>
      </c>
      <c r="AH198">
        <v>148.70150000000001</v>
      </c>
      <c r="AI198">
        <v>1.1006999999999999E-2</v>
      </c>
      <c r="AJ198">
        <v>441.68079999999998</v>
      </c>
      <c r="AK198">
        <v>8.8555999999999996E-2</v>
      </c>
      <c r="AL198">
        <v>43.335700000000003</v>
      </c>
      <c r="AM198">
        <v>0</v>
      </c>
      <c r="AN198">
        <v>31.032</v>
      </c>
      <c r="AO198">
        <v>0.40286</v>
      </c>
      <c r="AP198">
        <v>0.62368999999999997</v>
      </c>
      <c r="AQ198">
        <v>2.0830000000000001E-2</v>
      </c>
      <c r="AR198">
        <v>-1.8332999999999999</v>
      </c>
      <c r="AS198">
        <v>-203.27070000000001</v>
      </c>
    </row>
    <row r="199" spans="1:45">
      <c r="A199" t="s">
        <v>555</v>
      </c>
      <c r="B199">
        <v>265.28300000000002</v>
      </c>
      <c r="C199">
        <v>56.35</v>
      </c>
      <c r="D199" t="s">
        <v>556</v>
      </c>
      <c r="E199" t="s">
        <v>721</v>
      </c>
      <c r="F199">
        <v>4122.8203000000003</v>
      </c>
      <c r="G199">
        <v>1847.2429</v>
      </c>
      <c r="H199">
        <v>50325.273399999998</v>
      </c>
      <c r="I199">
        <v>0.19796</v>
      </c>
      <c r="J199">
        <v>1.7541999999999999E-2</v>
      </c>
      <c r="K199">
        <v>2.8233000000000001</v>
      </c>
      <c r="L199">
        <v>0.92700000000000005</v>
      </c>
      <c r="M199" s="156">
        <v>2.7344000000000001E-5</v>
      </c>
      <c r="N199">
        <v>0</v>
      </c>
      <c r="O199">
        <v>0</v>
      </c>
      <c r="P199">
        <v>1.333</v>
      </c>
      <c r="Q199">
        <v>1.6060999999999999E-2</v>
      </c>
      <c r="R199">
        <v>71.534400000000005</v>
      </c>
      <c r="S199">
        <v>8.4110999999999995E-3</v>
      </c>
      <c r="T199">
        <v>0.12942999999999999</v>
      </c>
      <c r="U199">
        <v>0.17147999999999999</v>
      </c>
      <c r="V199">
        <v>1.831</v>
      </c>
      <c r="W199">
        <v>8.7106000000000006E-3</v>
      </c>
      <c r="X199">
        <v>1.1105E-2</v>
      </c>
      <c r="Y199">
        <v>7.3550000000000004E-4</v>
      </c>
      <c r="Z199">
        <v>1.9855999999999999E-2</v>
      </c>
      <c r="AA199">
        <v>0.82047999999999999</v>
      </c>
      <c r="AB199">
        <v>1.244E-2</v>
      </c>
      <c r="AC199">
        <v>2.2545E-4</v>
      </c>
      <c r="AD199">
        <v>3.4245999999999999E-3</v>
      </c>
      <c r="AE199">
        <v>3.4816E-2</v>
      </c>
      <c r="AF199">
        <v>5.8338999999999999</v>
      </c>
      <c r="AG199">
        <v>5.8338999999999999</v>
      </c>
      <c r="AH199">
        <v>7.2693000000000003</v>
      </c>
      <c r="AI199">
        <v>1.1006999999999999E-2</v>
      </c>
      <c r="AJ199">
        <v>441.68079999999998</v>
      </c>
      <c r="AK199">
        <v>8.8555999999999996E-2</v>
      </c>
      <c r="AL199">
        <v>2.5402999999999998</v>
      </c>
      <c r="AM199">
        <v>0</v>
      </c>
      <c r="AN199">
        <v>1.3009999999999999</v>
      </c>
      <c r="AO199">
        <v>0.40286</v>
      </c>
      <c r="AP199">
        <v>0.62368999999999997</v>
      </c>
      <c r="AQ199">
        <v>2.0830000000000001E-2</v>
      </c>
      <c r="AR199">
        <v>-1.8332999999999999</v>
      </c>
      <c r="AS199">
        <v>-203.27070000000001</v>
      </c>
    </row>
    <row r="200" spans="1:45">
      <c r="A200" t="s">
        <v>557</v>
      </c>
      <c r="B200">
        <v>276.64100000000002</v>
      </c>
      <c r="C200">
        <v>64.192999999999998</v>
      </c>
      <c r="D200" t="s">
        <v>558</v>
      </c>
      <c r="E200" t="s">
        <v>721</v>
      </c>
      <c r="F200">
        <v>6693.3806000000004</v>
      </c>
      <c r="G200">
        <v>1818.0255999999999</v>
      </c>
      <c r="H200">
        <v>63583.232900000003</v>
      </c>
      <c r="I200">
        <v>0.16983999999999999</v>
      </c>
      <c r="J200">
        <v>0</v>
      </c>
      <c r="K200">
        <v>3.6970000000000001</v>
      </c>
      <c r="L200">
        <v>1.1416999999999999</v>
      </c>
      <c r="M200">
        <v>0</v>
      </c>
      <c r="N200">
        <v>0</v>
      </c>
      <c r="O200">
        <v>0</v>
      </c>
      <c r="P200">
        <v>0.21751999999999999</v>
      </c>
      <c r="Q200">
        <v>2.299E-4</v>
      </c>
      <c r="R200">
        <v>1463.3086000000001</v>
      </c>
      <c r="S200">
        <v>8.4110999999999995E-3</v>
      </c>
      <c r="T200">
        <v>2.6476000000000002</v>
      </c>
      <c r="U200">
        <v>3.5078</v>
      </c>
      <c r="V200">
        <v>1.831</v>
      </c>
      <c r="W200">
        <v>8.7106000000000006E-3</v>
      </c>
      <c r="X200">
        <v>1.1105E-2</v>
      </c>
      <c r="Y200">
        <v>7.3550000000000004E-4</v>
      </c>
      <c r="Z200">
        <v>1.9855999999999999E-2</v>
      </c>
      <c r="AA200">
        <v>0.82047999999999999</v>
      </c>
      <c r="AB200">
        <v>1.244E-2</v>
      </c>
      <c r="AC200">
        <v>2.2545E-4</v>
      </c>
      <c r="AD200">
        <v>3.4245999999999999E-3</v>
      </c>
      <c r="AE200">
        <v>3.4816E-2</v>
      </c>
      <c r="AF200">
        <v>119.33880000000001</v>
      </c>
      <c r="AG200">
        <v>119.33880000000001</v>
      </c>
      <c r="AH200">
        <v>148.70150000000001</v>
      </c>
      <c r="AI200">
        <v>1.1006999999999999E-2</v>
      </c>
      <c r="AJ200">
        <v>441.68079999999998</v>
      </c>
      <c r="AK200">
        <v>8.8555999999999996E-2</v>
      </c>
      <c r="AL200">
        <v>39.590000000000003</v>
      </c>
      <c r="AM200">
        <v>0</v>
      </c>
      <c r="AN200">
        <v>35.347200000000001</v>
      </c>
      <c r="AO200">
        <v>0.40286</v>
      </c>
      <c r="AP200">
        <v>0.62368999999999997</v>
      </c>
      <c r="AQ200">
        <v>2.0830000000000001E-2</v>
      </c>
      <c r="AR200">
        <v>-1.8332999999999999</v>
      </c>
      <c r="AS200">
        <v>-203.27070000000001</v>
      </c>
    </row>
    <row r="201" spans="1:45">
      <c r="A201" t="s">
        <v>559</v>
      </c>
      <c r="B201">
        <v>274.06700000000001</v>
      </c>
      <c r="C201">
        <v>79.983000000000004</v>
      </c>
      <c r="D201" t="s">
        <v>560</v>
      </c>
      <c r="E201" t="s">
        <v>721</v>
      </c>
      <c r="F201">
        <v>7444.0567000000001</v>
      </c>
      <c r="G201">
        <v>1822.2936999999999</v>
      </c>
      <c r="H201">
        <v>77050.812999999995</v>
      </c>
      <c r="I201">
        <v>0.11075</v>
      </c>
      <c r="J201">
        <v>0</v>
      </c>
      <c r="K201">
        <v>4.6341999999999999</v>
      </c>
      <c r="L201">
        <v>1.3247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1463.3086000000001</v>
      </c>
      <c r="S201">
        <v>8.4110999999999995E-3</v>
      </c>
      <c r="T201">
        <v>2.6476000000000002</v>
      </c>
      <c r="U201">
        <v>3.5078</v>
      </c>
      <c r="V201">
        <v>1.831</v>
      </c>
      <c r="W201">
        <v>8.7106000000000006E-3</v>
      </c>
      <c r="X201">
        <v>1.1105E-2</v>
      </c>
      <c r="Y201">
        <v>7.3550000000000004E-4</v>
      </c>
      <c r="Z201">
        <v>1.9855999999999999E-2</v>
      </c>
      <c r="AA201">
        <v>0.82047999999999999</v>
      </c>
      <c r="AB201">
        <v>1.244E-2</v>
      </c>
      <c r="AC201">
        <v>2.2545E-4</v>
      </c>
      <c r="AD201">
        <v>3.4245999999999999E-3</v>
      </c>
      <c r="AE201">
        <v>3.4816E-2</v>
      </c>
      <c r="AF201">
        <v>119.33880000000001</v>
      </c>
      <c r="AG201">
        <v>119.33880000000001</v>
      </c>
      <c r="AH201">
        <v>148.70150000000001</v>
      </c>
      <c r="AI201">
        <v>1.1006999999999999E-2</v>
      </c>
      <c r="AJ201">
        <v>441.68079999999998</v>
      </c>
      <c r="AK201">
        <v>8.8555999999999996E-2</v>
      </c>
      <c r="AL201">
        <v>30.628599999999999</v>
      </c>
      <c r="AM201">
        <v>0</v>
      </c>
      <c r="AN201">
        <v>49.061599999999999</v>
      </c>
      <c r="AO201">
        <v>0.40286</v>
      </c>
      <c r="AP201">
        <v>0.62368999999999997</v>
      </c>
      <c r="AQ201">
        <v>2.0830000000000001E-2</v>
      </c>
      <c r="AR201">
        <v>-1.8332999999999999</v>
      </c>
      <c r="AS201">
        <v>-203.27070000000001</v>
      </c>
    </row>
    <row r="202" spans="1:45">
      <c r="A202" t="s">
        <v>561</v>
      </c>
      <c r="B202">
        <v>254.738</v>
      </c>
      <c r="C202">
        <v>55.151000000000003</v>
      </c>
      <c r="D202" t="s">
        <v>562</v>
      </c>
      <c r="E202" t="s">
        <v>721</v>
      </c>
      <c r="F202">
        <v>5032.7116999999998</v>
      </c>
      <c r="G202">
        <v>1880.4228000000001</v>
      </c>
      <c r="H202">
        <v>43958.258600000001</v>
      </c>
      <c r="I202">
        <v>0.21783</v>
      </c>
      <c r="J202">
        <v>0.54379999999999995</v>
      </c>
      <c r="K202">
        <v>2.3776999999999999</v>
      </c>
      <c r="L202">
        <v>0.82803000000000004</v>
      </c>
      <c r="M202">
        <v>1.6553E-4</v>
      </c>
      <c r="N202" s="156">
        <v>1.2978E-5</v>
      </c>
      <c r="O202">
        <v>0.13735</v>
      </c>
      <c r="P202">
        <v>39.756</v>
      </c>
      <c r="Q202">
        <v>3.9040999999999999E-2</v>
      </c>
      <c r="R202">
        <v>994.87189999999998</v>
      </c>
      <c r="S202">
        <v>8.4110999999999995E-3</v>
      </c>
      <c r="T202">
        <v>1.8</v>
      </c>
      <c r="U202">
        <v>2.3849</v>
      </c>
      <c r="V202">
        <v>1.831</v>
      </c>
      <c r="W202">
        <v>8.7106000000000006E-3</v>
      </c>
      <c r="X202">
        <v>1.1105E-2</v>
      </c>
      <c r="Y202">
        <v>7.3550000000000004E-4</v>
      </c>
      <c r="Z202">
        <v>1.9855999999999999E-2</v>
      </c>
      <c r="AA202">
        <v>0.82047999999999999</v>
      </c>
      <c r="AB202">
        <v>1.244E-2</v>
      </c>
      <c r="AC202">
        <v>2.2545E-4</v>
      </c>
      <c r="AD202">
        <v>3.4245999999999999E-3</v>
      </c>
      <c r="AE202">
        <v>3.4816E-2</v>
      </c>
      <c r="AF202">
        <v>81.135900000000007</v>
      </c>
      <c r="AG202">
        <v>81.135900000000007</v>
      </c>
      <c r="AH202">
        <v>101.0989</v>
      </c>
      <c r="AI202">
        <v>1.1006999999999999E-2</v>
      </c>
      <c r="AJ202">
        <v>441.68079999999998</v>
      </c>
      <c r="AK202">
        <v>8.8555999999999996E-2</v>
      </c>
      <c r="AL202">
        <v>41.0642</v>
      </c>
      <c r="AM202">
        <v>0</v>
      </c>
      <c r="AN202">
        <v>14.6767</v>
      </c>
      <c r="AO202">
        <v>0.40286</v>
      </c>
      <c r="AP202">
        <v>0.62368999999999997</v>
      </c>
      <c r="AQ202">
        <v>2.0830000000000001E-2</v>
      </c>
      <c r="AR202">
        <v>-1.8332999999999999</v>
      </c>
      <c r="AS202">
        <v>-203.27070000000001</v>
      </c>
    </row>
    <row r="203" spans="1:45">
      <c r="A203" t="s">
        <v>563</v>
      </c>
      <c r="B203">
        <v>265.03100000000001</v>
      </c>
      <c r="C203">
        <v>74.716999999999999</v>
      </c>
      <c r="D203" t="s">
        <v>564</v>
      </c>
      <c r="E203" t="s">
        <v>721</v>
      </c>
      <c r="F203">
        <v>7137.9997000000003</v>
      </c>
      <c r="G203">
        <v>1820.6525999999999</v>
      </c>
      <c r="H203">
        <v>71558.066500000001</v>
      </c>
      <c r="I203">
        <v>0.14265</v>
      </c>
      <c r="J203">
        <v>0</v>
      </c>
      <c r="K203">
        <v>4.2347999999999999</v>
      </c>
      <c r="L203">
        <v>1.2596000000000001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1463.3086000000001</v>
      </c>
      <c r="S203">
        <v>8.4110999999999995E-3</v>
      </c>
      <c r="T203">
        <v>2.6476000000000002</v>
      </c>
      <c r="U203">
        <v>3.5078</v>
      </c>
      <c r="V203">
        <v>1.831</v>
      </c>
      <c r="W203">
        <v>8.7106000000000006E-3</v>
      </c>
      <c r="X203">
        <v>1.1105E-2</v>
      </c>
      <c r="Y203">
        <v>7.3550000000000004E-4</v>
      </c>
      <c r="Z203">
        <v>1.9855999999999999E-2</v>
      </c>
      <c r="AA203">
        <v>0.82047999999999999</v>
      </c>
      <c r="AB203">
        <v>1.244E-2</v>
      </c>
      <c r="AC203">
        <v>2.2545E-4</v>
      </c>
      <c r="AD203">
        <v>3.4245999999999999E-3</v>
      </c>
      <c r="AE203">
        <v>3.4816E-2</v>
      </c>
      <c r="AF203">
        <v>119.33880000000001</v>
      </c>
      <c r="AG203">
        <v>119.33880000000001</v>
      </c>
      <c r="AH203">
        <v>148.70150000000001</v>
      </c>
      <c r="AI203">
        <v>1.1006999999999999E-2</v>
      </c>
      <c r="AJ203">
        <v>441.68079999999998</v>
      </c>
      <c r="AK203">
        <v>8.8555999999999996E-2</v>
      </c>
      <c r="AL203">
        <v>33.973399999999998</v>
      </c>
      <c r="AM203">
        <v>0</v>
      </c>
      <c r="AN203">
        <v>43.972900000000003</v>
      </c>
      <c r="AO203">
        <v>0.40286</v>
      </c>
      <c r="AP203">
        <v>0.62368999999999997</v>
      </c>
      <c r="AQ203">
        <v>2.0830000000000001E-2</v>
      </c>
      <c r="AR203">
        <v>-1.8332999999999999</v>
      </c>
      <c r="AS203">
        <v>-203.27070000000001</v>
      </c>
    </row>
    <row r="204" spans="1:45">
      <c r="A204" t="s">
        <v>565</v>
      </c>
      <c r="B204">
        <v>254.95</v>
      </c>
      <c r="C204">
        <v>69.132999999999996</v>
      </c>
      <c r="D204" t="s">
        <v>566</v>
      </c>
      <c r="E204" t="s">
        <v>721</v>
      </c>
      <c r="F204">
        <v>6937.8411999999998</v>
      </c>
      <c r="G204">
        <v>1820.0198</v>
      </c>
      <c r="H204">
        <v>67957.4133</v>
      </c>
      <c r="I204">
        <v>0.15081</v>
      </c>
      <c r="J204">
        <v>0</v>
      </c>
      <c r="K204">
        <v>4.0281000000000002</v>
      </c>
      <c r="L204">
        <v>1.1741999999999999</v>
      </c>
      <c r="M204">
        <v>0</v>
      </c>
      <c r="N204">
        <v>0</v>
      </c>
      <c r="O204">
        <v>0</v>
      </c>
      <c r="P204">
        <v>0.24706</v>
      </c>
      <c r="Q204">
        <v>2.299E-4</v>
      </c>
      <c r="R204">
        <v>1463.3086000000001</v>
      </c>
      <c r="S204">
        <v>8.4110999999999995E-3</v>
      </c>
      <c r="T204">
        <v>2.6476000000000002</v>
      </c>
      <c r="U204">
        <v>3.5078</v>
      </c>
      <c r="V204">
        <v>1.831</v>
      </c>
      <c r="W204">
        <v>8.7106000000000006E-3</v>
      </c>
      <c r="X204">
        <v>1.1105E-2</v>
      </c>
      <c r="Y204">
        <v>7.3550000000000004E-4</v>
      </c>
      <c r="Z204">
        <v>1.9855999999999999E-2</v>
      </c>
      <c r="AA204">
        <v>0.82047999999999999</v>
      </c>
      <c r="AB204">
        <v>1.244E-2</v>
      </c>
      <c r="AC204">
        <v>2.2545E-4</v>
      </c>
      <c r="AD204">
        <v>3.4245999999999999E-3</v>
      </c>
      <c r="AE204">
        <v>3.4816E-2</v>
      </c>
      <c r="AF204">
        <v>119.33880000000001</v>
      </c>
      <c r="AG204">
        <v>119.33880000000001</v>
      </c>
      <c r="AH204">
        <v>148.70150000000001</v>
      </c>
      <c r="AI204">
        <v>1.1006999999999999E-2</v>
      </c>
      <c r="AJ204">
        <v>441.68079999999998</v>
      </c>
      <c r="AK204">
        <v>8.8555999999999996E-2</v>
      </c>
      <c r="AL204">
        <v>36.548200000000001</v>
      </c>
      <c r="AM204">
        <v>0</v>
      </c>
      <c r="AN204">
        <v>40.4786</v>
      </c>
      <c r="AO204">
        <v>0.40286</v>
      </c>
      <c r="AP204">
        <v>0.62368999999999997</v>
      </c>
      <c r="AQ204">
        <v>2.0830000000000001E-2</v>
      </c>
      <c r="AR204">
        <v>-1.8332999999999999</v>
      </c>
      <c r="AS204">
        <v>-203.27070000000001</v>
      </c>
    </row>
    <row r="205" spans="1:45">
      <c r="A205" t="s">
        <v>567</v>
      </c>
      <c r="B205">
        <v>264</v>
      </c>
      <c r="C205">
        <v>64.316999999999993</v>
      </c>
      <c r="D205" t="s">
        <v>568</v>
      </c>
      <c r="E205" t="s">
        <v>721</v>
      </c>
      <c r="F205">
        <v>6691.2561999999998</v>
      </c>
      <c r="G205">
        <v>1822.2043000000001</v>
      </c>
      <c r="H205">
        <v>63464.7353</v>
      </c>
      <c r="I205">
        <v>0.17737</v>
      </c>
      <c r="J205">
        <v>3.3343000000000001E-3</v>
      </c>
      <c r="K205">
        <v>3.7057000000000002</v>
      </c>
      <c r="L205">
        <v>1.1136999999999999</v>
      </c>
      <c r="M205">
        <v>0</v>
      </c>
      <c r="N205">
        <v>0</v>
      </c>
      <c r="O205">
        <v>0</v>
      </c>
      <c r="P205">
        <v>3.4925999999999999</v>
      </c>
      <c r="Q205">
        <v>2.6930999999999999E-3</v>
      </c>
      <c r="R205">
        <v>1463.3086000000001</v>
      </c>
      <c r="S205">
        <v>8.4110999999999995E-3</v>
      </c>
      <c r="T205">
        <v>2.6476000000000002</v>
      </c>
      <c r="U205">
        <v>3.5078</v>
      </c>
      <c r="V205">
        <v>1.831</v>
      </c>
      <c r="W205">
        <v>8.7106000000000006E-3</v>
      </c>
      <c r="X205">
        <v>1.1105E-2</v>
      </c>
      <c r="Y205">
        <v>7.3550000000000004E-4</v>
      </c>
      <c r="Z205">
        <v>1.9855999999999999E-2</v>
      </c>
      <c r="AA205">
        <v>0.82047999999999999</v>
      </c>
      <c r="AB205">
        <v>1.244E-2</v>
      </c>
      <c r="AC205">
        <v>2.2545E-4</v>
      </c>
      <c r="AD205">
        <v>3.4245999999999999E-3</v>
      </c>
      <c r="AE205">
        <v>3.4816E-2</v>
      </c>
      <c r="AF205">
        <v>119.33880000000001</v>
      </c>
      <c r="AG205">
        <v>119.33880000000001</v>
      </c>
      <c r="AH205">
        <v>148.70150000000001</v>
      </c>
      <c r="AI205">
        <v>1.1006999999999999E-2</v>
      </c>
      <c r="AJ205">
        <v>441.68079999999998</v>
      </c>
      <c r="AK205">
        <v>8.8555999999999996E-2</v>
      </c>
      <c r="AL205">
        <v>39.1477</v>
      </c>
      <c r="AM205">
        <v>0</v>
      </c>
      <c r="AN205">
        <v>36.951700000000002</v>
      </c>
      <c r="AO205">
        <v>0.40286</v>
      </c>
      <c r="AP205">
        <v>0.62368999999999997</v>
      </c>
      <c r="AQ205">
        <v>2.0830000000000001E-2</v>
      </c>
      <c r="AR205">
        <v>-1.8332999999999999</v>
      </c>
      <c r="AS205">
        <v>-203.27070000000001</v>
      </c>
    </row>
    <row r="206" spans="1:45">
      <c r="A206" t="s">
        <v>569</v>
      </c>
      <c r="B206">
        <v>248.083</v>
      </c>
      <c r="C206">
        <v>60.017000000000003</v>
      </c>
      <c r="D206" t="s">
        <v>570</v>
      </c>
      <c r="E206" t="s">
        <v>721</v>
      </c>
      <c r="F206">
        <v>4411.3253999999997</v>
      </c>
      <c r="G206">
        <v>1847.2671</v>
      </c>
      <c r="H206">
        <v>47357.744299999998</v>
      </c>
      <c r="I206">
        <v>0.18118999999999999</v>
      </c>
      <c r="J206">
        <v>0.6956</v>
      </c>
      <c r="K206">
        <v>2.6345000000000001</v>
      </c>
      <c r="L206">
        <v>0.90098</v>
      </c>
      <c r="M206">
        <v>2.1944E-4</v>
      </c>
      <c r="N206" s="156">
        <v>4.3905000000000001E-5</v>
      </c>
      <c r="O206">
        <v>0.11862</v>
      </c>
      <c r="P206">
        <v>6.9170999999999996</v>
      </c>
      <c r="Q206">
        <v>1.366E-2</v>
      </c>
      <c r="R206">
        <v>409.14370000000002</v>
      </c>
      <c r="S206">
        <v>8.4110999999999995E-3</v>
      </c>
      <c r="T206">
        <v>0.74026000000000003</v>
      </c>
      <c r="U206">
        <v>0.98077999999999999</v>
      </c>
      <c r="V206">
        <v>1.831</v>
      </c>
      <c r="W206">
        <v>8.7106000000000006E-3</v>
      </c>
      <c r="X206">
        <v>1.1105E-2</v>
      </c>
      <c r="Y206">
        <v>7.3550000000000004E-4</v>
      </c>
      <c r="Z206">
        <v>1.9855999999999999E-2</v>
      </c>
      <c r="AA206">
        <v>0.82047999999999999</v>
      </c>
      <c r="AB206">
        <v>1.244E-2</v>
      </c>
      <c r="AC206">
        <v>2.2545E-4</v>
      </c>
      <c r="AD206">
        <v>3.4245999999999999E-3</v>
      </c>
      <c r="AE206">
        <v>3.4816E-2</v>
      </c>
      <c r="AF206">
        <v>33.3673</v>
      </c>
      <c r="AG206">
        <v>33.3673</v>
      </c>
      <c r="AH206">
        <v>41.577199999999998</v>
      </c>
      <c r="AI206">
        <v>1.1006999999999999E-2</v>
      </c>
      <c r="AJ206">
        <v>441.68079999999998</v>
      </c>
      <c r="AK206">
        <v>8.8555999999999996E-2</v>
      </c>
      <c r="AL206">
        <v>15.3384</v>
      </c>
      <c r="AM206">
        <v>0</v>
      </c>
      <c r="AN206">
        <v>6.6322000000000001</v>
      </c>
      <c r="AO206">
        <v>0.40286</v>
      </c>
      <c r="AP206">
        <v>0.62368999999999997</v>
      </c>
      <c r="AQ206">
        <v>2.0830000000000001E-2</v>
      </c>
      <c r="AR206">
        <v>-1.8332999999999999</v>
      </c>
      <c r="AS206">
        <v>-203.27070000000001</v>
      </c>
    </row>
    <row r="207" spans="1:45">
      <c r="A207" t="s">
        <v>571</v>
      </c>
      <c r="B207">
        <v>244.21700000000001</v>
      </c>
      <c r="C207">
        <v>60.832999999999998</v>
      </c>
      <c r="D207" t="s">
        <v>572</v>
      </c>
      <c r="E207" t="s">
        <v>721</v>
      </c>
      <c r="F207">
        <v>4471.8450999999995</v>
      </c>
      <c r="G207">
        <v>1854.8462</v>
      </c>
      <c r="H207">
        <v>48409.457699999999</v>
      </c>
      <c r="I207">
        <v>0.19903000000000001</v>
      </c>
      <c r="J207">
        <v>5.4806000000000001E-2</v>
      </c>
      <c r="K207">
        <v>2.6890000000000001</v>
      </c>
      <c r="L207">
        <v>0.90322999999999998</v>
      </c>
      <c r="M207" s="156">
        <v>5.2440000000000001E-6</v>
      </c>
      <c r="N207">
        <v>0</v>
      </c>
      <c r="O207">
        <v>0</v>
      </c>
      <c r="P207">
        <v>10.039199999999999</v>
      </c>
      <c r="Q207">
        <v>2.2186999999999998E-2</v>
      </c>
      <c r="R207">
        <v>409.14370000000002</v>
      </c>
      <c r="S207">
        <v>8.4110999999999995E-3</v>
      </c>
      <c r="T207">
        <v>0.74026000000000003</v>
      </c>
      <c r="U207">
        <v>0.98077999999999999</v>
      </c>
      <c r="V207">
        <v>1.831</v>
      </c>
      <c r="W207">
        <v>8.7106000000000006E-3</v>
      </c>
      <c r="X207">
        <v>1.1105E-2</v>
      </c>
      <c r="Y207">
        <v>7.3550000000000004E-4</v>
      </c>
      <c r="Z207">
        <v>1.9855999999999999E-2</v>
      </c>
      <c r="AA207">
        <v>0.82047999999999999</v>
      </c>
      <c r="AB207">
        <v>1.244E-2</v>
      </c>
      <c r="AC207">
        <v>2.2545E-4</v>
      </c>
      <c r="AD207">
        <v>3.4245999999999999E-3</v>
      </c>
      <c r="AE207">
        <v>3.4816E-2</v>
      </c>
      <c r="AF207">
        <v>33.3673</v>
      </c>
      <c r="AG207">
        <v>33.3673</v>
      </c>
      <c r="AH207">
        <v>41.577199999999998</v>
      </c>
      <c r="AI207">
        <v>1.1006999999999999E-2</v>
      </c>
      <c r="AJ207">
        <v>441.68079999999998</v>
      </c>
      <c r="AK207">
        <v>8.8555999999999996E-2</v>
      </c>
      <c r="AL207">
        <v>14.884399999999999</v>
      </c>
      <c r="AM207">
        <v>0</v>
      </c>
      <c r="AN207">
        <v>6.9753999999999996</v>
      </c>
      <c r="AO207">
        <v>0.40286</v>
      </c>
      <c r="AP207">
        <v>0.62368999999999997</v>
      </c>
      <c r="AQ207">
        <v>2.0830000000000001E-2</v>
      </c>
      <c r="AR207">
        <v>-1.8332999999999999</v>
      </c>
      <c r="AS207">
        <v>-203.27070000000001</v>
      </c>
    </row>
    <row r="208" spans="1:45">
      <c r="A208" t="s">
        <v>573</v>
      </c>
      <c r="B208">
        <v>245.56</v>
      </c>
      <c r="C208">
        <v>62.463000000000001</v>
      </c>
      <c r="D208" t="s">
        <v>574</v>
      </c>
      <c r="E208" t="s">
        <v>721</v>
      </c>
      <c r="F208">
        <v>4636.1971999999996</v>
      </c>
      <c r="G208">
        <v>1839.2219</v>
      </c>
      <c r="H208">
        <v>51459.750800000002</v>
      </c>
      <c r="I208">
        <v>0.18287999999999999</v>
      </c>
      <c r="J208">
        <v>0.1085</v>
      </c>
      <c r="K208">
        <v>2.9020999999999999</v>
      </c>
      <c r="L208">
        <v>0.95633999999999997</v>
      </c>
      <c r="M208" s="156">
        <v>2.5536000000000001E-5</v>
      </c>
      <c r="N208">
        <v>0</v>
      </c>
      <c r="O208">
        <v>0</v>
      </c>
      <c r="P208">
        <v>5.593</v>
      </c>
      <c r="Q208">
        <v>1.2363000000000001E-2</v>
      </c>
      <c r="R208">
        <v>409.14370000000002</v>
      </c>
      <c r="S208">
        <v>8.4110999999999995E-3</v>
      </c>
      <c r="T208">
        <v>0.74026000000000003</v>
      </c>
      <c r="U208">
        <v>0.98077999999999999</v>
      </c>
      <c r="V208">
        <v>1.831</v>
      </c>
      <c r="W208">
        <v>8.7106000000000006E-3</v>
      </c>
      <c r="X208">
        <v>1.1105E-2</v>
      </c>
      <c r="Y208">
        <v>7.3550000000000004E-4</v>
      </c>
      <c r="Z208">
        <v>1.9855999999999999E-2</v>
      </c>
      <c r="AA208">
        <v>0.82047999999999999</v>
      </c>
      <c r="AB208">
        <v>1.244E-2</v>
      </c>
      <c r="AC208">
        <v>2.2545E-4</v>
      </c>
      <c r="AD208">
        <v>3.4245999999999999E-3</v>
      </c>
      <c r="AE208">
        <v>3.4816E-2</v>
      </c>
      <c r="AF208">
        <v>33.3673</v>
      </c>
      <c r="AG208">
        <v>33.3673</v>
      </c>
      <c r="AH208">
        <v>41.577199999999998</v>
      </c>
      <c r="AI208">
        <v>1.1006999999999999E-2</v>
      </c>
      <c r="AJ208">
        <v>441.68079999999998</v>
      </c>
      <c r="AK208">
        <v>8.8555999999999996E-2</v>
      </c>
      <c r="AL208">
        <v>14.116099999999999</v>
      </c>
      <c r="AM208">
        <v>0</v>
      </c>
      <c r="AN208">
        <v>7.4939</v>
      </c>
      <c r="AO208">
        <v>0.40286</v>
      </c>
      <c r="AP208">
        <v>0.62368999999999997</v>
      </c>
      <c r="AQ208">
        <v>2.0830000000000001E-2</v>
      </c>
      <c r="AR208">
        <v>-1.8332999999999999</v>
      </c>
      <c r="AS208">
        <v>-203.27070000000001</v>
      </c>
    </row>
    <row r="209" spans="1:45">
      <c r="A209" t="s">
        <v>575</v>
      </c>
      <c r="B209">
        <v>244.85599999999999</v>
      </c>
      <c r="C209">
        <v>67.816999999999993</v>
      </c>
      <c r="D209" t="s">
        <v>576</v>
      </c>
      <c r="E209" t="s">
        <v>721</v>
      </c>
      <c r="F209">
        <v>6594.8155999999999</v>
      </c>
      <c r="G209">
        <v>1822.4829999999999</v>
      </c>
      <c r="H209">
        <v>61718.6711</v>
      </c>
      <c r="I209">
        <v>0.18529999999999999</v>
      </c>
      <c r="J209">
        <v>0</v>
      </c>
      <c r="K209">
        <v>3.5836000000000001</v>
      </c>
      <c r="L209">
        <v>1.0895999999999999</v>
      </c>
      <c r="M209">
        <v>0</v>
      </c>
      <c r="N209">
        <v>0</v>
      </c>
      <c r="O209">
        <v>0</v>
      </c>
      <c r="P209">
        <v>3.9316</v>
      </c>
      <c r="Q209">
        <v>3.3966000000000001E-3</v>
      </c>
      <c r="R209">
        <v>1463.3086000000001</v>
      </c>
      <c r="S209">
        <v>8.4110999999999995E-3</v>
      </c>
      <c r="T209">
        <v>2.6476000000000002</v>
      </c>
      <c r="U209">
        <v>3.5078</v>
      </c>
      <c r="V209">
        <v>1.831</v>
      </c>
      <c r="W209">
        <v>8.7106000000000006E-3</v>
      </c>
      <c r="X209">
        <v>1.1105E-2</v>
      </c>
      <c r="Y209">
        <v>7.3550000000000004E-4</v>
      </c>
      <c r="Z209">
        <v>1.9855999999999999E-2</v>
      </c>
      <c r="AA209">
        <v>0.82047999999999999</v>
      </c>
      <c r="AB209">
        <v>1.244E-2</v>
      </c>
      <c r="AC209">
        <v>2.2545E-4</v>
      </c>
      <c r="AD209">
        <v>3.4245999999999999E-3</v>
      </c>
      <c r="AE209">
        <v>3.4816E-2</v>
      </c>
      <c r="AF209">
        <v>119.33880000000001</v>
      </c>
      <c r="AG209">
        <v>119.33880000000001</v>
      </c>
      <c r="AH209">
        <v>148.70150000000001</v>
      </c>
      <c r="AI209">
        <v>1.1006999999999999E-2</v>
      </c>
      <c r="AJ209">
        <v>441.68079999999998</v>
      </c>
      <c r="AK209">
        <v>8.8555999999999996E-2</v>
      </c>
      <c r="AL209">
        <v>40.134500000000003</v>
      </c>
      <c r="AM209">
        <v>0</v>
      </c>
      <c r="AN209">
        <v>35.825400000000002</v>
      </c>
      <c r="AO209">
        <v>0.40286</v>
      </c>
      <c r="AP209">
        <v>0.62368999999999997</v>
      </c>
      <c r="AQ209">
        <v>2.0830000000000001E-2</v>
      </c>
      <c r="AR209">
        <v>-1.8332999999999999</v>
      </c>
      <c r="AS209">
        <v>-203.27070000000001</v>
      </c>
    </row>
    <row r="210" spans="1:45">
      <c r="A210" t="s">
        <v>577</v>
      </c>
      <c r="B210">
        <v>241.11500000000001</v>
      </c>
      <c r="C210">
        <v>55.18</v>
      </c>
      <c r="D210" t="s">
        <v>578</v>
      </c>
      <c r="E210" t="s">
        <v>721</v>
      </c>
      <c r="F210">
        <v>4996.1656000000003</v>
      </c>
      <c r="G210">
        <v>1850.9423999999999</v>
      </c>
      <c r="H210">
        <v>41157.354800000001</v>
      </c>
      <c r="I210">
        <v>0.24851000000000001</v>
      </c>
      <c r="J210">
        <v>0.64163000000000003</v>
      </c>
      <c r="K210">
        <v>2.1674000000000002</v>
      </c>
      <c r="L210">
        <v>0.81442999999999999</v>
      </c>
      <c r="M210">
        <v>1.6265999999999999E-4</v>
      </c>
      <c r="N210" s="156">
        <v>2.8795000000000001E-5</v>
      </c>
      <c r="O210">
        <v>7.8131999999999993E-2</v>
      </c>
      <c r="P210">
        <v>15.7959</v>
      </c>
      <c r="Q210">
        <v>1.1613999999999999E-2</v>
      </c>
      <c r="R210">
        <v>1098.972</v>
      </c>
      <c r="S210">
        <v>8.4110999999999995E-3</v>
      </c>
      <c r="T210">
        <v>1.9883999999999999</v>
      </c>
      <c r="U210">
        <v>2.6343999999999999</v>
      </c>
      <c r="V210">
        <v>1.831</v>
      </c>
      <c r="W210">
        <v>8.7106000000000006E-3</v>
      </c>
      <c r="X210">
        <v>1.1105E-2</v>
      </c>
      <c r="Y210">
        <v>7.3550000000000004E-4</v>
      </c>
      <c r="Z210">
        <v>1.9855999999999999E-2</v>
      </c>
      <c r="AA210">
        <v>0.82047999999999999</v>
      </c>
      <c r="AB210">
        <v>1.244E-2</v>
      </c>
      <c r="AC210">
        <v>2.2545E-4</v>
      </c>
      <c r="AD210">
        <v>3.4245999999999999E-3</v>
      </c>
      <c r="AE210">
        <v>3.4816E-2</v>
      </c>
      <c r="AF210">
        <v>89.625699999999995</v>
      </c>
      <c r="AG210">
        <v>89.625699999999995</v>
      </c>
      <c r="AH210">
        <v>111.6776</v>
      </c>
      <c r="AI210">
        <v>1.1006999999999999E-2</v>
      </c>
      <c r="AJ210">
        <v>441.68079999999998</v>
      </c>
      <c r="AK210">
        <v>8.8555999999999996E-2</v>
      </c>
      <c r="AL210">
        <v>51.886200000000002</v>
      </c>
      <c r="AM210">
        <v>0</v>
      </c>
      <c r="AN210">
        <v>14.3116</v>
      </c>
      <c r="AO210">
        <v>0.40286</v>
      </c>
      <c r="AP210">
        <v>0.62368999999999997</v>
      </c>
      <c r="AQ210">
        <v>2.0830000000000001E-2</v>
      </c>
      <c r="AR210">
        <v>-1.8332999999999999</v>
      </c>
      <c r="AS210">
        <v>-203.27070000000001</v>
      </c>
    </row>
    <row r="211" spans="1:45">
      <c r="A211" t="s">
        <v>579</v>
      </c>
      <c r="B211">
        <v>239.26</v>
      </c>
      <c r="C211">
        <v>56.238</v>
      </c>
      <c r="D211" t="s">
        <v>580</v>
      </c>
      <c r="E211" t="s">
        <v>721</v>
      </c>
      <c r="F211">
        <v>3648.4101999999998</v>
      </c>
      <c r="G211">
        <v>1848.6198999999999</v>
      </c>
      <c r="H211">
        <v>41413.690300000002</v>
      </c>
      <c r="I211">
        <v>0.22247</v>
      </c>
      <c r="J211">
        <v>4.1642999999999999E-2</v>
      </c>
      <c r="K211">
        <v>2.1743999999999999</v>
      </c>
      <c r="L211">
        <v>0.85538999999999998</v>
      </c>
      <c r="M211">
        <v>1.7009999999999999E-4</v>
      </c>
      <c r="N211" s="156">
        <v>5.9907000000000001E-6</v>
      </c>
      <c r="O211">
        <v>1.1098E-3</v>
      </c>
      <c r="P211">
        <v>1.0403</v>
      </c>
      <c r="Q211">
        <v>9.9287999999999998E-3</v>
      </c>
      <c r="R211">
        <v>85.868799999999993</v>
      </c>
      <c r="S211">
        <v>8.4110999999999995E-3</v>
      </c>
      <c r="T211">
        <v>0.15536</v>
      </c>
      <c r="U211">
        <v>0.20584</v>
      </c>
      <c r="V211">
        <v>1.831</v>
      </c>
      <c r="W211">
        <v>8.7106000000000006E-3</v>
      </c>
      <c r="X211">
        <v>1.1105E-2</v>
      </c>
      <c r="Y211">
        <v>7.3550000000000004E-4</v>
      </c>
      <c r="Z211">
        <v>1.9855999999999999E-2</v>
      </c>
      <c r="AA211">
        <v>0.82047999999999999</v>
      </c>
      <c r="AB211">
        <v>1.244E-2</v>
      </c>
      <c r="AC211">
        <v>2.2545E-4</v>
      </c>
      <c r="AD211">
        <v>3.4245999999999999E-3</v>
      </c>
      <c r="AE211">
        <v>3.4816E-2</v>
      </c>
      <c r="AF211">
        <v>7.0030000000000001</v>
      </c>
      <c r="AG211">
        <v>7.0030000000000001</v>
      </c>
      <c r="AH211">
        <v>8.7260000000000009</v>
      </c>
      <c r="AI211">
        <v>1.1006999999999999E-2</v>
      </c>
      <c r="AJ211">
        <v>441.68079999999998</v>
      </c>
      <c r="AK211">
        <v>8.8555999999999996E-2</v>
      </c>
      <c r="AL211">
        <v>4.1367000000000003</v>
      </c>
      <c r="AM211">
        <v>0</v>
      </c>
      <c r="AN211">
        <v>1.0983000000000001</v>
      </c>
      <c r="AO211">
        <v>0.40286</v>
      </c>
      <c r="AP211">
        <v>0.62368999999999997</v>
      </c>
      <c r="AQ211">
        <v>2.0830000000000001E-2</v>
      </c>
      <c r="AR211">
        <v>-1.8332999999999999</v>
      </c>
      <c r="AS211">
        <v>-203.27070000000001</v>
      </c>
    </row>
    <row r="212" spans="1:45">
      <c r="A212" t="s">
        <v>581</v>
      </c>
      <c r="B212">
        <v>237.4</v>
      </c>
      <c r="C212">
        <v>58.832999999999998</v>
      </c>
      <c r="D212" t="s">
        <v>582</v>
      </c>
      <c r="E212" t="s">
        <v>721</v>
      </c>
      <c r="F212">
        <v>3853.4699000000001</v>
      </c>
      <c r="G212">
        <v>1844.4394</v>
      </c>
      <c r="H212">
        <v>45119.653299999998</v>
      </c>
      <c r="I212">
        <v>0.18837000000000001</v>
      </c>
      <c r="J212">
        <v>0.11644</v>
      </c>
      <c r="K212">
        <v>2.4714999999999998</v>
      </c>
      <c r="L212">
        <v>0.88285999999999998</v>
      </c>
      <c r="M212">
        <v>3.2809000000000001E-4</v>
      </c>
      <c r="N212" s="156">
        <v>3.2223E-5</v>
      </c>
      <c r="O212">
        <v>1.6615999999999999E-2</v>
      </c>
      <c r="P212">
        <v>1.2357</v>
      </c>
      <c r="Q212">
        <v>1.1204E-2</v>
      </c>
      <c r="R212">
        <v>85.868799999999993</v>
      </c>
      <c r="S212">
        <v>8.4110999999999995E-3</v>
      </c>
      <c r="T212">
        <v>0.15536</v>
      </c>
      <c r="U212">
        <v>0.20584</v>
      </c>
      <c r="V212">
        <v>1.831</v>
      </c>
      <c r="W212">
        <v>8.7106000000000006E-3</v>
      </c>
      <c r="X212">
        <v>1.1105E-2</v>
      </c>
      <c r="Y212">
        <v>7.3550000000000004E-4</v>
      </c>
      <c r="Z212">
        <v>1.9855999999999999E-2</v>
      </c>
      <c r="AA212">
        <v>0.82047999999999999</v>
      </c>
      <c r="AB212">
        <v>1.244E-2</v>
      </c>
      <c r="AC212">
        <v>2.2545E-4</v>
      </c>
      <c r="AD212">
        <v>3.4245999999999999E-3</v>
      </c>
      <c r="AE212">
        <v>3.4816E-2</v>
      </c>
      <c r="AF212">
        <v>7.0030000000000001</v>
      </c>
      <c r="AG212">
        <v>7.0030000000000001</v>
      </c>
      <c r="AH212">
        <v>8.7260000000000009</v>
      </c>
      <c r="AI212">
        <v>1.1006999999999999E-2</v>
      </c>
      <c r="AJ212">
        <v>441.68079999999998</v>
      </c>
      <c r="AK212">
        <v>8.8555999999999996E-2</v>
      </c>
      <c r="AL212">
        <v>3.4113000000000002</v>
      </c>
      <c r="AM212">
        <v>0</v>
      </c>
      <c r="AN212">
        <v>1.2773000000000001</v>
      </c>
      <c r="AO212">
        <v>0.40286</v>
      </c>
      <c r="AP212">
        <v>0.62368999999999997</v>
      </c>
      <c r="AQ212">
        <v>2.0830000000000001E-2</v>
      </c>
      <c r="AR212">
        <v>-1.8332999999999999</v>
      </c>
      <c r="AS212">
        <v>-203.27070000000001</v>
      </c>
    </row>
    <row r="213" spans="1:45">
      <c r="A213" t="s">
        <v>583</v>
      </c>
      <c r="B213">
        <v>238.76300000000001</v>
      </c>
      <c r="C213">
        <v>61.76</v>
      </c>
      <c r="D213" t="s">
        <v>584</v>
      </c>
      <c r="E213" t="s">
        <v>721</v>
      </c>
      <c r="F213">
        <v>4475.7375000000002</v>
      </c>
      <c r="G213">
        <v>1849.3690999999999</v>
      </c>
      <c r="H213">
        <v>48509.087399999997</v>
      </c>
      <c r="I213">
        <v>0.17749000000000001</v>
      </c>
      <c r="J213">
        <v>0.62843000000000004</v>
      </c>
      <c r="K213">
        <v>2.7130000000000001</v>
      </c>
      <c r="L213">
        <v>0.91532000000000002</v>
      </c>
      <c r="M213">
        <v>1.5781000000000001E-4</v>
      </c>
      <c r="N213" s="156">
        <v>2.2166000000000001E-5</v>
      </c>
      <c r="O213">
        <v>6.1807000000000001E-2</v>
      </c>
      <c r="P213">
        <v>7.7458999999999998</v>
      </c>
      <c r="Q213">
        <v>1.5341E-2</v>
      </c>
      <c r="R213">
        <v>409.14370000000002</v>
      </c>
      <c r="S213">
        <v>8.4110999999999995E-3</v>
      </c>
      <c r="T213">
        <v>0.74026000000000003</v>
      </c>
      <c r="U213">
        <v>0.98077999999999999</v>
      </c>
      <c r="V213">
        <v>1.831</v>
      </c>
      <c r="W213">
        <v>8.7106000000000006E-3</v>
      </c>
      <c r="X213">
        <v>1.1105E-2</v>
      </c>
      <c r="Y213">
        <v>7.3550000000000004E-4</v>
      </c>
      <c r="Z213">
        <v>1.9855999999999999E-2</v>
      </c>
      <c r="AA213">
        <v>0.82047999999999999</v>
      </c>
      <c r="AB213">
        <v>1.244E-2</v>
      </c>
      <c r="AC213">
        <v>2.2545E-4</v>
      </c>
      <c r="AD213">
        <v>3.4245999999999999E-3</v>
      </c>
      <c r="AE213">
        <v>3.4816E-2</v>
      </c>
      <c r="AF213">
        <v>33.3673</v>
      </c>
      <c r="AG213">
        <v>33.3673</v>
      </c>
      <c r="AH213">
        <v>41.577199999999998</v>
      </c>
      <c r="AI213">
        <v>1.1006999999999999E-2</v>
      </c>
      <c r="AJ213">
        <v>441.68079999999998</v>
      </c>
      <c r="AK213">
        <v>8.8555999999999996E-2</v>
      </c>
      <c r="AL213">
        <v>14.795299999999999</v>
      </c>
      <c r="AM213">
        <v>0</v>
      </c>
      <c r="AN213">
        <v>7.0949</v>
      </c>
      <c r="AO213">
        <v>0.40286</v>
      </c>
      <c r="AP213">
        <v>0.62368999999999997</v>
      </c>
      <c r="AQ213">
        <v>2.0830000000000001E-2</v>
      </c>
      <c r="AR213">
        <v>-1.8332999999999999</v>
      </c>
      <c r="AS213">
        <v>-203.27070000000001</v>
      </c>
    </row>
    <row r="214" spans="1:45">
      <c r="A214" t="s">
        <v>585</v>
      </c>
      <c r="B214">
        <v>232.81700000000001</v>
      </c>
      <c r="C214">
        <v>54.825000000000003</v>
      </c>
      <c r="D214" t="s">
        <v>586</v>
      </c>
      <c r="E214" t="s">
        <v>721</v>
      </c>
      <c r="F214">
        <v>3362.9050999999999</v>
      </c>
      <c r="G214">
        <v>1853.673</v>
      </c>
      <c r="H214">
        <v>36254.733800000002</v>
      </c>
      <c r="I214">
        <v>0.33957999999999999</v>
      </c>
      <c r="J214">
        <v>8.8914999999999994E-2</v>
      </c>
      <c r="K214">
        <v>1.8126</v>
      </c>
      <c r="L214">
        <v>0.69262999999999997</v>
      </c>
      <c r="M214">
        <v>1.4653999999999999E-4</v>
      </c>
      <c r="N214" s="156">
        <v>2.7765999999999998E-6</v>
      </c>
      <c r="O214">
        <v>4.8782000000000001E-3</v>
      </c>
      <c r="P214">
        <v>1.0381</v>
      </c>
      <c r="Q214">
        <v>1.1041E-2</v>
      </c>
      <c r="R214">
        <v>85.868799999999993</v>
      </c>
      <c r="S214">
        <v>8.4110999999999995E-3</v>
      </c>
      <c r="T214">
        <v>0.15536</v>
      </c>
      <c r="U214">
        <v>0.20584</v>
      </c>
      <c r="V214">
        <v>1.831</v>
      </c>
      <c r="W214">
        <v>8.7106000000000006E-3</v>
      </c>
      <c r="X214">
        <v>1.1105E-2</v>
      </c>
      <c r="Y214">
        <v>7.3550000000000004E-4</v>
      </c>
      <c r="Z214">
        <v>1.9855999999999999E-2</v>
      </c>
      <c r="AA214">
        <v>0.82047999999999999</v>
      </c>
      <c r="AB214">
        <v>1.244E-2</v>
      </c>
      <c r="AC214">
        <v>2.2545E-4</v>
      </c>
      <c r="AD214">
        <v>3.4245999999999999E-3</v>
      </c>
      <c r="AE214">
        <v>3.4816E-2</v>
      </c>
      <c r="AF214">
        <v>7.0030000000000001</v>
      </c>
      <c r="AG214">
        <v>7.0030000000000001</v>
      </c>
      <c r="AH214">
        <v>8.7260000000000009</v>
      </c>
      <c r="AI214">
        <v>1.1006999999999999E-2</v>
      </c>
      <c r="AJ214">
        <v>441.68079999999998</v>
      </c>
      <c r="AK214">
        <v>8.8555999999999996E-2</v>
      </c>
      <c r="AL214">
        <v>4.5838000000000001</v>
      </c>
      <c r="AM214">
        <v>0</v>
      </c>
      <c r="AN214">
        <v>0.91737999999999997</v>
      </c>
      <c r="AO214">
        <v>0.40286</v>
      </c>
      <c r="AP214">
        <v>0.62368999999999997</v>
      </c>
      <c r="AQ214">
        <v>2.0830000000000001E-2</v>
      </c>
      <c r="AR214">
        <v>-1.8332999999999999</v>
      </c>
      <c r="AS214">
        <v>-203.27070000000001</v>
      </c>
    </row>
    <row r="215" spans="1:45">
      <c r="A215" t="s">
        <v>587</v>
      </c>
      <c r="B215">
        <v>231.42400000000001</v>
      </c>
      <c r="C215">
        <v>54.469000000000001</v>
      </c>
      <c r="D215" t="s">
        <v>588</v>
      </c>
      <c r="E215" t="s">
        <v>721</v>
      </c>
      <c r="F215">
        <v>3088.2737999999999</v>
      </c>
      <c r="G215">
        <v>1865.3052</v>
      </c>
      <c r="H215">
        <v>31284.640299999999</v>
      </c>
      <c r="I215">
        <v>0.35370000000000001</v>
      </c>
      <c r="J215">
        <v>2.4563000000000001E-2</v>
      </c>
      <c r="K215">
        <v>1.5424</v>
      </c>
      <c r="L215">
        <v>0.54930999999999996</v>
      </c>
      <c r="M215">
        <v>0</v>
      </c>
      <c r="N215">
        <v>0</v>
      </c>
      <c r="O215">
        <v>0</v>
      </c>
      <c r="P215">
        <v>1.8360000000000001</v>
      </c>
      <c r="Q215">
        <v>1.9057999999999999E-2</v>
      </c>
      <c r="R215">
        <v>85.868799999999993</v>
      </c>
      <c r="S215">
        <v>8.4110999999999995E-3</v>
      </c>
      <c r="T215">
        <v>0.15536</v>
      </c>
      <c r="U215">
        <v>0.20584</v>
      </c>
      <c r="V215">
        <v>1.831</v>
      </c>
      <c r="W215">
        <v>8.7106000000000006E-3</v>
      </c>
      <c r="X215">
        <v>1.1105E-2</v>
      </c>
      <c r="Y215">
        <v>7.3550000000000004E-4</v>
      </c>
      <c r="Z215">
        <v>1.9855999999999999E-2</v>
      </c>
      <c r="AA215">
        <v>0.82047999999999999</v>
      </c>
      <c r="AB215">
        <v>1.244E-2</v>
      </c>
      <c r="AC215">
        <v>2.2545E-4</v>
      </c>
      <c r="AD215">
        <v>3.4245999999999999E-3</v>
      </c>
      <c r="AE215">
        <v>3.4816E-2</v>
      </c>
      <c r="AF215">
        <v>7.0030000000000001</v>
      </c>
      <c r="AG215">
        <v>7.0030000000000001</v>
      </c>
      <c r="AH215">
        <v>8.7260000000000009</v>
      </c>
      <c r="AI215">
        <v>1.1006999999999999E-2</v>
      </c>
      <c r="AJ215">
        <v>441.68079999999998</v>
      </c>
      <c r="AK215">
        <v>8.8555999999999996E-2</v>
      </c>
      <c r="AL215">
        <v>4.7381000000000002</v>
      </c>
      <c r="AM215">
        <v>0</v>
      </c>
      <c r="AN215">
        <v>0.75988999999999995</v>
      </c>
      <c r="AO215">
        <v>0.40286</v>
      </c>
      <c r="AP215">
        <v>0.62368999999999997</v>
      </c>
      <c r="AQ215">
        <v>2.0830000000000001E-2</v>
      </c>
      <c r="AR215">
        <v>-1.8332999999999999</v>
      </c>
      <c r="AS215">
        <v>-203.27070000000001</v>
      </c>
    </row>
    <row r="216" spans="1:45">
      <c r="A216" t="s">
        <v>589</v>
      </c>
      <c r="B216">
        <v>231.178</v>
      </c>
      <c r="C216">
        <v>60.116</v>
      </c>
      <c r="D216" t="s">
        <v>590</v>
      </c>
      <c r="E216" t="s">
        <v>721</v>
      </c>
      <c r="F216">
        <v>4160.3618999999999</v>
      </c>
      <c r="G216">
        <v>1828.1978999999999</v>
      </c>
      <c r="H216">
        <v>47876.000999999997</v>
      </c>
      <c r="I216">
        <v>0.19058</v>
      </c>
      <c r="J216">
        <v>0.12906999999999999</v>
      </c>
      <c r="K216">
        <v>2.6467000000000001</v>
      </c>
      <c r="L216">
        <v>0.92993999999999999</v>
      </c>
      <c r="M216">
        <v>1.7463999999999999E-4</v>
      </c>
      <c r="N216" s="156">
        <v>2.7188000000000001E-5</v>
      </c>
      <c r="O216">
        <v>1.5897999999999999E-2</v>
      </c>
      <c r="P216">
        <v>0.83989999999999998</v>
      </c>
      <c r="Q216">
        <v>4.0008999999999999E-3</v>
      </c>
      <c r="R216">
        <v>202.7611</v>
      </c>
      <c r="S216">
        <v>8.4110999999999995E-3</v>
      </c>
      <c r="T216">
        <v>0.36685000000000001</v>
      </c>
      <c r="U216">
        <v>0.48604999999999998</v>
      </c>
      <c r="V216">
        <v>1.831</v>
      </c>
      <c r="W216">
        <v>8.7106000000000006E-3</v>
      </c>
      <c r="X216">
        <v>1.1105E-2</v>
      </c>
      <c r="Y216">
        <v>7.3550000000000004E-4</v>
      </c>
      <c r="Z216">
        <v>1.9855999999999999E-2</v>
      </c>
      <c r="AA216">
        <v>0.82047999999999999</v>
      </c>
      <c r="AB216">
        <v>1.244E-2</v>
      </c>
      <c r="AC216">
        <v>2.2545E-4</v>
      </c>
      <c r="AD216">
        <v>3.4245999999999999E-3</v>
      </c>
      <c r="AE216">
        <v>3.4816E-2</v>
      </c>
      <c r="AF216">
        <v>16.536000000000001</v>
      </c>
      <c r="AG216">
        <v>16.536000000000001</v>
      </c>
      <c r="AH216">
        <v>20.604600000000001</v>
      </c>
      <c r="AI216">
        <v>1.1006999999999999E-2</v>
      </c>
      <c r="AJ216">
        <v>441.68079999999998</v>
      </c>
      <c r="AK216">
        <v>8.8555999999999996E-2</v>
      </c>
      <c r="AL216">
        <v>7.6433</v>
      </c>
      <c r="AM216">
        <v>0</v>
      </c>
      <c r="AN216">
        <v>3.2833999999999999</v>
      </c>
      <c r="AO216">
        <v>0.40286</v>
      </c>
      <c r="AP216">
        <v>0.62368999999999997</v>
      </c>
      <c r="AQ216">
        <v>2.0830000000000001E-2</v>
      </c>
      <c r="AR216">
        <v>-1.8332999999999999</v>
      </c>
      <c r="AS216">
        <v>-203.27070000000001</v>
      </c>
    </row>
    <row r="217" spans="1:45">
      <c r="A217" t="s">
        <v>592</v>
      </c>
      <c r="B217">
        <v>226.517</v>
      </c>
      <c r="C217">
        <v>68.304000000000002</v>
      </c>
      <c r="D217" t="s">
        <v>593</v>
      </c>
      <c r="E217" t="s">
        <v>721</v>
      </c>
      <c r="F217">
        <v>4909.6467000000002</v>
      </c>
      <c r="G217">
        <v>1829.0269000000001</v>
      </c>
      <c r="H217">
        <v>56450.096599999997</v>
      </c>
      <c r="I217">
        <v>0.20357</v>
      </c>
      <c r="J217">
        <v>1.2749E-2</v>
      </c>
      <c r="K217">
        <v>3.1926999999999999</v>
      </c>
      <c r="L217">
        <v>1.0419</v>
      </c>
      <c r="M217" s="156">
        <v>7.0651999999999997E-6</v>
      </c>
      <c r="N217">
        <v>0</v>
      </c>
      <c r="O217">
        <v>0</v>
      </c>
      <c r="P217">
        <v>3.391</v>
      </c>
      <c r="Q217">
        <v>8.7013999999999998E-3</v>
      </c>
      <c r="R217">
        <v>409.14370000000002</v>
      </c>
      <c r="S217">
        <v>8.4110999999999995E-3</v>
      </c>
      <c r="T217">
        <v>0.74026000000000003</v>
      </c>
      <c r="U217">
        <v>0.98077999999999999</v>
      </c>
      <c r="V217">
        <v>1.831</v>
      </c>
      <c r="W217">
        <v>8.7106000000000006E-3</v>
      </c>
      <c r="X217">
        <v>1.1105E-2</v>
      </c>
      <c r="Y217">
        <v>7.3550000000000004E-4</v>
      </c>
      <c r="Z217">
        <v>1.9855999999999999E-2</v>
      </c>
      <c r="AA217">
        <v>0.82047999999999999</v>
      </c>
      <c r="AB217">
        <v>1.244E-2</v>
      </c>
      <c r="AC217">
        <v>2.2545E-4</v>
      </c>
      <c r="AD217">
        <v>3.4245999999999999E-3</v>
      </c>
      <c r="AE217">
        <v>3.4816E-2</v>
      </c>
      <c r="AF217">
        <v>33.3673</v>
      </c>
      <c r="AG217">
        <v>33.3673</v>
      </c>
      <c r="AH217">
        <v>41.577199999999998</v>
      </c>
      <c r="AI217">
        <v>1.1006999999999999E-2</v>
      </c>
      <c r="AJ217">
        <v>441.68079999999998</v>
      </c>
      <c r="AK217">
        <v>8.8555999999999996E-2</v>
      </c>
      <c r="AL217">
        <v>12.398099999999999</v>
      </c>
      <c r="AM217">
        <v>0</v>
      </c>
      <c r="AN217">
        <v>8.4802999999999997</v>
      </c>
      <c r="AO217">
        <v>0.40286</v>
      </c>
      <c r="AP217">
        <v>0.62368999999999997</v>
      </c>
      <c r="AQ217">
        <v>2.0830000000000001E-2</v>
      </c>
      <c r="AR217">
        <v>-1.8332999999999999</v>
      </c>
      <c r="AS217">
        <v>-203.27070000000001</v>
      </c>
    </row>
    <row r="218" spans="1:45">
      <c r="A218" t="s">
        <v>594</v>
      </c>
      <c r="B218">
        <v>224.93299999999999</v>
      </c>
      <c r="C218">
        <v>60.71</v>
      </c>
      <c r="D218" t="s">
        <v>595</v>
      </c>
      <c r="E218" t="s">
        <v>721</v>
      </c>
      <c r="F218">
        <v>3998.8130999999998</v>
      </c>
      <c r="G218">
        <v>1832.0839000000001</v>
      </c>
      <c r="H218">
        <v>44949.773000000001</v>
      </c>
      <c r="I218">
        <v>0.19975999999999999</v>
      </c>
      <c r="J218">
        <v>4.8674000000000002E-2</v>
      </c>
      <c r="K218">
        <v>2.4039999999999999</v>
      </c>
      <c r="L218">
        <v>0.93528999999999995</v>
      </c>
      <c r="M218">
        <v>2.1270999999999999E-4</v>
      </c>
      <c r="N218">
        <v>0</v>
      </c>
      <c r="O218">
        <v>0</v>
      </c>
      <c r="P218">
        <v>0.31896999999999998</v>
      </c>
      <c r="Q218">
        <v>1.7076999999999999E-3</v>
      </c>
      <c r="R218">
        <v>202.7611</v>
      </c>
      <c r="S218">
        <v>8.4110999999999995E-3</v>
      </c>
      <c r="T218">
        <v>0.36685000000000001</v>
      </c>
      <c r="U218">
        <v>0.48604999999999998</v>
      </c>
      <c r="V218">
        <v>1.831</v>
      </c>
      <c r="W218">
        <v>8.7106000000000006E-3</v>
      </c>
      <c r="X218">
        <v>1.1105E-2</v>
      </c>
      <c r="Y218">
        <v>7.3550000000000004E-4</v>
      </c>
      <c r="Z218">
        <v>1.9855999999999999E-2</v>
      </c>
      <c r="AA218">
        <v>0.82047999999999999</v>
      </c>
      <c r="AB218">
        <v>1.244E-2</v>
      </c>
      <c r="AC218">
        <v>2.2545E-4</v>
      </c>
      <c r="AD218">
        <v>3.4245999999999999E-3</v>
      </c>
      <c r="AE218">
        <v>3.4816E-2</v>
      </c>
      <c r="AF218">
        <v>16.536000000000001</v>
      </c>
      <c r="AG218">
        <v>16.536000000000001</v>
      </c>
      <c r="AH218">
        <v>20.604600000000001</v>
      </c>
      <c r="AI218">
        <v>1.1006999999999999E-2</v>
      </c>
      <c r="AJ218">
        <v>441.68079999999998</v>
      </c>
      <c r="AK218">
        <v>8.8555999999999996E-2</v>
      </c>
      <c r="AL218">
        <v>9.1563999999999997</v>
      </c>
      <c r="AM218">
        <v>0</v>
      </c>
      <c r="AN218">
        <v>2.9597000000000002</v>
      </c>
      <c r="AO218">
        <v>0.40286</v>
      </c>
      <c r="AP218">
        <v>0.62368999999999997</v>
      </c>
      <c r="AQ218">
        <v>2.0830000000000001E-2</v>
      </c>
      <c r="AR218">
        <v>-1.8332999999999999</v>
      </c>
      <c r="AS218">
        <v>-203.27070000000001</v>
      </c>
    </row>
    <row r="219" spans="1:45">
      <c r="A219" t="s">
        <v>596</v>
      </c>
      <c r="B219">
        <v>224.13200000000001</v>
      </c>
      <c r="C219">
        <v>63.616</v>
      </c>
      <c r="D219" t="s">
        <v>597</v>
      </c>
      <c r="E219" t="s">
        <v>721</v>
      </c>
      <c r="F219">
        <v>4206.7430000000004</v>
      </c>
      <c r="G219">
        <v>1834.5268000000001</v>
      </c>
      <c r="H219">
        <v>48696.3433</v>
      </c>
      <c r="I219">
        <v>0.18967999999999999</v>
      </c>
      <c r="J219">
        <v>0.14255999999999999</v>
      </c>
      <c r="K219">
        <v>2.6903000000000001</v>
      </c>
      <c r="L219">
        <v>0.94723999999999997</v>
      </c>
      <c r="M219">
        <v>2.6072999999999998E-4</v>
      </c>
      <c r="N219" s="156">
        <v>1.4042E-5</v>
      </c>
      <c r="O219">
        <v>2.1281999999999999E-2</v>
      </c>
      <c r="P219">
        <v>1.8957999999999999</v>
      </c>
      <c r="Q219">
        <v>8.5818000000000005E-3</v>
      </c>
      <c r="R219">
        <v>202.7611</v>
      </c>
      <c r="S219">
        <v>8.4110999999999995E-3</v>
      </c>
      <c r="T219">
        <v>0.36685000000000001</v>
      </c>
      <c r="U219">
        <v>0.48604999999999998</v>
      </c>
      <c r="V219">
        <v>1.831</v>
      </c>
      <c r="W219">
        <v>8.7106000000000006E-3</v>
      </c>
      <c r="X219">
        <v>1.1105E-2</v>
      </c>
      <c r="Y219">
        <v>7.3550000000000004E-4</v>
      </c>
      <c r="Z219">
        <v>1.9855999999999999E-2</v>
      </c>
      <c r="AA219">
        <v>0.82047999999999999</v>
      </c>
      <c r="AB219">
        <v>1.244E-2</v>
      </c>
      <c r="AC219">
        <v>2.2545E-4</v>
      </c>
      <c r="AD219">
        <v>3.4245999999999999E-3</v>
      </c>
      <c r="AE219">
        <v>3.4816E-2</v>
      </c>
      <c r="AF219">
        <v>16.536000000000001</v>
      </c>
      <c r="AG219">
        <v>16.536000000000001</v>
      </c>
      <c r="AH219">
        <v>20.604600000000001</v>
      </c>
      <c r="AI219">
        <v>1.1006999999999999E-2</v>
      </c>
      <c r="AJ219">
        <v>441.68079999999998</v>
      </c>
      <c r="AK219">
        <v>8.8555999999999996E-2</v>
      </c>
      <c r="AL219">
        <v>7.4522000000000004</v>
      </c>
      <c r="AM219">
        <v>0</v>
      </c>
      <c r="AN219">
        <v>3.3317000000000001</v>
      </c>
      <c r="AO219">
        <v>0.40286</v>
      </c>
      <c r="AP219">
        <v>0.62368999999999997</v>
      </c>
      <c r="AQ219">
        <v>2.0830000000000001E-2</v>
      </c>
      <c r="AR219">
        <v>-1.8332999999999999</v>
      </c>
      <c r="AS219">
        <v>-203.27070000000001</v>
      </c>
    </row>
  </sheetData>
  <sortState xmlns:xlrd2="http://schemas.microsoft.com/office/spreadsheetml/2017/richdata2" ref="A22:Z120">
    <sortCondition ref="E22:E120"/>
  </sortState>
  <mergeCells count="3">
    <mergeCell ref="C3:E3"/>
    <mergeCell ref="A1:K2"/>
    <mergeCell ref="G3:I3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11AAF-914D-46C8-A252-8AD67BA01930}">
  <dimension ref="B1:L110"/>
  <sheetViews>
    <sheetView topLeftCell="A93" workbookViewId="0">
      <selection activeCell="C105" sqref="C105:C106"/>
    </sheetView>
  </sheetViews>
  <sheetFormatPr defaultRowHeight="15"/>
  <cols>
    <col min="2" max="2" width="43.5703125" customWidth="1"/>
    <col min="3" max="3" width="18.7109375" customWidth="1"/>
  </cols>
  <sheetData>
    <row r="1" spans="2:9">
      <c r="B1" s="50" t="s">
        <v>359</v>
      </c>
    </row>
    <row r="2" spans="2:9">
      <c r="B2" t="s">
        <v>2</v>
      </c>
      <c r="C2">
        <v>1376</v>
      </c>
      <c r="D2" t="s">
        <v>38</v>
      </c>
      <c r="I2" s="1"/>
    </row>
    <row r="3" spans="2:9">
      <c r="B3" t="s">
        <v>3</v>
      </c>
      <c r="C3">
        <v>0.68181818181818177</v>
      </c>
      <c r="D3" t="s">
        <v>22</v>
      </c>
      <c r="I3" s="1"/>
    </row>
    <row r="4" spans="2:9">
      <c r="B4" t="s">
        <v>4</v>
      </c>
      <c r="C4">
        <f>C2*C3</f>
        <v>938.18181818181813</v>
      </c>
      <c r="D4" t="s">
        <v>23</v>
      </c>
      <c r="I4" s="1"/>
    </row>
    <row r="5" spans="2:9">
      <c r="B5" t="s">
        <v>5</v>
      </c>
      <c r="C5">
        <v>4.5720000000000001</v>
      </c>
      <c r="D5" t="s">
        <v>24</v>
      </c>
      <c r="I5" s="1"/>
    </row>
    <row r="6" spans="2:9">
      <c r="B6" t="s">
        <v>6</v>
      </c>
      <c r="C6">
        <f>C5*C2</f>
        <v>6291.0720000000001</v>
      </c>
      <c r="D6" t="s">
        <v>25</v>
      </c>
    </row>
    <row r="7" spans="2:9">
      <c r="B7" s="44" t="s">
        <v>7</v>
      </c>
      <c r="C7">
        <v>0.30480000000000002</v>
      </c>
      <c r="D7" t="s">
        <v>24</v>
      </c>
      <c r="I7" s="1"/>
    </row>
    <row r="8" spans="2:9">
      <c r="B8" s="44" t="s">
        <v>8</v>
      </c>
      <c r="C8">
        <v>5.8000000000000003E-2</v>
      </c>
      <c r="D8" t="s">
        <v>26</v>
      </c>
      <c r="I8" s="1"/>
    </row>
    <row r="9" spans="2:9">
      <c r="B9" s="44" t="s">
        <v>9</v>
      </c>
      <c r="C9" s="46">
        <v>30</v>
      </c>
      <c r="D9" t="s">
        <v>27</v>
      </c>
      <c r="I9" s="1"/>
    </row>
    <row r="10" spans="2:9">
      <c r="B10" s="44" t="s">
        <v>10</v>
      </c>
      <c r="C10" s="46">
        <v>30</v>
      </c>
      <c r="D10" t="s">
        <v>27</v>
      </c>
      <c r="I10" s="1"/>
    </row>
    <row r="11" spans="2:9">
      <c r="B11" s="44" t="s">
        <v>11</v>
      </c>
      <c r="C11" s="46">
        <v>30</v>
      </c>
      <c r="D11" t="s">
        <v>28</v>
      </c>
      <c r="I11" s="1"/>
    </row>
    <row r="12" spans="2:9">
      <c r="B12" s="45" t="s">
        <v>40</v>
      </c>
      <c r="C12" s="47">
        <v>2.69</v>
      </c>
      <c r="D12" t="s">
        <v>29</v>
      </c>
    </row>
    <row r="13" spans="2:9">
      <c r="B13" s="45" t="s">
        <v>41</v>
      </c>
      <c r="C13" s="47">
        <v>0.43899789299999997</v>
      </c>
      <c r="D13" t="s">
        <v>200</v>
      </c>
    </row>
    <row r="14" spans="2:9">
      <c r="B14" s="45" t="s">
        <v>42</v>
      </c>
      <c r="C14" s="47">
        <f>C13/C12</f>
        <v>0.16319624275092937</v>
      </c>
      <c r="D14" t="s">
        <v>199</v>
      </c>
    </row>
    <row r="15" spans="2:9">
      <c r="B15" s="45" t="s">
        <v>105</v>
      </c>
      <c r="C15" s="91">
        <f>1/C14</f>
        <v>6.1275920520192564</v>
      </c>
      <c r="D15" t="s">
        <v>107</v>
      </c>
    </row>
    <row r="16" spans="2:9">
      <c r="B16" s="45" t="s">
        <v>106</v>
      </c>
      <c r="C16" s="47">
        <f>1/C13</f>
        <v>2.2779152609737015</v>
      </c>
      <c r="D16" t="s">
        <v>202</v>
      </c>
    </row>
    <row r="17" spans="2:12">
      <c r="B17" t="s">
        <v>17</v>
      </c>
      <c r="C17">
        <v>488.24312815250005</v>
      </c>
      <c r="D17" t="s">
        <v>33</v>
      </c>
      <c r="E17" t="s">
        <v>17</v>
      </c>
      <c r="F17">
        <f>C17/C26*C15</f>
        <v>1.7924470140060287</v>
      </c>
      <c r="G17" t="s">
        <v>207</v>
      </c>
    </row>
    <row r="18" spans="2:12">
      <c r="B18" t="s">
        <v>18</v>
      </c>
      <c r="C18" s="92">
        <v>1.37694312E-2</v>
      </c>
      <c r="D18" t="s">
        <v>34</v>
      </c>
    </row>
    <row r="19" spans="2:12">
      <c r="B19" t="s">
        <v>19</v>
      </c>
      <c r="C19">
        <v>11</v>
      </c>
      <c r="D19" t="s">
        <v>35</v>
      </c>
    </row>
    <row r="20" spans="2:12">
      <c r="B20" t="s">
        <v>713</v>
      </c>
      <c r="C20" s="92">
        <v>0.22</v>
      </c>
      <c r="D20" t="s">
        <v>714</v>
      </c>
    </row>
    <row r="21" spans="2:12">
      <c r="B21" t="s">
        <v>175</v>
      </c>
      <c r="C21" s="92">
        <v>3.2128672800000001E-2</v>
      </c>
      <c r="D21" t="s">
        <v>34</v>
      </c>
    </row>
    <row r="22" spans="2:12">
      <c r="B22" t="s">
        <v>725</v>
      </c>
      <c r="C22" s="92">
        <v>333.98590807340832</v>
      </c>
      <c r="D22" t="s">
        <v>130</v>
      </c>
    </row>
    <row r="23" spans="2:12">
      <c r="B23" t="s">
        <v>20</v>
      </c>
      <c r="C23">
        <v>5.4218119999999995E-2</v>
      </c>
      <c r="D23" t="s">
        <v>35</v>
      </c>
    </row>
    <row r="24" spans="2:12">
      <c r="B24" t="s">
        <v>179</v>
      </c>
      <c r="C24">
        <v>1</v>
      </c>
      <c r="D24" t="s">
        <v>126</v>
      </c>
    </row>
    <row r="25" spans="2:12">
      <c r="B25" s="44" t="s">
        <v>12</v>
      </c>
      <c r="C25" s="46">
        <v>2.6909749999999999</v>
      </c>
      <c r="D25" t="s">
        <v>29</v>
      </c>
    </row>
    <row r="26" spans="2:12">
      <c r="B26" s="44" t="s">
        <v>13</v>
      </c>
      <c r="C26" s="93">
        <v>1669.0896233712692</v>
      </c>
      <c r="D26" t="s">
        <v>30</v>
      </c>
    </row>
    <row r="27" spans="2:12">
      <c r="B27" s="44" t="s">
        <v>14</v>
      </c>
      <c r="C27" s="46">
        <v>0.43899789338245743</v>
      </c>
      <c r="D27" t="s">
        <v>31</v>
      </c>
    </row>
    <row r="28" spans="2:12">
      <c r="B28" t="s">
        <v>15</v>
      </c>
      <c r="C28" s="46">
        <v>27</v>
      </c>
      <c r="D28" t="s">
        <v>32</v>
      </c>
    </row>
    <row r="29" spans="2:12">
      <c r="B29" t="s">
        <v>16</v>
      </c>
      <c r="C29">
        <v>22</v>
      </c>
      <c r="D29" t="s">
        <v>32</v>
      </c>
      <c r="K29" s="42"/>
      <c r="L29" s="42"/>
    </row>
    <row r="30" spans="2:12">
      <c r="B30" t="s">
        <v>21</v>
      </c>
      <c r="C30" s="92">
        <v>6.1864406779661021</v>
      </c>
      <c r="D30" t="s">
        <v>36</v>
      </c>
    </row>
    <row r="31" spans="2:12">
      <c r="B31" t="s">
        <v>133</v>
      </c>
      <c r="C31">
        <v>3.25</v>
      </c>
      <c r="D31" t="s">
        <v>117</v>
      </c>
    </row>
    <row r="32" spans="2:12">
      <c r="B32" t="s">
        <v>134</v>
      </c>
      <c r="C32">
        <v>0.8</v>
      </c>
      <c r="D32" t="s">
        <v>118</v>
      </c>
    </row>
    <row r="33" spans="2:4">
      <c r="B33" t="s">
        <v>701</v>
      </c>
      <c r="C33" s="92">
        <v>1099958.1287367069</v>
      </c>
      <c r="D33" t="s">
        <v>700</v>
      </c>
    </row>
    <row r="34" spans="2:4">
      <c r="B34" t="s">
        <v>135</v>
      </c>
      <c r="C34">
        <v>3.1428571428571428</v>
      </c>
      <c r="D34" t="s">
        <v>119</v>
      </c>
    </row>
    <row r="35" spans="2:4">
      <c r="B35" t="s">
        <v>136</v>
      </c>
      <c r="C35">
        <v>7.1428571428571432</v>
      </c>
      <c r="D35" t="s">
        <v>119</v>
      </c>
    </row>
    <row r="36" spans="2:4">
      <c r="B36" t="s">
        <v>137</v>
      </c>
      <c r="C36">
        <v>8.1428571428571423</v>
      </c>
      <c r="D36" t="s">
        <v>119</v>
      </c>
    </row>
    <row r="37" spans="2:4">
      <c r="B37" t="s">
        <v>138</v>
      </c>
      <c r="C37">
        <v>2</v>
      </c>
      <c r="D37" t="s">
        <v>119</v>
      </c>
    </row>
    <row r="38" spans="2:4">
      <c r="B38" t="s">
        <v>139</v>
      </c>
      <c r="C38">
        <v>2</v>
      </c>
      <c r="D38" t="s">
        <v>120</v>
      </c>
    </row>
    <row r="39" spans="2:4">
      <c r="B39" t="s">
        <v>140</v>
      </c>
      <c r="C39">
        <v>24</v>
      </c>
      <c r="D39" t="s">
        <v>121</v>
      </c>
    </row>
    <row r="40" spans="2:4">
      <c r="B40" t="s">
        <v>141</v>
      </c>
      <c r="C40">
        <v>18</v>
      </c>
      <c r="D40" t="s">
        <v>121</v>
      </c>
    </row>
    <row r="41" spans="2:4">
      <c r="B41" t="s">
        <v>142</v>
      </c>
      <c r="C41">
        <v>12</v>
      </c>
      <c r="D41" t="s">
        <v>121</v>
      </c>
    </row>
    <row r="42" spans="2:4">
      <c r="B42" t="s">
        <v>143</v>
      </c>
      <c r="C42">
        <v>18</v>
      </c>
      <c r="D42" t="s">
        <v>121</v>
      </c>
    </row>
    <row r="43" spans="2:4">
      <c r="B43" t="s">
        <v>144</v>
      </c>
      <c r="C43">
        <v>18</v>
      </c>
      <c r="D43" t="s">
        <v>121</v>
      </c>
    </row>
    <row r="44" spans="2:4">
      <c r="B44" t="s">
        <v>145</v>
      </c>
      <c r="C44">
        <v>403.64625000000001</v>
      </c>
      <c r="D44" t="s">
        <v>122</v>
      </c>
    </row>
    <row r="45" spans="2:4">
      <c r="B45" t="s">
        <v>146</v>
      </c>
      <c r="C45">
        <v>403.64625000000001</v>
      </c>
      <c r="D45" t="s">
        <v>122</v>
      </c>
    </row>
    <row r="46" spans="2:4">
      <c r="B46" t="s">
        <v>147</v>
      </c>
      <c r="C46">
        <v>672.74374999999998</v>
      </c>
      <c r="D46" t="s">
        <v>122</v>
      </c>
    </row>
    <row r="47" spans="2:4">
      <c r="B47" t="s">
        <v>148</v>
      </c>
      <c r="C47">
        <v>30</v>
      </c>
      <c r="D47" t="s">
        <v>122</v>
      </c>
    </row>
    <row r="48" spans="2:4">
      <c r="B48" t="s">
        <v>149</v>
      </c>
      <c r="C48">
        <v>30</v>
      </c>
      <c r="D48" t="s">
        <v>122</v>
      </c>
    </row>
    <row r="49" spans="2:4">
      <c r="B49" t="s">
        <v>150</v>
      </c>
      <c r="C49">
        <v>0.67500000000000004</v>
      </c>
      <c r="D49" t="s">
        <v>123</v>
      </c>
    </row>
    <row r="50" spans="2:4">
      <c r="B50" t="s">
        <v>151</v>
      </c>
      <c r="C50">
        <v>0.55000000000000004</v>
      </c>
      <c r="D50" t="s">
        <v>123</v>
      </c>
    </row>
    <row r="51" spans="2:4">
      <c r="B51" t="s">
        <v>152</v>
      </c>
      <c r="C51">
        <v>0.42499999999999999</v>
      </c>
      <c r="D51" t="s">
        <v>123</v>
      </c>
    </row>
    <row r="52" spans="2:4">
      <c r="B52" t="s">
        <v>153</v>
      </c>
      <c r="C52">
        <v>0.47499999999999998</v>
      </c>
      <c r="D52" t="s">
        <v>123</v>
      </c>
    </row>
    <row r="53" spans="2:4">
      <c r="B53" t="s">
        <v>154</v>
      </c>
      <c r="C53">
        <v>0.45</v>
      </c>
      <c r="D53" t="s">
        <v>123</v>
      </c>
    </row>
    <row r="54" spans="2:4">
      <c r="B54" t="s">
        <v>155</v>
      </c>
      <c r="C54">
        <v>0.42499999999999999</v>
      </c>
      <c r="D54" t="s">
        <v>123</v>
      </c>
    </row>
    <row r="55" spans="2:4">
      <c r="B55" t="s">
        <v>156</v>
      </c>
      <c r="C55">
        <v>0.47499999999999998</v>
      </c>
      <c r="D55" t="s">
        <v>123</v>
      </c>
    </row>
    <row r="56" spans="2:4">
      <c r="B56" t="s">
        <v>157</v>
      </c>
      <c r="C56">
        <v>0.45</v>
      </c>
      <c r="D56" t="s">
        <v>123</v>
      </c>
    </row>
    <row r="57" spans="2:4">
      <c r="B57" t="s">
        <v>158</v>
      </c>
      <c r="C57">
        <v>0.42499999999999999</v>
      </c>
      <c r="D57" t="s">
        <v>123</v>
      </c>
    </row>
    <row r="58" spans="2:4">
      <c r="B58" t="s">
        <v>159</v>
      </c>
      <c r="C58">
        <v>0.47499999999999998</v>
      </c>
      <c r="D58" t="s">
        <v>123</v>
      </c>
    </row>
    <row r="59" spans="2:4">
      <c r="B59" t="s">
        <v>160</v>
      </c>
      <c r="C59">
        <v>0.4</v>
      </c>
      <c r="D59" t="s">
        <v>123</v>
      </c>
    </row>
    <row r="60" spans="2:4">
      <c r="B60" t="s">
        <v>161</v>
      </c>
      <c r="C60">
        <v>0.32500000000000001</v>
      </c>
      <c r="D60" t="s">
        <v>123</v>
      </c>
    </row>
    <row r="61" spans="2:4">
      <c r="B61" t="s">
        <v>162</v>
      </c>
      <c r="C61">
        <v>0.8</v>
      </c>
      <c r="D61" t="s">
        <v>123</v>
      </c>
    </row>
    <row r="62" spans="2:4">
      <c r="B62" t="s">
        <v>163</v>
      </c>
      <c r="C62">
        <v>0.5</v>
      </c>
      <c r="D62" t="s">
        <v>123</v>
      </c>
    </row>
    <row r="63" spans="2:4">
      <c r="B63" t="s">
        <v>164</v>
      </c>
      <c r="C63">
        <v>0.2</v>
      </c>
      <c r="D63" t="s">
        <v>123</v>
      </c>
    </row>
    <row r="64" spans="2:4">
      <c r="B64" t="s">
        <v>165</v>
      </c>
      <c r="C64">
        <v>25.277777777777779</v>
      </c>
      <c r="D64" t="s">
        <v>32</v>
      </c>
    </row>
    <row r="65" spans="2:4">
      <c r="B65" t="s">
        <v>166</v>
      </c>
      <c r="C65">
        <v>22.5</v>
      </c>
      <c r="D65" t="s">
        <v>32</v>
      </c>
    </row>
    <row r="66" spans="2:4">
      <c r="B66" t="s">
        <v>167</v>
      </c>
      <c r="C66">
        <v>28.055555555555557</v>
      </c>
      <c r="D66" t="s">
        <v>32</v>
      </c>
    </row>
    <row r="67" spans="2:4">
      <c r="B67" t="s">
        <v>168</v>
      </c>
      <c r="C67">
        <v>22.5</v>
      </c>
      <c r="D67" t="s">
        <v>32</v>
      </c>
    </row>
    <row r="68" spans="2:4">
      <c r="B68" t="s">
        <v>169</v>
      </c>
      <c r="C68">
        <v>20</v>
      </c>
      <c r="D68" t="s">
        <v>32</v>
      </c>
    </row>
    <row r="69" spans="2:4">
      <c r="B69" t="s">
        <v>170</v>
      </c>
      <c r="C69">
        <v>22.5</v>
      </c>
      <c r="D69" t="s">
        <v>32</v>
      </c>
    </row>
    <row r="70" spans="2:4">
      <c r="B70" t="s">
        <v>171</v>
      </c>
      <c r="C70">
        <v>16.944444444444443</v>
      </c>
      <c r="D70" t="s">
        <v>32</v>
      </c>
    </row>
    <row r="71" spans="2:4">
      <c r="B71" t="s">
        <v>172</v>
      </c>
      <c r="C71">
        <v>22.5</v>
      </c>
      <c r="D71" t="s">
        <v>32</v>
      </c>
    </row>
    <row r="72" spans="2:4">
      <c r="B72" t="s">
        <v>173</v>
      </c>
      <c r="C72">
        <v>16.944444444444443</v>
      </c>
      <c r="D72" t="s">
        <v>32</v>
      </c>
    </row>
    <row r="73" spans="2:4">
      <c r="B73" t="s">
        <v>174</v>
      </c>
      <c r="C73">
        <v>20</v>
      </c>
      <c r="D73" t="s">
        <v>32</v>
      </c>
    </row>
    <row r="74" spans="2:4">
      <c r="B74" t="s">
        <v>175</v>
      </c>
      <c r="C74">
        <v>17910.206195475868</v>
      </c>
      <c r="D74" t="s">
        <v>33</v>
      </c>
    </row>
    <row r="75" spans="2:4">
      <c r="B75" t="s">
        <v>176</v>
      </c>
      <c r="C75">
        <v>108.25174825174825</v>
      </c>
      <c r="D75" t="s">
        <v>124</v>
      </c>
    </row>
    <row r="76" spans="2:4">
      <c r="B76" t="s">
        <v>177</v>
      </c>
      <c r="C76">
        <v>235712119.72027969</v>
      </c>
      <c r="D76" t="s">
        <v>116</v>
      </c>
    </row>
    <row r="77" spans="2:4">
      <c r="B77" t="s">
        <v>178</v>
      </c>
      <c r="C77">
        <v>3.7489038725885197E-3</v>
      </c>
      <c r="D77" t="s">
        <v>125</v>
      </c>
    </row>
    <row r="78" spans="2:4">
      <c r="B78" t="s">
        <v>180</v>
      </c>
      <c r="C78">
        <v>3.5179332142366362E-2</v>
      </c>
      <c r="D78" t="s">
        <v>127</v>
      </c>
    </row>
    <row r="79" spans="2:4">
      <c r="B79" t="s">
        <v>181</v>
      </c>
      <c r="C79">
        <v>0.2253675965370345</v>
      </c>
      <c r="D79" t="s">
        <v>127</v>
      </c>
    </row>
    <row r="80" spans="2:4">
      <c r="B80" t="s">
        <v>182</v>
      </c>
      <c r="C80">
        <v>0.66112408959736157</v>
      </c>
      <c r="D80" t="s">
        <v>127</v>
      </c>
    </row>
    <row r="81" spans="2:4">
      <c r="B81" t="s">
        <v>183</v>
      </c>
      <c r="C81">
        <v>7.8328981723237587E-2</v>
      </c>
      <c r="D81" t="s">
        <v>127</v>
      </c>
    </row>
    <row r="82" spans="2:4">
      <c r="B82" t="s">
        <v>184</v>
      </c>
      <c r="C82">
        <v>114.00726392251818</v>
      </c>
      <c r="D82" t="s">
        <v>128</v>
      </c>
    </row>
    <row r="83" spans="2:4">
      <c r="B83" t="s">
        <v>185</v>
      </c>
      <c r="C83">
        <v>700</v>
      </c>
      <c r="D83" t="s">
        <v>68</v>
      </c>
    </row>
    <row r="84" spans="2:4">
      <c r="B84" t="s">
        <v>186</v>
      </c>
      <c r="C84">
        <v>1400</v>
      </c>
      <c r="D84" t="s">
        <v>68</v>
      </c>
    </row>
    <row r="85" spans="2:4">
      <c r="B85" t="s">
        <v>187</v>
      </c>
      <c r="C85">
        <v>400</v>
      </c>
      <c r="D85" t="s">
        <v>68</v>
      </c>
    </row>
    <row r="86" spans="2:4">
      <c r="B86" t="s">
        <v>188</v>
      </c>
      <c r="C86">
        <v>189168319.34689373</v>
      </c>
      <c r="D86" t="s">
        <v>116</v>
      </c>
    </row>
    <row r="87" spans="2:4">
      <c r="B87" t="s">
        <v>189</v>
      </c>
      <c r="C87">
        <v>189168319.34689373</v>
      </c>
      <c r="D87" t="s">
        <v>116</v>
      </c>
    </row>
    <row r="88" spans="2:4">
      <c r="B88" t="s">
        <v>190</v>
      </c>
      <c r="C88">
        <v>23.956897997214828</v>
      </c>
      <c r="D88" t="s">
        <v>129</v>
      </c>
    </row>
    <row r="89" spans="2:4">
      <c r="B89" t="s">
        <v>191</v>
      </c>
      <c r="C89">
        <v>57.666631609797122</v>
      </c>
      <c r="D89" t="s">
        <v>130</v>
      </c>
    </row>
    <row r="90" spans="2:4">
      <c r="B90" t="s">
        <v>192</v>
      </c>
      <c r="C90">
        <v>97.827477643123572</v>
      </c>
      <c r="D90" t="s">
        <v>131</v>
      </c>
    </row>
    <row r="91" spans="2:4">
      <c r="B91" t="s">
        <v>193</v>
      </c>
      <c r="C91">
        <v>19.7222222222222</v>
      </c>
      <c r="D91" t="s">
        <v>132</v>
      </c>
    </row>
    <row r="92" spans="2:4">
      <c r="B92" t="s">
        <v>194</v>
      </c>
      <c r="C92">
        <v>16.3</v>
      </c>
      <c r="D92" t="s">
        <v>132</v>
      </c>
    </row>
    <row r="93" spans="2:4">
      <c r="B93" t="s">
        <v>247</v>
      </c>
      <c r="C93">
        <f>1/1.48645</f>
        <v>0.67274378552928116</v>
      </c>
      <c r="D93" t="s">
        <v>246</v>
      </c>
    </row>
    <row r="94" spans="2:4">
      <c r="B94" s="42" t="s">
        <v>195</v>
      </c>
      <c r="C94" s="55">
        <v>13022.548770563259</v>
      </c>
      <c r="D94" s="55" t="s">
        <v>681</v>
      </c>
    </row>
    <row r="95" spans="2:4">
      <c r="B95" s="42" t="s">
        <v>196</v>
      </c>
      <c r="C95" s="55">
        <v>3908.7738859123851</v>
      </c>
      <c r="D95" s="55" t="s">
        <v>682</v>
      </c>
    </row>
    <row r="96" spans="2:4">
      <c r="B96" s="42" t="s">
        <v>197</v>
      </c>
      <c r="C96" s="55">
        <v>156348.394656958</v>
      </c>
      <c r="D96" s="55" t="s">
        <v>682</v>
      </c>
    </row>
    <row r="97" spans="2:4">
      <c r="B97" s="42" t="s">
        <v>198</v>
      </c>
      <c r="C97" s="55">
        <v>218887.75251974116</v>
      </c>
      <c r="D97" s="55" t="s">
        <v>682</v>
      </c>
    </row>
    <row r="98" spans="2:4">
      <c r="B98" s="42" t="s">
        <v>668</v>
      </c>
      <c r="C98" s="97">
        <v>0.25</v>
      </c>
      <c r="D98" s="42" t="s">
        <v>683</v>
      </c>
    </row>
    <row r="99" spans="2:4">
      <c r="B99" s="42" t="s">
        <v>669</v>
      </c>
      <c r="C99" s="42">
        <v>1684.5087961922623</v>
      </c>
      <c r="D99" s="42" t="s">
        <v>684</v>
      </c>
    </row>
    <row r="100" spans="2:4">
      <c r="B100" s="42" t="s">
        <v>670</v>
      </c>
      <c r="C100" s="42">
        <v>0.3</v>
      </c>
      <c r="D100" s="42" t="s">
        <v>685</v>
      </c>
    </row>
    <row r="101" spans="2:4">
      <c r="B101" s="42" t="s">
        <v>671</v>
      </c>
      <c r="C101" s="42">
        <v>804.67</v>
      </c>
      <c r="D101" s="42" t="s">
        <v>686</v>
      </c>
    </row>
    <row r="102" spans="2:4">
      <c r="B102" s="42" t="s">
        <v>672</v>
      </c>
      <c r="C102" s="42">
        <v>80.466999999999999</v>
      </c>
      <c r="D102" s="42" t="s">
        <v>686</v>
      </c>
    </row>
    <row r="103" spans="2:4">
      <c r="B103" s="42" t="s">
        <v>673</v>
      </c>
      <c r="C103" s="42">
        <v>16.093399999999999</v>
      </c>
      <c r="D103" s="42" t="s">
        <v>686</v>
      </c>
    </row>
    <row r="104" spans="2:4">
      <c r="B104" s="42" t="s">
        <v>674</v>
      </c>
      <c r="C104" s="95">
        <v>0.5</v>
      </c>
      <c r="D104" s="42" t="s">
        <v>687</v>
      </c>
    </row>
    <row r="105" spans="2:4">
      <c r="B105" s="42" t="s">
        <v>675</v>
      </c>
      <c r="C105" s="164">
        <v>7.3124999999999996E-2</v>
      </c>
      <c r="D105" s="94" t="s">
        <v>688</v>
      </c>
    </row>
    <row r="106" spans="2:4">
      <c r="B106" s="42" t="s">
        <v>676</v>
      </c>
      <c r="C106" s="164">
        <v>6.9062499999999999E-2</v>
      </c>
      <c r="D106" s="94" t="s">
        <v>689</v>
      </c>
    </row>
    <row r="107" spans="2:4">
      <c r="B107" s="42" t="s">
        <v>677</v>
      </c>
      <c r="C107" s="96">
        <v>40.233499999999999</v>
      </c>
      <c r="D107" s="94" t="s">
        <v>686</v>
      </c>
    </row>
    <row r="108" spans="2:4">
      <c r="B108" s="42" t="s">
        <v>678</v>
      </c>
      <c r="C108" s="96">
        <v>1375.1870255395909</v>
      </c>
      <c r="D108" s="94" t="s">
        <v>690</v>
      </c>
    </row>
    <row r="109" spans="2:4">
      <c r="B109" s="42" t="s">
        <v>679</v>
      </c>
      <c r="C109" s="98">
        <v>1.0883489225330734E-3</v>
      </c>
      <c r="D109" s="94" t="s">
        <v>691</v>
      </c>
    </row>
    <row r="110" spans="2:4">
      <c r="B110" s="42" t="s">
        <v>680</v>
      </c>
      <c r="C110" s="98">
        <v>0.51832617435637607</v>
      </c>
      <c r="D110" s="94" t="s">
        <v>692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B591E-AC47-47B2-90A4-B772B5F5FDA7}">
  <dimension ref="A1:R16"/>
  <sheetViews>
    <sheetView workbookViewId="0">
      <selection activeCell="I19" sqref="I19"/>
    </sheetView>
  </sheetViews>
  <sheetFormatPr defaultRowHeight="15"/>
  <cols>
    <col min="1" max="1" width="23.7109375" customWidth="1"/>
    <col min="2" max="2" width="14" customWidth="1"/>
    <col min="4" max="4" width="4.28515625" customWidth="1"/>
    <col min="5" max="5" width="11.42578125" customWidth="1"/>
    <col min="6" max="6" width="6.5703125" customWidth="1"/>
    <col min="7" max="7" width="13.5703125" customWidth="1"/>
    <col min="9" max="9" width="14.42578125" customWidth="1"/>
    <col min="10" max="10" width="11.7109375" customWidth="1"/>
    <col min="11" max="11" width="13.140625" customWidth="1"/>
    <col min="14" max="14" width="14.85546875" customWidth="1"/>
    <col min="22" max="22" width="11" bestFit="1" customWidth="1"/>
  </cols>
  <sheetData>
    <row r="1" spans="1:18">
      <c r="A1" t="s">
        <v>775</v>
      </c>
    </row>
    <row r="2" spans="1:18">
      <c r="A2" t="s">
        <v>1</v>
      </c>
      <c r="I2" s="178" t="s">
        <v>306</v>
      </c>
      <c r="J2" s="178"/>
      <c r="N2" t="s">
        <v>307</v>
      </c>
      <c r="P2" t="s">
        <v>308</v>
      </c>
      <c r="Q2" t="s">
        <v>334</v>
      </c>
      <c r="R2" t="s">
        <v>322</v>
      </c>
    </row>
    <row r="3" spans="1:18">
      <c r="B3" t="s">
        <v>309</v>
      </c>
      <c r="C3" t="s">
        <v>310</v>
      </c>
      <c r="D3" t="s">
        <v>311</v>
      </c>
      <c r="E3" t="s">
        <v>312</v>
      </c>
      <c r="F3" t="s">
        <v>311</v>
      </c>
      <c r="G3" t="s">
        <v>313</v>
      </c>
      <c r="H3" t="s">
        <v>311</v>
      </c>
      <c r="I3" t="s">
        <v>314</v>
      </c>
      <c r="J3" t="s">
        <v>315</v>
      </c>
      <c r="K3" t="s">
        <v>316</v>
      </c>
      <c r="L3" t="s">
        <v>311</v>
      </c>
      <c r="N3" t="s">
        <v>317</v>
      </c>
    </row>
    <row r="4" spans="1:18">
      <c r="A4" t="s">
        <v>304</v>
      </c>
      <c r="B4" t="s">
        <v>318</v>
      </c>
      <c r="C4">
        <v>2</v>
      </c>
      <c r="D4" t="s">
        <v>319</v>
      </c>
      <c r="E4">
        <v>1000</v>
      </c>
      <c r="F4" t="s">
        <v>320</v>
      </c>
      <c r="G4">
        <f>C4/C13*E4</f>
        <v>809.3725339430606</v>
      </c>
      <c r="H4" t="s">
        <v>321</v>
      </c>
      <c r="I4">
        <f>500/C14</f>
        <v>226.96323195642307</v>
      </c>
      <c r="J4">
        <f>700/C14</f>
        <v>317.74852473899233</v>
      </c>
      <c r="K4">
        <f>(I4+J4)/2/G4</f>
        <v>0.33650249659555154</v>
      </c>
      <c r="L4" t="s">
        <v>322</v>
      </c>
      <c r="N4" s="35">
        <f>K4*G4</f>
        <v>272.35587834770769</v>
      </c>
      <c r="P4">
        <f>N4/10000</f>
        <v>2.7235587834770768E-2</v>
      </c>
      <c r="Q4">
        <f>G4/10000</f>
        <v>8.0937253394306061E-2</v>
      </c>
    </row>
    <row r="5" spans="1:18">
      <c r="A5" t="s">
        <v>304</v>
      </c>
      <c r="B5" t="s">
        <v>323</v>
      </c>
      <c r="C5">
        <v>3</v>
      </c>
      <c r="D5" t="s">
        <v>324</v>
      </c>
      <c r="E5">
        <v>6000</v>
      </c>
      <c r="F5" t="s">
        <v>320</v>
      </c>
      <c r="G5">
        <f>E5/C5</f>
        <v>2000</v>
      </c>
      <c r="H5" t="s">
        <v>321</v>
      </c>
      <c r="I5">
        <v>1000</v>
      </c>
      <c r="K5">
        <f t="shared" ref="K5:K10" si="0">I5/G5</f>
        <v>0.5</v>
      </c>
      <c r="L5" t="s">
        <v>322</v>
      </c>
      <c r="N5">
        <f>K5*G5</f>
        <v>1000</v>
      </c>
      <c r="P5">
        <f t="shared" ref="P5:P7" si="1">N5/10000</f>
        <v>0.1</v>
      </c>
      <c r="Q5">
        <f t="shared" ref="Q5:Q6" si="2">G5/10000</f>
        <v>0.2</v>
      </c>
    </row>
    <row r="6" spans="1:18">
      <c r="A6" t="s">
        <v>304</v>
      </c>
      <c r="B6" t="s">
        <v>325</v>
      </c>
      <c r="C6">
        <v>1.3</v>
      </c>
      <c r="D6" t="s">
        <v>324</v>
      </c>
      <c r="E6">
        <v>5500</v>
      </c>
      <c r="F6" t="s">
        <v>320</v>
      </c>
      <c r="G6">
        <f>E6/C6</f>
        <v>4230.7692307692305</v>
      </c>
      <c r="H6" t="s">
        <v>321</v>
      </c>
      <c r="I6">
        <v>2475</v>
      </c>
      <c r="K6">
        <f t="shared" si="0"/>
        <v>0.58500000000000008</v>
      </c>
      <c r="L6" t="s">
        <v>322</v>
      </c>
      <c r="N6">
        <f>K6*G6</f>
        <v>2475</v>
      </c>
      <c r="P6">
        <f t="shared" si="1"/>
        <v>0.2475</v>
      </c>
      <c r="Q6">
        <f t="shared" si="2"/>
        <v>0.42307692307692307</v>
      </c>
    </row>
    <row r="7" spans="1:18">
      <c r="B7" s="56" t="s">
        <v>317</v>
      </c>
      <c r="G7" s="56">
        <f>AVERAGE(G4:G6)</f>
        <v>2346.7139215707634</v>
      </c>
      <c r="K7" s="56">
        <f>AVERAGE(K4:K6)</f>
        <v>0.47383416553185054</v>
      </c>
      <c r="L7" t="s">
        <v>322</v>
      </c>
      <c r="N7" s="57">
        <f>AVERAGE(N4:N6)</f>
        <v>1249.1186261159025</v>
      </c>
      <c r="P7" s="56">
        <f t="shared" si="1"/>
        <v>0.12491186261159025</v>
      </c>
      <c r="Q7" s="56">
        <f>AVERAGE(Q4:Q6)</f>
        <v>0.23467139215707636</v>
      </c>
      <c r="R7">
        <f>P7/Q7</f>
        <v>0.53228415045998023</v>
      </c>
    </row>
    <row r="9" spans="1:18">
      <c r="A9" t="s">
        <v>326</v>
      </c>
      <c r="B9" t="s">
        <v>327</v>
      </c>
      <c r="C9" t="s">
        <v>328</v>
      </c>
      <c r="E9" t="s">
        <v>328</v>
      </c>
      <c r="K9">
        <v>0.1</v>
      </c>
      <c r="L9" t="s">
        <v>329</v>
      </c>
      <c r="N9">
        <f>K9/C14*C16</f>
        <v>4886.0237933316948</v>
      </c>
    </row>
    <row r="10" spans="1:18">
      <c r="A10" t="s">
        <v>330</v>
      </c>
      <c r="B10" t="s">
        <v>327</v>
      </c>
      <c r="C10">
        <v>2.4</v>
      </c>
      <c r="D10" t="s">
        <v>324</v>
      </c>
      <c r="E10">
        <v>9300</v>
      </c>
      <c r="F10" t="s">
        <v>320</v>
      </c>
      <c r="G10">
        <f>E10/C10</f>
        <v>3875</v>
      </c>
      <c r="H10" t="s">
        <v>321</v>
      </c>
      <c r="I10">
        <v>3034.35</v>
      </c>
      <c r="K10">
        <f t="shared" si="0"/>
        <v>0.78305806451612903</v>
      </c>
      <c r="L10" t="s">
        <v>322</v>
      </c>
      <c r="N10">
        <f>K10*G10</f>
        <v>3034.35</v>
      </c>
      <c r="P10">
        <f t="shared" ref="P10" si="3">N10/10000</f>
        <v>0.30343500000000001</v>
      </c>
    </row>
    <row r="13" spans="1:18">
      <c r="B13" t="s">
        <v>245</v>
      </c>
      <c r="C13">
        <v>2.47105</v>
      </c>
      <c r="D13" t="s">
        <v>319</v>
      </c>
      <c r="E13">
        <v>1</v>
      </c>
      <c r="F13" t="s">
        <v>324</v>
      </c>
    </row>
    <row r="14" spans="1:18">
      <c r="B14" t="s">
        <v>245</v>
      </c>
      <c r="C14">
        <v>2.2029999999999998</v>
      </c>
      <c r="D14" t="s">
        <v>331</v>
      </c>
      <c r="E14">
        <v>1</v>
      </c>
      <c r="F14" t="s">
        <v>82</v>
      </c>
    </row>
    <row r="15" spans="1:18">
      <c r="B15" t="s">
        <v>245</v>
      </c>
      <c r="C15">
        <v>1</v>
      </c>
      <c r="D15" t="s">
        <v>332</v>
      </c>
      <c r="E15">
        <v>9.2903040000000008E-6</v>
      </c>
      <c r="F15" t="s">
        <v>324</v>
      </c>
    </row>
    <row r="16" spans="1:18">
      <c r="B16" t="s">
        <v>245</v>
      </c>
      <c r="C16">
        <f>E16/E15</f>
        <v>107639.10416709722</v>
      </c>
      <c r="D16" t="s">
        <v>332</v>
      </c>
      <c r="E16">
        <v>1</v>
      </c>
      <c r="F16" t="s">
        <v>324</v>
      </c>
    </row>
  </sheetData>
  <mergeCells count="1">
    <mergeCell ref="I2:J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166E7-B4D6-47D5-95A4-D341B6AA868F}">
  <dimension ref="B3:B16"/>
  <sheetViews>
    <sheetView workbookViewId="0">
      <selection activeCell="M38" sqref="M38"/>
    </sheetView>
  </sheetViews>
  <sheetFormatPr defaultRowHeight="15"/>
  <sheetData>
    <row r="3" spans="2:2">
      <c r="B3" s="1" t="s">
        <v>774</v>
      </c>
    </row>
    <row r="4" spans="2:2">
      <c r="B4" s="54" t="s">
        <v>769</v>
      </c>
    </row>
    <row r="5" spans="2:2">
      <c r="B5" s="54" t="s">
        <v>298</v>
      </c>
    </row>
    <row r="6" spans="2:2">
      <c r="B6" s="54" t="s">
        <v>770</v>
      </c>
    </row>
    <row r="7" spans="2:2">
      <c r="B7" s="54" t="s">
        <v>291</v>
      </c>
    </row>
    <row r="8" spans="2:2">
      <c r="B8" s="54" t="s">
        <v>771</v>
      </c>
    </row>
    <row r="9" spans="2:2">
      <c r="B9" s="54" t="s">
        <v>292</v>
      </c>
    </row>
    <row r="10" spans="2:2">
      <c r="B10" s="54" t="s">
        <v>293</v>
      </c>
    </row>
    <row r="11" spans="2:2">
      <c r="B11" s="54" t="s">
        <v>772</v>
      </c>
    </row>
    <row r="12" spans="2:2">
      <c r="B12" s="54" t="s">
        <v>294</v>
      </c>
    </row>
    <row r="13" spans="2:2">
      <c r="B13" s="54" t="s">
        <v>295</v>
      </c>
    </row>
    <row r="14" spans="2:2">
      <c r="B14" s="54" t="s">
        <v>296</v>
      </c>
    </row>
    <row r="15" spans="2:2">
      <c r="B15" s="54" t="s">
        <v>773</v>
      </c>
    </row>
    <row r="16" spans="2:2">
      <c r="B16" s="54" t="s">
        <v>297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05639-0394-42A0-9F3F-5A74753B80C4}">
  <dimension ref="A1:H76"/>
  <sheetViews>
    <sheetView workbookViewId="0">
      <selection activeCell="C71" sqref="C71"/>
    </sheetView>
  </sheetViews>
  <sheetFormatPr defaultRowHeight="15"/>
  <cols>
    <col min="3" max="3" width="34.7109375" customWidth="1"/>
    <col min="4" max="4" width="19.28515625" customWidth="1"/>
  </cols>
  <sheetData>
    <row r="1" spans="1:8">
      <c r="A1" s="50" t="s">
        <v>767</v>
      </c>
    </row>
    <row r="2" spans="1:8">
      <c r="A2" t="s">
        <v>208</v>
      </c>
      <c r="C2" t="s">
        <v>0</v>
      </c>
      <c r="D2" t="s">
        <v>698</v>
      </c>
      <c r="E2" t="s">
        <v>37</v>
      </c>
      <c r="F2" t="s">
        <v>1</v>
      </c>
      <c r="H2" t="s">
        <v>640</v>
      </c>
    </row>
    <row r="3" spans="1:8">
      <c r="C3" t="s">
        <v>203</v>
      </c>
      <c r="D3" t="s">
        <v>205</v>
      </c>
      <c r="E3" t="s">
        <v>206</v>
      </c>
      <c r="F3" s="198" t="s">
        <v>661</v>
      </c>
      <c r="G3" s="198"/>
      <c r="H3" t="s">
        <v>606</v>
      </c>
    </row>
    <row r="4" spans="1:8">
      <c r="C4" t="s">
        <v>204</v>
      </c>
      <c r="D4" t="s">
        <v>205</v>
      </c>
      <c r="E4" t="s">
        <v>707</v>
      </c>
      <c r="F4" s="198"/>
      <c r="G4" s="198"/>
      <c r="H4" t="s">
        <v>708</v>
      </c>
    </row>
    <row r="5" spans="1:8">
      <c r="C5" t="s">
        <v>83</v>
      </c>
      <c r="D5" s="166">
        <v>327.82617478303024</v>
      </c>
      <c r="E5" t="s">
        <v>104</v>
      </c>
      <c r="F5" s="171" t="s">
        <v>201</v>
      </c>
      <c r="G5" s="171"/>
      <c r="H5" t="s">
        <v>646</v>
      </c>
    </row>
    <row r="6" spans="1:8">
      <c r="C6" t="s">
        <v>86</v>
      </c>
      <c r="D6" s="166">
        <v>4.0443565936270354E-2</v>
      </c>
      <c r="E6" t="s">
        <v>114</v>
      </c>
      <c r="F6" s="171"/>
      <c r="G6" s="171"/>
      <c r="H6" t="s">
        <v>628</v>
      </c>
    </row>
    <row r="7" spans="1:8">
      <c r="C7" t="s">
        <v>91</v>
      </c>
      <c r="D7" s="166">
        <v>7.7050850154031583E-3</v>
      </c>
      <c r="E7" t="s">
        <v>113</v>
      </c>
      <c r="F7" s="171"/>
      <c r="G7" s="171"/>
      <c r="H7" t="s">
        <v>629</v>
      </c>
    </row>
    <row r="8" spans="1:8">
      <c r="C8" t="s">
        <v>94</v>
      </c>
      <c r="D8" s="166">
        <v>2.8140413888124284E-4</v>
      </c>
      <c r="E8" t="s">
        <v>212</v>
      </c>
      <c r="F8" s="171"/>
      <c r="G8" s="171"/>
      <c r="H8" t="s">
        <v>634</v>
      </c>
    </row>
    <row r="9" spans="1:8">
      <c r="C9" t="s">
        <v>84</v>
      </c>
      <c r="D9" s="166">
        <v>5.9247532578320536E-2</v>
      </c>
      <c r="E9" t="s">
        <v>114</v>
      </c>
      <c r="F9" s="171"/>
      <c r="G9" s="171"/>
      <c r="H9" t="s">
        <v>630</v>
      </c>
    </row>
    <row r="10" spans="1:8">
      <c r="C10" t="s">
        <v>95</v>
      </c>
      <c r="D10" s="166">
        <v>5.503282494354675E-4</v>
      </c>
      <c r="E10" t="s">
        <v>113</v>
      </c>
      <c r="F10" s="171"/>
      <c r="G10" s="171"/>
      <c r="H10" t="s">
        <v>631</v>
      </c>
    </row>
    <row r="11" spans="1:8">
      <c r="C11" t="s">
        <v>88</v>
      </c>
      <c r="D11" s="166">
        <v>2.6352617383168147E-3</v>
      </c>
      <c r="E11" t="s">
        <v>212</v>
      </c>
      <c r="F11" s="171"/>
      <c r="G11" s="171"/>
      <c r="H11" t="s">
        <v>632</v>
      </c>
    </row>
    <row r="12" spans="1:8">
      <c r="C12" t="s">
        <v>89</v>
      </c>
      <c r="D12" s="166">
        <v>0.10316461180835396</v>
      </c>
      <c r="E12" t="s">
        <v>113</v>
      </c>
      <c r="F12" s="171"/>
      <c r="G12" s="171"/>
      <c r="H12" t="s">
        <v>633</v>
      </c>
    </row>
    <row r="13" spans="1:8">
      <c r="C13" t="s">
        <v>97</v>
      </c>
      <c r="D13" s="166">
        <v>3.3181743648343953E-5</v>
      </c>
      <c r="E13" t="s">
        <v>114</v>
      </c>
      <c r="F13" s="171"/>
      <c r="G13" s="171"/>
      <c r="H13" t="s">
        <v>635</v>
      </c>
    </row>
    <row r="14" spans="1:8">
      <c r="C14" t="s">
        <v>358</v>
      </c>
      <c r="D14" s="166">
        <v>7.4936240666456724E-6</v>
      </c>
      <c r="E14" t="s">
        <v>113</v>
      </c>
      <c r="F14" s="171"/>
      <c r="G14" s="171"/>
      <c r="H14" t="s">
        <v>636</v>
      </c>
    </row>
    <row r="15" spans="1:8">
      <c r="C15" t="s">
        <v>92</v>
      </c>
      <c r="D15" s="166">
        <v>1.3389164125126796E-2</v>
      </c>
      <c r="E15" t="s">
        <v>114</v>
      </c>
      <c r="F15" s="171"/>
      <c r="G15" s="171"/>
      <c r="H15" t="s">
        <v>637</v>
      </c>
    </row>
    <row r="16" spans="1:8">
      <c r="C16" t="s">
        <v>87</v>
      </c>
      <c r="D16" s="166">
        <v>0.13031237482963245</v>
      </c>
      <c r="E16" t="s">
        <v>114</v>
      </c>
      <c r="F16" s="171"/>
      <c r="G16" s="171"/>
      <c r="H16" t="s">
        <v>638</v>
      </c>
    </row>
    <row r="17" spans="3:8">
      <c r="C17" t="s">
        <v>608</v>
      </c>
      <c r="D17" s="166">
        <v>3.5334014755776646E-4</v>
      </c>
      <c r="E17" t="s">
        <v>113</v>
      </c>
      <c r="F17" s="171"/>
      <c r="G17" s="171"/>
      <c r="H17" t="s">
        <v>639</v>
      </c>
    </row>
    <row r="18" spans="3:8">
      <c r="C18" t="s">
        <v>618</v>
      </c>
      <c r="D18" s="166">
        <v>0.45895664469624226</v>
      </c>
      <c r="E18" t="s">
        <v>113</v>
      </c>
      <c r="F18" s="171"/>
      <c r="G18" s="171"/>
      <c r="H18" t="s">
        <v>642</v>
      </c>
    </row>
    <row r="19" spans="3:8">
      <c r="C19" t="s">
        <v>627</v>
      </c>
      <c r="D19" s="166">
        <v>9.6380895386210877E-2</v>
      </c>
      <c r="E19" t="s">
        <v>113</v>
      </c>
      <c r="F19" s="171"/>
      <c r="G19" s="171"/>
      <c r="H19" t="s">
        <v>644</v>
      </c>
    </row>
    <row r="20" spans="3:8">
      <c r="C20" t="s">
        <v>619</v>
      </c>
      <c r="D20" s="166">
        <v>1.835826578784969</v>
      </c>
      <c r="E20" t="s">
        <v>113</v>
      </c>
      <c r="F20" s="171"/>
      <c r="G20" s="171"/>
      <c r="H20" t="s">
        <v>641</v>
      </c>
    </row>
    <row r="21" spans="3:8">
      <c r="C21" t="s">
        <v>620</v>
      </c>
      <c r="D21" s="166">
        <v>0.57828537231726518</v>
      </c>
      <c r="E21" t="s">
        <v>113</v>
      </c>
      <c r="F21" s="171"/>
      <c r="G21" s="171"/>
      <c r="H21" t="s">
        <v>645</v>
      </c>
    </row>
    <row r="22" spans="3:8">
      <c r="C22" t="s">
        <v>621</v>
      </c>
      <c r="D22" s="166">
        <v>0.45895664469624226</v>
      </c>
      <c r="E22" t="s">
        <v>113</v>
      </c>
      <c r="F22" s="171"/>
      <c r="G22" s="171"/>
      <c r="H22" t="s">
        <v>643</v>
      </c>
    </row>
    <row r="23" spans="3:8">
      <c r="C23" t="s">
        <v>697</v>
      </c>
      <c r="D23" s="166">
        <v>652.74790664419925</v>
      </c>
      <c r="E23" t="s">
        <v>207</v>
      </c>
      <c r="F23" s="171" t="s">
        <v>39</v>
      </c>
      <c r="G23" s="171"/>
      <c r="H23" t="s">
        <v>709</v>
      </c>
    </row>
    <row r="24" spans="3:8">
      <c r="C24" t="s">
        <v>649</v>
      </c>
      <c r="D24" s="166">
        <v>1.7924470140060287</v>
      </c>
      <c r="E24" t="s">
        <v>207</v>
      </c>
      <c r="F24" s="171"/>
      <c r="G24" s="171"/>
      <c r="H24" t="s">
        <v>648</v>
      </c>
    </row>
    <row r="25" spans="3:8">
      <c r="C25" t="s">
        <v>18</v>
      </c>
      <c r="D25" s="166">
        <v>2.6999506298222711</v>
      </c>
      <c r="E25" t="s">
        <v>207</v>
      </c>
      <c r="F25" s="171"/>
      <c r="G25" s="171"/>
      <c r="H25" t="s">
        <v>647</v>
      </c>
    </row>
    <row r="26" spans="3:8">
      <c r="C26" t="s">
        <v>727</v>
      </c>
      <c r="D26" s="166">
        <v>0.19687140009120727</v>
      </c>
      <c r="E26" t="s">
        <v>209</v>
      </c>
      <c r="F26" s="171"/>
      <c r="G26" s="171"/>
      <c r="H26" t="s">
        <v>726</v>
      </c>
    </row>
    <row r="27" spans="3:8">
      <c r="C27" t="s">
        <v>718</v>
      </c>
      <c r="D27" s="166">
        <v>1.2564014743460283</v>
      </c>
      <c r="E27" t="s">
        <v>207</v>
      </c>
      <c r="F27" s="171"/>
      <c r="G27" s="171"/>
      <c r="H27" t="s">
        <v>719</v>
      </c>
    </row>
    <row r="28" spans="3:8">
      <c r="C28" t="s">
        <v>20</v>
      </c>
      <c r="D28" s="166">
        <v>0.30963511774668129</v>
      </c>
      <c r="E28" t="s">
        <v>207</v>
      </c>
      <c r="F28" s="171"/>
      <c r="G28" s="171"/>
      <c r="H28" t="s">
        <v>650</v>
      </c>
    </row>
    <row r="29" spans="3:8">
      <c r="C29" t="s">
        <v>179</v>
      </c>
      <c r="D29" s="166">
        <v>2154.0867857878306</v>
      </c>
      <c r="E29" t="s">
        <v>104</v>
      </c>
      <c r="F29" s="171"/>
      <c r="G29" s="171"/>
      <c r="H29" t="s">
        <v>646</v>
      </c>
    </row>
    <row r="30" spans="3:8">
      <c r="C30" t="s">
        <v>712</v>
      </c>
      <c r="D30" s="166">
        <v>17.017931825699353</v>
      </c>
      <c r="E30" t="s">
        <v>207</v>
      </c>
      <c r="F30" s="171"/>
      <c r="G30" s="171"/>
      <c r="H30" t="s">
        <v>720</v>
      </c>
    </row>
    <row r="31" spans="3:8">
      <c r="C31" t="s">
        <v>711</v>
      </c>
      <c r="D31" s="166">
        <v>16.072491168716056</v>
      </c>
      <c r="E31" t="s">
        <v>207</v>
      </c>
      <c r="F31" s="171"/>
      <c r="G31" s="171"/>
      <c r="H31" t="s">
        <v>662</v>
      </c>
    </row>
    <row r="32" spans="3:8">
      <c r="C32" t="s">
        <v>337</v>
      </c>
      <c r="D32" s="166">
        <v>-1.8333333333333299</v>
      </c>
      <c r="E32" t="s">
        <v>211</v>
      </c>
      <c r="F32" s="171"/>
      <c r="G32" s="171"/>
      <c r="H32" t="s">
        <v>662</v>
      </c>
    </row>
    <row r="33" spans="1:8">
      <c r="C33" t="s">
        <v>338</v>
      </c>
      <c r="D33" s="166">
        <v>-203.27066434564901</v>
      </c>
      <c r="E33" t="s">
        <v>211</v>
      </c>
      <c r="F33" s="171"/>
      <c r="G33" s="171"/>
      <c r="H33" t="s">
        <v>662</v>
      </c>
    </row>
    <row r="34" spans="1:8">
      <c r="C34" t="s">
        <v>240</v>
      </c>
      <c r="D34" s="166">
        <v>643.13683139582918</v>
      </c>
      <c r="E34" t="s">
        <v>239</v>
      </c>
      <c r="F34" s="171" t="s">
        <v>243</v>
      </c>
      <c r="G34" s="171"/>
      <c r="H34" t="s">
        <v>663</v>
      </c>
    </row>
    <row r="35" spans="1:8">
      <c r="C35" t="s">
        <v>694</v>
      </c>
      <c r="D35" s="166">
        <v>74.634946367018927</v>
      </c>
      <c r="E35" t="s">
        <v>239</v>
      </c>
      <c r="F35" s="171"/>
      <c r="G35" s="171"/>
      <c r="H35" t="s">
        <v>702</v>
      </c>
    </row>
    <row r="36" spans="1:8">
      <c r="C36" t="s">
        <v>241</v>
      </c>
      <c r="D36" s="166">
        <v>15</v>
      </c>
      <c r="E36" t="s">
        <v>651</v>
      </c>
      <c r="F36" s="171"/>
      <c r="G36" s="171"/>
      <c r="H36" t="s">
        <v>703</v>
      </c>
    </row>
    <row r="37" spans="1:8">
      <c r="C37" t="s">
        <v>605</v>
      </c>
      <c r="D37" s="166">
        <v>1376.98</v>
      </c>
      <c r="E37" t="s">
        <v>206</v>
      </c>
      <c r="F37" s="178" t="s">
        <v>244</v>
      </c>
      <c r="G37" s="178"/>
      <c r="H37" t="s">
        <v>606</v>
      </c>
    </row>
    <row r="38" spans="1:8">
      <c r="C38" t="s">
        <v>604</v>
      </c>
      <c r="D38" s="166">
        <v>743.1349052972032</v>
      </c>
      <c r="E38" t="s">
        <v>289</v>
      </c>
      <c r="F38" s="178" t="s">
        <v>290</v>
      </c>
      <c r="G38" s="178"/>
      <c r="H38" t="s">
        <v>665</v>
      </c>
    </row>
    <row r="39" spans="1:8">
      <c r="D39" s="166"/>
    </row>
    <row r="40" spans="1:8">
      <c r="D40" s="166"/>
    </row>
    <row r="41" spans="1:8">
      <c r="A41" t="s">
        <v>350</v>
      </c>
      <c r="C41" t="s">
        <v>0</v>
      </c>
      <c r="D41" s="166"/>
      <c r="E41" t="s">
        <v>37</v>
      </c>
      <c r="F41" t="s">
        <v>1</v>
      </c>
      <c r="G41" t="s">
        <v>640</v>
      </c>
    </row>
    <row r="42" spans="1:8">
      <c r="C42" t="s">
        <v>737</v>
      </c>
      <c r="D42" s="166">
        <v>61.029287249999975</v>
      </c>
      <c r="E42" t="s">
        <v>206</v>
      </c>
      <c r="F42" s="178" t="s">
        <v>661</v>
      </c>
      <c r="G42" t="s">
        <v>606</v>
      </c>
    </row>
    <row r="43" spans="1:8">
      <c r="C43" t="s">
        <v>204</v>
      </c>
      <c r="D43" s="166">
        <v>3677.1139785</v>
      </c>
      <c r="E43" t="s">
        <v>707</v>
      </c>
      <c r="F43" s="178"/>
      <c r="G43" t="s">
        <v>708</v>
      </c>
    </row>
    <row r="44" spans="1:8">
      <c r="C44" t="s">
        <v>83</v>
      </c>
      <c r="D44" s="166">
        <v>171.90066606516294</v>
      </c>
      <c r="E44" t="s">
        <v>104</v>
      </c>
      <c r="F44" s="171" t="s">
        <v>201</v>
      </c>
      <c r="G44" t="s">
        <v>646</v>
      </c>
    </row>
    <row r="45" spans="1:8">
      <c r="C45" t="s">
        <v>86</v>
      </c>
      <c r="D45" s="166">
        <v>2.1207208852516563E-2</v>
      </c>
      <c r="E45" t="s">
        <v>207</v>
      </c>
      <c r="F45" s="171"/>
      <c r="G45" t="s">
        <v>628</v>
      </c>
    </row>
    <row r="46" spans="1:8">
      <c r="C46" t="s">
        <v>91</v>
      </c>
      <c r="D46" s="166">
        <v>4.040275050669128E-3</v>
      </c>
      <c r="E46" t="s">
        <v>207</v>
      </c>
      <c r="F46" s="171"/>
      <c r="G46" t="s">
        <v>629</v>
      </c>
    </row>
    <row r="47" spans="1:8">
      <c r="C47" t="s">
        <v>94</v>
      </c>
      <c r="D47" s="166">
        <v>1.4755269311884963E-4</v>
      </c>
      <c r="E47" t="s">
        <v>226</v>
      </c>
      <c r="F47" s="171"/>
      <c r="G47" t="s">
        <v>634</v>
      </c>
    </row>
    <row r="48" spans="1:8">
      <c r="C48" t="s">
        <v>84</v>
      </c>
      <c r="D48" s="166">
        <v>3.1067340842573215E-2</v>
      </c>
      <c r="E48" t="s">
        <v>207</v>
      </c>
      <c r="F48" s="171"/>
      <c r="G48" t="s">
        <v>630</v>
      </c>
    </row>
    <row r="49" spans="3:7">
      <c r="C49" t="s">
        <v>95</v>
      </c>
      <c r="D49" s="166">
        <v>2.8858057232922994E-4</v>
      </c>
      <c r="E49" t="s">
        <v>226</v>
      </c>
      <c r="F49" s="171"/>
      <c r="G49" t="s">
        <v>631</v>
      </c>
    </row>
    <row r="50" spans="3:7">
      <c r="C50" t="s">
        <v>88</v>
      </c>
      <c r="D50" s="166">
        <v>1.3818453072688679E-3</v>
      </c>
      <c r="E50" t="s">
        <v>226</v>
      </c>
      <c r="F50" s="171"/>
      <c r="G50" t="s">
        <v>632</v>
      </c>
    </row>
    <row r="51" spans="3:7">
      <c r="C51" t="s">
        <v>89</v>
      </c>
      <c r="D51" s="166">
        <v>2.4425036368966854E-2</v>
      </c>
      <c r="E51" t="s">
        <v>207</v>
      </c>
      <c r="F51" s="171"/>
      <c r="G51" t="s">
        <v>633</v>
      </c>
    </row>
    <row r="52" spans="3:7">
      <c r="C52" t="s">
        <v>97</v>
      </c>
      <c r="D52" s="166">
        <v>1.7405630341747704E-5</v>
      </c>
      <c r="E52" t="s">
        <v>226</v>
      </c>
      <c r="F52" s="171"/>
      <c r="G52" t="s">
        <v>635</v>
      </c>
    </row>
    <row r="53" spans="3:7">
      <c r="C53" t="s">
        <v>92</v>
      </c>
      <c r="D53" s="166">
        <v>7.0208100440579081E-3</v>
      </c>
      <c r="E53" t="s">
        <v>207</v>
      </c>
      <c r="F53" s="171"/>
      <c r="G53" t="s">
        <v>637</v>
      </c>
    </row>
    <row r="54" spans="3:7">
      <c r="C54" t="s">
        <v>87</v>
      </c>
      <c r="D54" s="166">
        <v>6.8331288264140977E-2</v>
      </c>
      <c r="E54" t="s">
        <v>207</v>
      </c>
      <c r="F54" s="171"/>
      <c r="G54" t="s">
        <v>768</v>
      </c>
    </row>
    <row r="55" spans="3:7">
      <c r="C55" t="s">
        <v>608</v>
      </c>
      <c r="D55" s="166">
        <v>1.8528633524303974E-4</v>
      </c>
      <c r="E55" t="s">
        <v>226</v>
      </c>
      <c r="F55" s="171"/>
      <c r="G55" t="s">
        <v>639</v>
      </c>
    </row>
    <row r="56" spans="3:7">
      <c r="C56" t="s">
        <v>66</v>
      </c>
      <c r="D56" s="166">
        <v>3.9252032169313296E-6</v>
      </c>
      <c r="E56" t="s">
        <v>226</v>
      </c>
      <c r="F56" s="171"/>
      <c r="G56" t="s">
        <v>636</v>
      </c>
    </row>
    <row r="57" spans="3:7">
      <c r="C57" t="s">
        <v>618</v>
      </c>
      <c r="D57" s="166">
        <v>0.24066093249122811</v>
      </c>
      <c r="E57" t="s">
        <v>226</v>
      </c>
      <c r="F57" s="171"/>
      <c r="G57" t="s">
        <v>642</v>
      </c>
    </row>
    <row r="58" spans="3:7">
      <c r="C58" t="s">
        <v>627</v>
      </c>
      <c r="D58" s="166">
        <v>5.05387958231579E-2</v>
      </c>
      <c r="E58" t="s">
        <v>226</v>
      </c>
      <c r="F58" s="171"/>
      <c r="G58" t="s">
        <v>644</v>
      </c>
    </row>
    <row r="59" spans="3:7">
      <c r="C59" t="s">
        <v>619</v>
      </c>
      <c r="D59" s="166">
        <v>0.96264372996491243</v>
      </c>
      <c r="E59" t="s">
        <v>226</v>
      </c>
      <c r="F59" s="171"/>
      <c r="G59" t="s">
        <v>641</v>
      </c>
    </row>
    <row r="60" spans="3:7">
      <c r="C60" t="s">
        <v>620</v>
      </c>
      <c r="D60" s="166">
        <v>0.3032327749389474</v>
      </c>
      <c r="E60" t="s">
        <v>226</v>
      </c>
      <c r="F60" s="171"/>
      <c r="G60" t="s">
        <v>645</v>
      </c>
    </row>
    <row r="61" spans="3:7">
      <c r="C61" t="s">
        <v>621</v>
      </c>
      <c r="D61" s="166">
        <v>0.24066093249122811</v>
      </c>
      <c r="E61" t="s">
        <v>226</v>
      </c>
      <c r="F61" s="171"/>
      <c r="G61" t="s">
        <v>643</v>
      </c>
    </row>
    <row r="62" spans="3:7">
      <c r="C62" t="s">
        <v>649</v>
      </c>
      <c r="D62" s="166">
        <v>0.54955725764729402</v>
      </c>
      <c r="E62" t="s">
        <v>207</v>
      </c>
      <c r="F62" s="171" t="s">
        <v>39</v>
      </c>
      <c r="G62" t="s">
        <v>648</v>
      </c>
    </row>
    <row r="63" spans="3:7">
      <c r="C63" t="s">
        <v>18</v>
      </c>
      <c r="D63" s="166">
        <v>0.82779432380098295</v>
      </c>
      <c r="E63" t="s">
        <v>207</v>
      </c>
      <c r="F63" s="171"/>
      <c r="G63" t="s">
        <v>647</v>
      </c>
    </row>
    <row r="64" spans="3:7">
      <c r="C64" t="s">
        <v>727</v>
      </c>
      <c r="D64" s="166">
        <v>6.0360002777155003E-2</v>
      </c>
      <c r="E64" t="s">
        <v>209</v>
      </c>
      <c r="F64" s="171"/>
      <c r="G64" t="s">
        <v>726</v>
      </c>
    </row>
    <row r="65" spans="3:7">
      <c r="C65" t="s">
        <v>718</v>
      </c>
      <c r="D65" s="166">
        <v>0.38520778765028424</v>
      </c>
      <c r="E65" t="s">
        <v>207</v>
      </c>
      <c r="F65" s="171"/>
      <c r="G65" t="s">
        <v>719</v>
      </c>
    </row>
    <row r="66" spans="3:7">
      <c r="C66" t="s">
        <v>20</v>
      </c>
      <c r="D66" s="166">
        <v>9.4932918435261943E-2</v>
      </c>
      <c r="E66" t="s">
        <v>207</v>
      </c>
      <c r="F66" s="171"/>
      <c r="G66" t="s">
        <v>650</v>
      </c>
    </row>
    <row r="67" spans="3:7">
      <c r="C67" t="s">
        <v>179</v>
      </c>
      <c r="D67" s="166">
        <v>660.43460000868549</v>
      </c>
      <c r="E67" t="s">
        <v>104</v>
      </c>
      <c r="F67" s="171"/>
      <c r="G67" t="s">
        <v>646</v>
      </c>
    </row>
    <row r="68" spans="3:7">
      <c r="C68" t="s">
        <v>712</v>
      </c>
      <c r="D68" s="166">
        <v>5.2176314679773785</v>
      </c>
      <c r="E68" t="s">
        <v>207</v>
      </c>
      <c r="F68" s="171"/>
      <c r="G68" t="s">
        <v>720</v>
      </c>
    </row>
    <row r="69" spans="3:7">
      <c r="C69" t="s">
        <v>711</v>
      </c>
      <c r="D69" s="166">
        <v>4.9277630530897465</v>
      </c>
      <c r="E69" t="s">
        <v>207</v>
      </c>
      <c r="F69" s="171"/>
      <c r="G69" t="s">
        <v>662</v>
      </c>
    </row>
    <row r="70" spans="3:7">
      <c r="C70" t="s">
        <v>337</v>
      </c>
      <c r="D70" s="166">
        <v>-0.56209284355261202</v>
      </c>
      <c r="E70" t="s">
        <v>211</v>
      </c>
      <c r="F70" s="171"/>
      <c r="G70" t="s">
        <v>662</v>
      </c>
    </row>
    <row r="71" spans="3:7">
      <c r="C71" t="s">
        <v>338</v>
      </c>
      <c r="D71" s="166">
        <v>-62.321992217931601</v>
      </c>
      <c r="E71" t="s">
        <v>211</v>
      </c>
      <c r="F71" s="171"/>
      <c r="G71" t="s">
        <v>662</v>
      </c>
    </row>
    <row r="72" spans="3:7">
      <c r="C72" t="s">
        <v>240</v>
      </c>
      <c r="D72" s="166">
        <v>1.3601609849857361</v>
      </c>
      <c r="E72" t="s">
        <v>239</v>
      </c>
      <c r="F72" s="171" t="s">
        <v>243</v>
      </c>
      <c r="G72" t="s">
        <v>663</v>
      </c>
    </row>
    <row r="73" spans="3:7">
      <c r="C73" t="s">
        <v>694</v>
      </c>
      <c r="D73" s="166">
        <v>3.3004751148064977</v>
      </c>
      <c r="E73" t="s">
        <v>239</v>
      </c>
      <c r="F73" s="171"/>
      <c r="G73" t="s">
        <v>702</v>
      </c>
    </row>
    <row r="74" spans="3:7">
      <c r="C74" t="s">
        <v>241</v>
      </c>
      <c r="D74" s="166">
        <v>15</v>
      </c>
      <c r="E74" t="s">
        <v>239</v>
      </c>
      <c r="F74" s="171"/>
      <c r="G74" t="s">
        <v>703</v>
      </c>
    </row>
    <row r="75" spans="3:7">
      <c r="C75" t="s">
        <v>605</v>
      </c>
      <c r="D75" s="166">
        <v>156.29867802665936</v>
      </c>
      <c r="E75" t="s">
        <v>206</v>
      </c>
      <c r="F75" s="43" t="s">
        <v>244</v>
      </c>
      <c r="G75" t="s">
        <v>606</v>
      </c>
    </row>
    <row r="76" spans="3:7">
      <c r="C76" t="s">
        <v>604</v>
      </c>
      <c r="D76" s="166">
        <v>84.351990074960824</v>
      </c>
      <c r="E76" t="s">
        <v>289</v>
      </c>
      <c r="F76" s="43" t="s">
        <v>290</v>
      </c>
      <c r="G76" t="s">
        <v>665</v>
      </c>
    </row>
  </sheetData>
  <mergeCells count="10">
    <mergeCell ref="F3:G4"/>
    <mergeCell ref="F5:G22"/>
    <mergeCell ref="F23:G33"/>
    <mergeCell ref="F34:G36"/>
    <mergeCell ref="F72:F74"/>
    <mergeCell ref="F37:G37"/>
    <mergeCell ref="F38:G38"/>
    <mergeCell ref="F42:F43"/>
    <mergeCell ref="F44:F61"/>
    <mergeCell ref="F62:F7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637B8-82BF-47B2-BEAB-0412595B2B43}">
  <dimension ref="A1:S38"/>
  <sheetViews>
    <sheetView workbookViewId="0">
      <selection activeCell="U21" sqref="U21"/>
    </sheetView>
  </sheetViews>
  <sheetFormatPr defaultRowHeight="15"/>
  <cols>
    <col min="1" max="1" width="25.85546875" customWidth="1"/>
    <col min="5" max="5" width="15" customWidth="1"/>
  </cols>
  <sheetData>
    <row r="1" spans="1:19">
      <c r="A1" s="50" t="s">
        <v>766</v>
      </c>
    </row>
    <row r="2" spans="1:19">
      <c r="B2" s="178" t="s">
        <v>318</v>
      </c>
      <c r="C2" s="178"/>
      <c r="D2" s="178"/>
      <c r="E2" s="178" t="s">
        <v>397</v>
      </c>
      <c r="F2" s="178"/>
      <c r="G2" s="178"/>
      <c r="H2" s="178" t="s">
        <v>402</v>
      </c>
      <c r="I2" s="178"/>
      <c r="J2" s="178"/>
      <c r="K2" s="178" t="s">
        <v>448</v>
      </c>
      <c r="L2" s="178"/>
      <c r="M2" s="178"/>
      <c r="N2" s="178" t="s">
        <v>591</v>
      </c>
      <c r="O2" s="178"/>
      <c r="P2" s="178"/>
      <c r="Q2" s="178" t="s">
        <v>430</v>
      </c>
      <c r="R2" s="178"/>
      <c r="S2" s="178"/>
    </row>
    <row r="3" spans="1:19">
      <c r="A3" t="s">
        <v>738</v>
      </c>
      <c r="B3" t="s">
        <v>739</v>
      </c>
      <c r="C3" t="s">
        <v>740</v>
      </c>
      <c r="D3" t="s">
        <v>741</v>
      </c>
      <c r="E3" t="s">
        <v>739</v>
      </c>
      <c r="F3" t="s">
        <v>740</v>
      </c>
      <c r="G3" t="s">
        <v>742</v>
      </c>
      <c r="H3" t="s">
        <v>743</v>
      </c>
      <c r="I3" t="s">
        <v>744</v>
      </c>
      <c r="J3" t="s">
        <v>742</v>
      </c>
      <c r="K3" t="s">
        <v>743</v>
      </c>
      <c r="L3" t="s">
        <v>745</v>
      </c>
      <c r="M3" t="s">
        <v>742</v>
      </c>
      <c r="N3" t="s">
        <v>739</v>
      </c>
      <c r="O3" t="s">
        <v>740</v>
      </c>
      <c r="P3" t="s">
        <v>742</v>
      </c>
      <c r="Q3" t="s">
        <v>739</v>
      </c>
      <c r="R3" t="s">
        <v>740</v>
      </c>
      <c r="S3" t="s">
        <v>742</v>
      </c>
    </row>
    <row r="4" spans="1:19">
      <c r="A4" t="s">
        <v>746</v>
      </c>
      <c r="B4">
        <v>1735.2312079048866</v>
      </c>
      <c r="C4">
        <v>1292.9687448411896</v>
      </c>
      <c r="D4">
        <v>34.200000000000003</v>
      </c>
      <c r="E4">
        <v>2319.9956173082192</v>
      </c>
      <c r="F4">
        <v>1729.1038002203634</v>
      </c>
      <c r="G4">
        <v>34.200000000000003</v>
      </c>
      <c r="H4">
        <v>2537.534040370715</v>
      </c>
      <c r="I4">
        <v>1890.6977263673368</v>
      </c>
      <c r="J4">
        <v>34.200000000000003</v>
      </c>
      <c r="K4">
        <v>1846.4612215645195</v>
      </c>
      <c r="L4">
        <v>1375.9512266974614</v>
      </c>
      <c r="M4">
        <v>34.200000000000003</v>
      </c>
      <c r="N4">
        <v>2530.5870698177932</v>
      </c>
      <c r="O4">
        <v>1950.8469750546994</v>
      </c>
      <c r="P4">
        <v>29.7</v>
      </c>
      <c r="Q4">
        <v>2297.1327042797002</v>
      </c>
      <c r="R4">
        <v>1712.0069263344308</v>
      </c>
      <c r="S4">
        <v>34.200000000000003</v>
      </c>
    </row>
    <row r="5" spans="1:19">
      <c r="A5" t="s">
        <v>747</v>
      </c>
      <c r="B5">
        <v>546.50392920281104</v>
      </c>
      <c r="C5">
        <v>407.93849596539877</v>
      </c>
      <c r="D5">
        <v>34</v>
      </c>
      <c r="E5">
        <v>826.49561894530871</v>
      </c>
      <c r="F5">
        <v>623.02061195051692</v>
      </c>
      <c r="G5">
        <v>32.700000000000003</v>
      </c>
      <c r="H5">
        <v>852.2072968090057</v>
      </c>
      <c r="I5">
        <v>636.11559461635613</v>
      </c>
      <c r="J5">
        <v>34</v>
      </c>
      <c r="K5">
        <v>789.46266160765674</v>
      </c>
      <c r="L5">
        <v>609.07678308435186</v>
      </c>
      <c r="M5">
        <v>29.6</v>
      </c>
      <c r="N5">
        <v>860.89021958471528</v>
      </c>
      <c r="O5">
        <v>663.88388986292159</v>
      </c>
      <c r="P5">
        <v>29.7</v>
      </c>
      <c r="Q5">
        <v>873.42378488674285</v>
      </c>
      <c r="R5">
        <v>668.29800022428719</v>
      </c>
      <c r="S5">
        <v>30.7</v>
      </c>
    </row>
    <row r="6" spans="1:19">
      <c r="A6" t="s">
        <v>748</v>
      </c>
      <c r="B6">
        <v>100.60310232995346</v>
      </c>
      <c r="C6">
        <v>85.86879273116358</v>
      </c>
      <c r="D6">
        <v>17.2</v>
      </c>
      <c r="E6">
        <v>1113.706660909379</v>
      </c>
      <c r="F6">
        <v>1098.9719069714765</v>
      </c>
      <c r="G6">
        <v>1.3</v>
      </c>
      <c r="H6">
        <v>86.272895405891802</v>
      </c>
      <c r="I6">
        <v>71.534393944577658</v>
      </c>
      <c r="J6">
        <v>20.6</v>
      </c>
      <c r="K6">
        <v>522.32908477075728</v>
      </c>
      <c r="L6">
        <v>507.59805703156974</v>
      </c>
      <c r="M6">
        <v>2.9</v>
      </c>
      <c r="N6">
        <v>219.18983281864465</v>
      </c>
      <c r="O6">
        <v>202.76108283617262</v>
      </c>
      <c r="P6">
        <v>8.1</v>
      </c>
      <c r="Q6">
        <v>1009.6129067679757</v>
      </c>
      <c r="R6">
        <v>994.87181578360151</v>
      </c>
      <c r="S6">
        <v>1.5</v>
      </c>
    </row>
    <row r="7" spans="1:19">
      <c r="A7" t="s">
        <v>749</v>
      </c>
      <c r="B7">
        <v>47.05968</v>
      </c>
      <c r="C7">
        <v>265.21758314412529</v>
      </c>
      <c r="D7">
        <v>-82.3</v>
      </c>
      <c r="E7">
        <v>47.05968</v>
      </c>
      <c r="F7">
        <v>265.21758314412523</v>
      </c>
      <c r="G7">
        <v>-82.3</v>
      </c>
      <c r="H7">
        <v>47.05968</v>
      </c>
      <c r="I7">
        <v>265.21758314412523</v>
      </c>
      <c r="J7">
        <v>-82.3</v>
      </c>
      <c r="K7">
        <v>47.05968</v>
      </c>
      <c r="L7">
        <v>265.21758314412529</v>
      </c>
      <c r="M7">
        <v>-82.3</v>
      </c>
      <c r="N7">
        <v>47.05968</v>
      </c>
      <c r="O7">
        <v>265.21758314412529</v>
      </c>
      <c r="P7">
        <v>-82.3</v>
      </c>
      <c r="Q7">
        <v>47.05968</v>
      </c>
      <c r="R7">
        <v>265.21758314412529</v>
      </c>
      <c r="S7">
        <v>-82.3</v>
      </c>
    </row>
    <row r="8" spans="1:19">
      <c r="A8" t="s">
        <v>696</v>
      </c>
      <c r="B8">
        <v>615.79277000000002</v>
      </c>
      <c r="C8">
        <v>577.00324085701698</v>
      </c>
      <c r="D8">
        <v>6.7</v>
      </c>
      <c r="E8">
        <v>615.79276000000004</v>
      </c>
      <c r="F8">
        <v>577.00324085701698</v>
      </c>
      <c r="G8">
        <v>6.7</v>
      </c>
      <c r="H8">
        <v>615.79276000000004</v>
      </c>
      <c r="I8">
        <v>577.00324085701698</v>
      </c>
      <c r="J8">
        <v>6.7</v>
      </c>
      <c r="K8">
        <v>615.79277000000002</v>
      </c>
      <c r="L8">
        <v>577.00324085701709</v>
      </c>
      <c r="M8">
        <v>6.7</v>
      </c>
      <c r="N8">
        <v>615.79276000000004</v>
      </c>
      <c r="O8">
        <v>577.00324085701709</v>
      </c>
      <c r="P8">
        <v>6.7</v>
      </c>
      <c r="Q8">
        <v>615.79277000000002</v>
      </c>
      <c r="R8">
        <v>577.00324085701698</v>
      </c>
      <c r="S8">
        <v>6.7</v>
      </c>
    </row>
    <row r="9" spans="1:19">
      <c r="A9" t="s">
        <v>750</v>
      </c>
      <c r="B9">
        <v>594.49296000000004</v>
      </c>
      <c r="C9">
        <v>442.984170431086</v>
      </c>
      <c r="D9">
        <v>34.200000000000003</v>
      </c>
      <c r="E9">
        <v>594.49296000000004</v>
      </c>
      <c r="F9">
        <v>442.98417043108623</v>
      </c>
      <c r="G9">
        <v>34.200000000000003</v>
      </c>
      <c r="H9">
        <v>594.49296000000004</v>
      </c>
      <c r="I9">
        <v>442.98417043108623</v>
      </c>
      <c r="J9">
        <v>34.200000000000003</v>
      </c>
      <c r="K9">
        <v>594.49296000000004</v>
      </c>
      <c r="L9">
        <v>442.98417043108611</v>
      </c>
      <c r="M9">
        <v>34.200000000000003</v>
      </c>
      <c r="N9">
        <v>594.49296000000004</v>
      </c>
      <c r="O9">
        <v>442.98417043108611</v>
      </c>
      <c r="P9">
        <v>34.200000000000003</v>
      </c>
      <c r="Q9">
        <v>594.49296000000004</v>
      </c>
      <c r="R9">
        <v>442.98417043108617</v>
      </c>
      <c r="S9">
        <v>34.200000000000003</v>
      </c>
    </row>
    <row r="10" spans="1:19">
      <c r="A10" t="s">
        <v>751</v>
      </c>
      <c r="B10">
        <v>-205.10401999999999</v>
      </c>
      <c r="C10">
        <v>-205.10399767898235</v>
      </c>
      <c r="D10">
        <v>0</v>
      </c>
      <c r="E10">
        <v>-205.10401999999999</v>
      </c>
      <c r="F10">
        <v>-205.10399767898235</v>
      </c>
      <c r="G10">
        <v>0</v>
      </c>
      <c r="H10">
        <v>-205.10401999999999</v>
      </c>
      <c r="I10">
        <v>-205.10399767898235</v>
      </c>
      <c r="J10">
        <v>0</v>
      </c>
      <c r="K10">
        <v>-205.10401999999999</v>
      </c>
      <c r="L10">
        <v>-205.10399767898235</v>
      </c>
      <c r="M10">
        <v>0</v>
      </c>
      <c r="N10">
        <v>-205.10401999999999</v>
      </c>
      <c r="O10">
        <v>-205.10399767898235</v>
      </c>
      <c r="P10">
        <v>0</v>
      </c>
      <c r="Q10">
        <v>-205.10401999999999</v>
      </c>
      <c r="R10">
        <v>-205.10399767898235</v>
      </c>
      <c r="S10">
        <v>0</v>
      </c>
    </row>
    <row r="11" spans="1:19">
      <c r="A11" t="s">
        <v>752</v>
      </c>
      <c r="B11">
        <v>86.052707704237747</v>
      </c>
      <c r="C11">
        <v>187.09018666885581</v>
      </c>
      <c r="D11">
        <v>-54</v>
      </c>
      <c r="E11">
        <v>446.22917707238383</v>
      </c>
      <c r="F11">
        <v>519.64852710271009</v>
      </c>
      <c r="G11">
        <v>-14.1</v>
      </c>
      <c r="H11">
        <v>80.711280717820074</v>
      </c>
      <c r="I11">
        <v>181.775571256885</v>
      </c>
      <c r="J11">
        <v>-55.6</v>
      </c>
      <c r="K11">
        <v>231.79082177472304</v>
      </c>
      <c r="L11">
        <v>326.81025488775674</v>
      </c>
      <c r="M11">
        <v>-29.1</v>
      </c>
      <c r="N11">
        <v>124.50412339655897</v>
      </c>
      <c r="O11">
        <v>224.3912289240711</v>
      </c>
      <c r="P11">
        <v>-44.5</v>
      </c>
      <c r="Q11">
        <v>405.46077916849453</v>
      </c>
      <c r="R11">
        <v>483.30116723785198</v>
      </c>
      <c r="S11">
        <v>-16.100000000000001</v>
      </c>
    </row>
    <row r="12" spans="1:19">
      <c r="A12" t="s">
        <v>753</v>
      </c>
      <c r="B12">
        <v>22.731535562467865</v>
      </c>
      <c r="C12">
        <v>22.731991003188369</v>
      </c>
      <c r="D12">
        <v>0</v>
      </c>
      <c r="E12">
        <v>290.92854704662091</v>
      </c>
      <c r="F12">
        <v>290.92888485627805</v>
      </c>
      <c r="G12">
        <v>0</v>
      </c>
      <c r="H12">
        <v>18.93774676786434</v>
      </c>
      <c r="I12">
        <v>18.937092505083211</v>
      </c>
      <c r="J12">
        <v>0</v>
      </c>
      <c r="K12">
        <v>134.37412257818198</v>
      </c>
      <c r="L12">
        <v>134.37544681696198</v>
      </c>
      <c r="M12">
        <v>0</v>
      </c>
      <c r="N12">
        <v>54.124689488881039</v>
      </c>
      <c r="O12">
        <v>53.676578755894624</v>
      </c>
      <c r="P12">
        <v>0.8</v>
      </c>
      <c r="Q12">
        <v>263.37193554845305</v>
      </c>
      <c r="R12">
        <v>263.37059576331831</v>
      </c>
      <c r="S12">
        <v>0</v>
      </c>
    </row>
    <row r="13" spans="1:19">
      <c r="A13" t="s">
        <v>754</v>
      </c>
      <c r="B13">
        <v>27.54955</v>
      </c>
      <c r="C13">
        <v>137.23311012077474</v>
      </c>
      <c r="D13">
        <v>-79.900000000000006</v>
      </c>
      <c r="E13">
        <v>27.54955</v>
      </c>
      <c r="F13">
        <v>137.23311012077474</v>
      </c>
      <c r="G13">
        <v>-79.900000000000006</v>
      </c>
      <c r="H13">
        <v>27.54955</v>
      </c>
      <c r="I13">
        <v>137.23311012077474</v>
      </c>
      <c r="J13">
        <v>-79.900000000000006</v>
      </c>
      <c r="K13">
        <v>27.54955</v>
      </c>
      <c r="L13">
        <v>137.23311012077474</v>
      </c>
      <c r="M13">
        <v>-79.900000000000006</v>
      </c>
      <c r="N13">
        <v>27.54955</v>
      </c>
      <c r="O13">
        <v>137.23311012077474</v>
      </c>
      <c r="P13">
        <v>-79.900000000000006</v>
      </c>
      <c r="Q13">
        <v>27.54955</v>
      </c>
      <c r="R13">
        <v>137.23311012077474</v>
      </c>
      <c r="S13">
        <v>-79.900000000000006</v>
      </c>
    </row>
    <row r="14" spans="1:19">
      <c r="A14" t="s">
        <v>755</v>
      </c>
      <c r="B14">
        <v>1.1369692430724347</v>
      </c>
      <c r="C14">
        <v>2.2350484662626466</v>
      </c>
      <c r="D14">
        <v>-49.1</v>
      </c>
      <c r="E14">
        <v>33.016540393852452</v>
      </c>
      <c r="F14">
        <v>6.4966406546430608</v>
      </c>
      <c r="G14">
        <v>408.2</v>
      </c>
      <c r="H14">
        <v>1.0485131480589125</v>
      </c>
      <c r="I14">
        <v>2.1747585767889972</v>
      </c>
      <c r="J14">
        <v>-51.8</v>
      </c>
      <c r="K14">
        <v>8.9300847618537258</v>
      </c>
      <c r="L14">
        <v>4.0090452144244511</v>
      </c>
      <c r="M14">
        <v>122.7</v>
      </c>
      <c r="N14">
        <v>2.2362343468308024</v>
      </c>
      <c r="O14">
        <v>2.7267475649394259</v>
      </c>
      <c r="P14">
        <v>-18</v>
      </c>
      <c r="Q14">
        <v>28.15555872047468</v>
      </c>
      <c r="R14">
        <v>6.058741457079984</v>
      </c>
      <c r="S14">
        <v>364.7</v>
      </c>
    </row>
    <row r="15" spans="1:19">
      <c r="A15" t="s">
        <v>756</v>
      </c>
      <c r="B15">
        <v>0.68596000000000001</v>
      </c>
      <c r="C15">
        <v>3.3122229604128841</v>
      </c>
      <c r="D15">
        <v>-79.3</v>
      </c>
      <c r="E15">
        <v>0.68596000000000001</v>
      </c>
      <c r="F15">
        <v>3.3122229604128841</v>
      </c>
      <c r="G15">
        <v>-79.3</v>
      </c>
      <c r="H15">
        <v>0.68596000000000001</v>
      </c>
      <c r="I15">
        <v>3.3122229604128841</v>
      </c>
      <c r="J15">
        <v>-79.3</v>
      </c>
      <c r="K15">
        <v>0.68596000000000001</v>
      </c>
      <c r="L15">
        <v>3.3122229604128837</v>
      </c>
      <c r="M15">
        <v>-79.3</v>
      </c>
      <c r="N15">
        <v>0.68596000000000001</v>
      </c>
      <c r="O15">
        <v>3.3122229604128837</v>
      </c>
      <c r="P15">
        <v>-79.3</v>
      </c>
      <c r="Q15">
        <v>0.68596000000000001</v>
      </c>
      <c r="R15">
        <v>3.3122229604128841</v>
      </c>
      <c r="S15">
        <v>-79.3</v>
      </c>
    </row>
    <row r="16" spans="1:19">
      <c r="A16" t="s">
        <v>757</v>
      </c>
      <c r="B16">
        <v>28.537930000000003</v>
      </c>
      <c r="C16">
        <v>16.166942811456096</v>
      </c>
      <c r="D16">
        <v>76.5</v>
      </c>
      <c r="E16">
        <v>28.537930000000003</v>
      </c>
      <c r="F16">
        <v>16.166942811456096</v>
      </c>
      <c r="G16">
        <v>76.5</v>
      </c>
      <c r="H16">
        <v>28.537930000000003</v>
      </c>
      <c r="I16">
        <v>16.166942811456096</v>
      </c>
      <c r="J16">
        <v>76.5</v>
      </c>
      <c r="K16">
        <v>28.537930000000003</v>
      </c>
      <c r="L16">
        <v>16.166942811456092</v>
      </c>
      <c r="M16">
        <v>76.5</v>
      </c>
      <c r="N16">
        <v>28.537930000000003</v>
      </c>
      <c r="O16">
        <v>16.166942811456092</v>
      </c>
      <c r="P16">
        <v>76.5</v>
      </c>
      <c r="Q16">
        <v>28.537930000000003</v>
      </c>
      <c r="R16">
        <v>16.166942811456092</v>
      </c>
      <c r="S16">
        <v>76.5</v>
      </c>
    </row>
    <row r="17" spans="1:19">
      <c r="A17" t="s">
        <v>758</v>
      </c>
      <c r="B17">
        <v>4.7182541541585064</v>
      </c>
      <c r="C17">
        <v>4.718348687370554</v>
      </c>
      <c r="D17">
        <v>0</v>
      </c>
      <c r="E17">
        <v>50.782861441922925</v>
      </c>
      <c r="F17">
        <v>50.782920408088962</v>
      </c>
      <c r="G17">
        <v>0</v>
      </c>
      <c r="H17">
        <v>2.8419549222268219</v>
      </c>
      <c r="I17">
        <v>2.8418567381421971</v>
      </c>
      <c r="J17">
        <v>0</v>
      </c>
      <c r="K17">
        <v>27.391461674279718</v>
      </c>
      <c r="L17">
        <v>27.391731613424948</v>
      </c>
      <c r="M17">
        <v>0</v>
      </c>
      <c r="N17">
        <v>8.1514737571478832</v>
      </c>
      <c r="O17">
        <v>8.0839858340811759</v>
      </c>
      <c r="P17">
        <v>0.8</v>
      </c>
      <c r="Q17">
        <v>43.87948725624446</v>
      </c>
      <c r="R17">
        <v>43.879264039277089</v>
      </c>
      <c r="S17">
        <v>0</v>
      </c>
    </row>
    <row r="18" spans="1:19" ht="15.75" customHeight="1">
      <c r="A18" t="s">
        <v>759</v>
      </c>
      <c r="B18">
        <v>0.69250874453894373</v>
      </c>
      <c r="C18">
        <v>0.69252261939049964</v>
      </c>
      <c r="D18">
        <v>0</v>
      </c>
      <c r="E18">
        <v>14.727788189987482</v>
      </c>
      <c r="F18">
        <v>14.727805291056212</v>
      </c>
      <c r="G18">
        <v>0</v>
      </c>
      <c r="H18">
        <v>1.1096258796700009</v>
      </c>
      <c r="I18">
        <v>1.1095875442268806</v>
      </c>
      <c r="J18">
        <v>0</v>
      </c>
      <c r="K18">
        <v>4.3217127604076229</v>
      </c>
      <c r="L18">
        <v>4.3217553503015962</v>
      </c>
      <c r="M18">
        <v>0</v>
      </c>
      <c r="N18">
        <v>3.2182858036992501</v>
      </c>
      <c r="O18">
        <v>3.1916408765121536</v>
      </c>
      <c r="P18">
        <v>0.8</v>
      </c>
      <c r="Q18">
        <v>13.280357643322226</v>
      </c>
      <c r="R18">
        <v>13.280290085532831</v>
      </c>
      <c r="S18">
        <v>0</v>
      </c>
    </row>
    <row r="19" spans="1:19">
      <c r="A19" t="s">
        <v>760</v>
      </c>
      <c r="B19">
        <v>3520.6323371418889</v>
      </c>
      <c r="C19">
        <v>3053.9672169598525</v>
      </c>
      <c r="D19">
        <v>15.3</v>
      </c>
      <c r="E19">
        <v>5758.6684542352923</v>
      </c>
      <c r="F19">
        <v>5050.8458429983129</v>
      </c>
      <c r="G19">
        <v>14</v>
      </c>
      <c r="H19">
        <v>4608.9668933034318</v>
      </c>
      <c r="I19">
        <v>3860.2242829384013</v>
      </c>
      <c r="J19">
        <v>19.399999999999999</v>
      </c>
      <c r="K19">
        <v>4442.2851797176572</v>
      </c>
      <c r="L19">
        <v>3899.5373184543855</v>
      </c>
      <c r="M19">
        <v>13.9</v>
      </c>
      <c r="N19">
        <v>4787.4126256177133</v>
      </c>
      <c r="O19">
        <v>4121.9841734311121</v>
      </c>
      <c r="P19">
        <v>16.100000000000001</v>
      </c>
      <c r="Q19">
        <v>5637.8715651029142</v>
      </c>
      <c r="R19">
        <v>4938.5789063334169</v>
      </c>
      <c r="S19">
        <v>14.2</v>
      </c>
    </row>
    <row r="21" spans="1:19">
      <c r="B21" s="178" t="s">
        <v>494</v>
      </c>
      <c r="C21" s="178"/>
      <c r="D21" s="178"/>
      <c r="E21" s="178" t="s">
        <v>437</v>
      </c>
      <c r="F21" s="178"/>
      <c r="G21" s="178"/>
      <c r="H21" s="178" t="s">
        <v>323</v>
      </c>
      <c r="I21" s="178"/>
      <c r="J21" s="178"/>
      <c r="K21" s="178" t="s">
        <v>471</v>
      </c>
      <c r="L21" s="178"/>
      <c r="M21" s="178"/>
      <c r="N21" s="178" t="s">
        <v>325</v>
      </c>
      <c r="O21" s="178"/>
      <c r="P21" s="178"/>
    </row>
    <row r="22" spans="1:19">
      <c r="A22" t="s">
        <v>738</v>
      </c>
      <c r="B22" t="s">
        <v>743</v>
      </c>
      <c r="C22" t="s">
        <v>761</v>
      </c>
      <c r="D22" t="s">
        <v>742</v>
      </c>
      <c r="E22" t="s">
        <v>743</v>
      </c>
      <c r="F22" t="s">
        <v>762</v>
      </c>
      <c r="G22" t="s">
        <v>742</v>
      </c>
      <c r="H22" t="s">
        <v>743</v>
      </c>
      <c r="I22" t="s">
        <v>763</v>
      </c>
      <c r="J22" t="s">
        <v>742</v>
      </c>
      <c r="K22" t="s">
        <v>743</v>
      </c>
      <c r="L22" t="s">
        <v>764</v>
      </c>
      <c r="M22" t="s">
        <v>742</v>
      </c>
      <c r="N22" t="s">
        <v>743</v>
      </c>
      <c r="O22" t="s">
        <v>765</v>
      </c>
      <c r="P22" t="s">
        <v>742</v>
      </c>
    </row>
    <row r="23" spans="1:19">
      <c r="A23" t="s">
        <v>746</v>
      </c>
      <c r="B23">
        <v>1914.2824377680115</v>
      </c>
      <c r="C23">
        <v>1649.0635674811645</v>
      </c>
      <c r="D23">
        <v>16.100000000000001</v>
      </c>
      <c r="E23">
        <v>1853.9028950975189</v>
      </c>
      <c r="F23">
        <v>1232.7708965248141</v>
      </c>
      <c r="G23">
        <v>50.4</v>
      </c>
      <c r="H23">
        <v>1918.3830080800608</v>
      </c>
      <c r="I23">
        <v>1429.4068741663498</v>
      </c>
      <c r="J23">
        <v>34.200000000000003</v>
      </c>
      <c r="K23">
        <v>1805.4124782260592</v>
      </c>
      <c r="L23">
        <v>1345.1916208721077</v>
      </c>
      <c r="M23">
        <v>34.200000000000003</v>
      </c>
      <c r="N23">
        <v>2210.8140799414537</v>
      </c>
      <c r="O23">
        <v>1647.2446392897839</v>
      </c>
      <c r="P23">
        <v>34.200000000000003</v>
      </c>
    </row>
    <row r="24" spans="1:19">
      <c r="A24" t="s">
        <v>747</v>
      </c>
      <c r="B24">
        <v>670.23063593675602</v>
      </c>
      <c r="C24">
        <v>557.03563864642786</v>
      </c>
      <c r="D24">
        <v>20.3</v>
      </c>
      <c r="E24">
        <v>792.05213514499985</v>
      </c>
      <c r="F24">
        <v>702.5286163654846</v>
      </c>
      <c r="G24">
        <v>12.7</v>
      </c>
      <c r="H24">
        <v>755.26191437006219</v>
      </c>
      <c r="I24">
        <v>566.8116890788516</v>
      </c>
      <c r="J24">
        <v>33.200000000000003</v>
      </c>
      <c r="K24">
        <v>689.38821677753413</v>
      </c>
      <c r="L24">
        <v>514.75987799537029</v>
      </c>
      <c r="M24">
        <v>33.9</v>
      </c>
      <c r="N24">
        <v>787.26384858069719</v>
      </c>
      <c r="O24">
        <v>587.0969665813559</v>
      </c>
      <c r="P24">
        <v>34.1</v>
      </c>
    </row>
    <row r="25" spans="1:19">
      <c r="A25" t="s">
        <v>748</v>
      </c>
      <c r="B25">
        <v>561.87112622707104</v>
      </c>
      <c r="C25">
        <v>113.14689042205895</v>
      </c>
      <c r="D25">
        <v>396.6</v>
      </c>
      <c r="E25">
        <v>514.43299941639805</v>
      </c>
      <c r="F25">
        <v>1287.0129910537044</v>
      </c>
      <c r="G25">
        <v>-60</v>
      </c>
      <c r="H25">
        <v>105.70277158512872</v>
      </c>
      <c r="I25">
        <v>90.963692299877806</v>
      </c>
      <c r="J25">
        <v>16.2</v>
      </c>
      <c r="K25">
        <v>40.157881708263353</v>
      </c>
      <c r="L25">
        <v>25.419097848260613</v>
      </c>
      <c r="M25">
        <v>58</v>
      </c>
      <c r="N25">
        <v>35.538513463447082</v>
      </c>
      <c r="O25">
        <v>20.806198238744877</v>
      </c>
      <c r="P25">
        <v>70.8</v>
      </c>
    </row>
    <row r="26" spans="1:19">
      <c r="A26" t="s">
        <v>749</v>
      </c>
      <c r="B26">
        <v>47.05968</v>
      </c>
      <c r="C26">
        <v>265.21758314412523</v>
      </c>
      <c r="D26">
        <v>-82.3</v>
      </c>
      <c r="E26">
        <v>47.05968</v>
      </c>
      <c r="F26">
        <v>265.21758314412529</v>
      </c>
      <c r="G26">
        <v>-82.3</v>
      </c>
      <c r="H26">
        <v>47.05968</v>
      </c>
      <c r="I26">
        <v>265.21758314412523</v>
      </c>
      <c r="J26">
        <v>-82.3</v>
      </c>
      <c r="K26">
        <v>47.05968</v>
      </c>
      <c r="L26">
        <v>265.21758314412529</v>
      </c>
      <c r="M26">
        <v>-82.3</v>
      </c>
      <c r="N26">
        <v>47.05968</v>
      </c>
      <c r="O26">
        <v>265.21758314412523</v>
      </c>
      <c r="P26">
        <v>-82.3</v>
      </c>
    </row>
    <row r="27" spans="1:19">
      <c r="A27" t="s">
        <v>696</v>
      </c>
      <c r="B27">
        <v>615.79277000000002</v>
      </c>
      <c r="C27">
        <v>577.00324085701698</v>
      </c>
      <c r="D27">
        <v>6.7</v>
      </c>
      <c r="E27">
        <v>615.79277000000002</v>
      </c>
      <c r="F27">
        <v>577.00324085701698</v>
      </c>
      <c r="G27">
        <v>6.7</v>
      </c>
      <c r="H27">
        <v>615.79276000000004</v>
      </c>
      <c r="I27">
        <v>577.00324085701698</v>
      </c>
      <c r="J27">
        <v>6.7</v>
      </c>
      <c r="K27">
        <v>615.79277000000002</v>
      </c>
      <c r="L27">
        <v>577.00324085701698</v>
      </c>
      <c r="M27">
        <v>6.7</v>
      </c>
      <c r="N27">
        <v>615.79276000000004</v>
      </c>
      <c r="O27">
        <v>577.00324085701698</v>
      </c>
      <c r="P27">
        <v>6.7</v>
      </c>
    </row>
    <row r="28" spans="1:19">
      <c r="A28" t="s">
        <v>750</v>
      </c>
      <c r="B28">
        <v>594.49296000000004</v>
      </c>
      <c r="C28">
        <v>442.98417043108623</v>
      </c>
      <c r="D28">
        <v>34.200000000000003</v>
      </c>
      <c r="E28">
        <v>594.49296000000004</v>
      </c>
      <c r="F28">
        <v>442.98417043108617</v>
      </c>
      <c r="G28">
        <v>34.200000000000003</v>
      </c>
      <c r="H28">
        <v>594.49296000000004</v>
      </c>
      <c r="I28">
        <v>442.98417043108623</v>
      </c>
      <c r="J28">
        <v>34.200000000000003</v>
      </c>
      <c r="K28">
        <v>594.49296000000004</v>
      </c>
      <c r="L28">
        <v>442.98417043108617</v>
      </c>
      <c r="M28">
        <v>34.200000000000003</v>
      </c>
      <c r="N28">
        <v>594.49296000000004</v>
      </c>
      <c r="O28">
        <v>442.98417043108623</v>
      </c>
      <c r="P28">
        <v>34.200000000000003</v>
      </c>
    </row>
    <row r="29" spans="1:19">
      <c r="A29" t="s">
        <v>751</v>
      </c>
      <c r="B29">
        <v>-205.10401999999999</v>
      </c>
      <c r="C29">
        <v>-205.10399767898235</v>
      </c>
      <c r="D29">
        <v>0</v>
      </c>
      <c r="E29">
        <v>-205.10401999999999</v>
      </c>
      <c r="F29">
        <v>-205.10399767898235</v>
      </c>
      <c r="G29">
        <v>0</v>
      </c>
      <c r="H29">
        <v>-205.10401999999999</v>
      </c>
      <c r="I29">
        <v>-205.10399767898235</v>
      </c>
      <c r="J29">
        <v>0</v>
      </c>
      <c r="K29">
        <v>-205.10401999999999</v>
      </c>
      <c r="L29">
        <v>-205.10399767898235</v>
      </c>
      <c r="M29">
        <v>0</v>
      </c>
      <c r="N29">
        <v>-205.10401999999999</v>
      </c>
      <c r="O29">
        <v>-205.10399767898235</v>
      </c>
      <c r="P29">
        <v>0</v>
      </c>
    </row>
    <row r="30" spans="1:19">
      <c r="A30" t="s">
        <v>752</v>
      </c>
      <c r="B30">
        <v>238.17572001075686</v>
      </c>
      <c r="C30">
        <v>195.82878034778176</v>
      </c>
      <c r="D30">
        <v>21.6</v>
      </c>
      <c r="E30">
        <v>240.36453666850417</v>
      </c>
      <c r="F30">
        <v>586.35869088045524</v>
      </c>
      <c r="G30">
        <v>-59</v>
      </c>
      <c r="H30">
        <v>87.595880676211237</v>
      </c>
      <c r="I30">
        <v>188.59793492974828</v>
      </c>
      <c r="J30">
        <v>-53.6</v>
      </c>
      <c r="K30">
        <v>65.940931135218207</v>
      </c>
      <c r="L30">
        <v>167.03265322725991</v>
      </c>
      <c r="M30">
        <v>-60.5</v>
      </c>
      <c r="N30">
        <v>64.324596271462838</v>
      </c>
      <c r="O30">
        <v>165.41650254305085</v>
      </c>
      <c r="P30">
        <v>-61.1</v>
      </c>
    </row>
    <row r="31" spans="1:19">
      <c r="A31" t="s">
        <v>753</v>
      </c>
      <c r="B31">
        <v>144.84216417230436</v>
      </c>
      <c r="C31">
        <v>29.953188145137911</v>
      </c>
      <c r="D31">
        <v>383.6</v>
      </c>
      <c r="E31">
        <v>132.28385311210357</v>
      </c>
      <c r="F31">
        <v>340.70856515450851</v>
      </c>
      <c r="G31">
        <v>-61.2</v>
      </c>
      <c r="H31">
        <v>24.081497702431484</v>
      </c>
      <c r="I31">
        <v>24.080690469430891</v>
      </c>
      <c r="J31">
        <v>0</v>
      </c>
      <c r="K31">
        <v>6.7298263551896955</v>
      </c>
      <c r="L31">
        <v>6.7290973367122993</v>
      </c>
      <c r="M31">
        <v>0</v>
      </c>
      <c r="N31">
        <v>5.5069144302921691</v>
      </c>
      <c r="O31">
        <v>5.5078978200748701</v>
      </c>
      <c r="P31">
        <v>0</v>
      </c>
    </row>
    <row r="32" spans="1:19">
      <c r="A32" t="s">
        <v>754</v>
      </c>
      <c r="B32">
        <v>27.54955</v>
      </c>
      <c r="C32">
        <v>137.23311012077474</v>
      </c>
      <c r="D32">
        <v>-79.900000000000006</v>
      </c>
      <c r="E32">
        <v>27.54955</v>
      </c>
      <c r="F32">
        <v>137.23311012077474</v>
      </c>
      <c r="G32">
        <v>-79.900000000000006</v>
      </c>
      <c r="H32">
        <v>27.54955</v>
      </c>
      <c r="I32">
        <v>137.23311012077474</v>
      </c>
      <c r="J32">
        <v>-79.900000000000006</v>
      </c>
      <c r="K32">
        <v>27.54955</v>
      </c>
      <c r="L32">
        <v>137.23311012077474</v>
      </c>
      <c r="M32">
        <v>-79.900000000000006</v>
      </c>
      <c r="N32">
        <v>27.54955</v>
      </c>
      <c r="O32">
        <v>137.23311012077474</v>
      </c>
      <c r="P32">
        <v>-79.900000000000006</v>
      </c>
    </row>
    <row r="33" spans="1:16">
      <c r="A33" t="s">
        <v>755</v>
      </c>
      <c r="B33">
        <v>3.6125479269622693</v>
      </c>
      <c r="C33">
        <v>2.3497982559369643</v>
      </c>
      <c r="D33">
        <v>53.7</v>
      </c>
      <c r="E33">
        <v>19.605649953996416</v>
      </c>
      <c r="F33">
        <v>7.2876392045485892</v>
      </c>
      <c r="G33">
        <v>169</v>
      </c>
      <c r="H33">
        <v>1.1922668365909841</v>
      </c>
      <c r="I33">
        <v>2.2564784269932114</v>
      </c>
      <c r="J33">
        <v>-47.2</v>
      </c>
      <c r="K33">
        <v>0.82698423511892971</v>
      </c>
      <c r="L33">
        <v>1.9807739323666533</v>
      </c>
      <c r="M33">
        <v>-58.2</v>
      </c>
      <c r="N33">
        <v>0.80950347050583216</v>
      </c>
      <c r="O33">
        <v>1.9613699679359062</v>
      </c>
      <c r="P33">
        <v>-58.7</v>
      </c>
    </row>
    <row r="34" spans="1:16">
      <c r="A34" t="s">
        <v>756</v>
      </c>
      <c r="B34">
        <v>0.68596000000000001</v>
      </c>
      <c r="C34">
        <v>3.3122229604128841</v>
      </c>
      <c r="D34">
        <v>-79.3</v>
      </c>
      <c r="E34">
        <v>0.68596000000000001</v>
      </c>
      <c r="F34">
        <v>3.3122229604128841</v>
      </c>
      <c r="G34">
        <v>-79.3</v>
      </c>
      <c r="H34">
        <v>0.68596000000000001</v>
      </c>
      <c r="I34">
        <v>3.3122229604128841</v>
      </c>
      <c r="J34">
        <v>-79.3</v>
      </c>
      <c r="K34">
        <v>0.68596000000000001</v>
      </c>
      <c r="L34">
        <v>3.3122229604128841</v>
      </c>
      <c r="M34">
        <v>-79.3</v>
      </c>
      <c r="N34">
        <v>0.68596000000000001</v>
      </c>
      <c r="O34">
        <v>3.3122229604128841</v>
      </c>
      <c r="P34">
        <v>-79.3</v>
      </c>
    </row>
    <row r="35" spans="1:16">
      <c r="A35" t="s">
        <v>757</v>
      </c>
      <c r="B35">
        <v>28.537930000000003</v>
      </c>
      <c r="C35">
        <v>16.166942811456092</v>
      </c>
      <c r="D35">
        <v>76.5</v>
      </c>
      <c r="E35">
        <v>28.537930000000003</v>
      </c>
      <c r="F35">
        <v>16.166942811456092</v>
      </c>
      <c r="G35">
        <v>76.5</v>
      </c>
      <c r="H35">
        <v>28.537930000000003</v>
      </c>
      <c r="I35">
        <v>16.166942811456096</v>
      </c>
      <c r="J35">
        <v>76.5</v>
      </c>
      <c r="K35">
        <v>28.537930000000003</v>
      </c>
      <c r="L35">
        <v>16.166942811456092</v>
      </c>
      <c r="M35">
        <v>76.5</v>
      </c>
      <c r="N35">
        <v>28.537930000000003</v>
      </c>
      <c r="O35">
        <v>16.166942811456096</v>
      </c>
      <c r="P35">
        <v>76.5</v>
      </c>
    </row>
    <row r="36" spans="1:16">
      <c r="A36" t="s">
        <v>758</v>
      </c>
      <c r="B36">
        <v>26.772322234238125</v>
      </c>
      <c r="C36">
        <v>5.5364845557708797</v>
      </c>
      <c r="D36">
        <v>383.6</v>
      </c>
      <c r="E36">
        <v>28.0916828226128</v>
      </c>
      <c r="F36">
        <v>72.352571550489827</v>
      </c>
      <c r="G36">
        <v>-61.2</v>
      </c>
      <c r="H36">
        <v>4.6397998642687091</v>
      </c>
      <c r="I36">
        <v>4.6396443340931004</v>
      </c>
      <c r="J36">
        <v>0</v>
      </c>
      <c r="K36">
        <v>1.395354461929321</v>
      </c>
      <c r="L36">
        <v>1.3952033080760751</v>
      </c>
      <c r="M36">
        <v>0</v>
      </c>
      <c r="N36">
        <v>0.98556384149620746</v>
      </c>
      <c r="O36">
        <v>0.98573983722379599</v>
      </c>
      <c r="P36">
        <v>0</v>
      </c>
    </row>
    <row r="37" spans="1:16">
      <c r="A37" t="s">
        <v>759</v>
      </c>
      <c r="B37">
        <v>6.1752456772520938</v>
      </c>
      <c r="C37">
        <v>1.2770334982922729</v>
      </c>
      <c r="D37">
        <v>383.6</v>
      </c>
      <c r="E37">
        <v>3.6099107797913619</v>
      </c>
      <c r="F37">
        <v>9.297639078264595</v>
      </c>
      <c r="G37">
        <v>-61.2</v>
      </c>
      <c r="H37">
        <v>0.90887627292005368</v>
      </c>
      <c r="I37">
        <v>0.90884580658735215</v>
      </c>
      <c r="J37">
        <v>0</v>
      </c>
      <c r="K37">
        <v>0.21532608298026448</v>
      </c>
      <c r="L37">
        <v>0.21530275746116889</v>
      </c>
      <c r="M37">
        <v>0</v>
      </c>
      <c r="N37">
        <v>0.2491745291686259</v>
      </c>
      <c r="O37">
        <v>0.24921902517254882</v>
      </c>
      <c r="P37">
        <v>0</v>
      </c>
    </row>
    <row r="38" spans="1:16">
      <c r="A38" t="s">
        <v>760</v>
      </c>
      <c r="B38">
        <v>4436.8013099425953</v>
      </c>
      <c r="C38">
        <v>3595.175873650679</v>
      </c>
      <c r="D38">
        <v>23.4</v>
      </c>
      <c r="E38">
        <v>4452.9939563274202</v>
      </c>
      <c r="F38">
        <v>4888.7721915777038</v>
      </c>
      <c r="G38">
        <v>-8.9</v>
      </c>
      <c r="H38">
        <v>3919.184954711463</v>
      </c>
      <c r="I38">
        <v>3355.881187228073</v>
      </c>
      <c r="J38">
        <v>16.8</v>
      </c>
      <c r="K38">
        <v>3653.1408978470749</v>
      </c>
      <c r="L38">
        <v>3132.5042466962441</v>
      </c>
      <c r="M38">
        <v>16.600000000000001</v>
      </c>
      <c r="N38">
        <v>4150.1824182570599</v>
      </c>
      <c r="O38">
        <v>3500.665303406181</v>
      </c>
      <c r="P38">
        <v>18.600000000000001</v>
      </c>
    </row>
  </sheetData>
  <mergeCells count="11">
    <mergeCell ref="B21:D21"/>
    <mergeCell ref="E21:G21"/>
    <mergeCell ref="H21:J21"/>
    <mergeCell ref="K21:M21"/>
    <mergeCell ref="N21:P21"/>
    <mergeCell ref="Q2:S2"/>
    <mergeCell ref="B2:D2"/>
    <mergeCell ref="E2:G2"/>
    <mergeCell ref="H2:J2"/>
    <mergeCell ref="K2:M2"/>
    <mergeCell ref="N2:P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OpenLCA input</vt:lpstr>
      <vt:lpstr>Fertilizer Indoor</vt:lpstr>
      <vt:lpstr>Fertilizer outdoor</vt:lpstr>
      <vt:lpstr>Transport Indoor</vt:lpstr>
      <vt:lpstr>Transport Outdoor</vt:lpstr>
      <vt:lpstr>HPS</vt:lpstr>
      <vt:lpstr>Matlab Output (kWh NG)</vt:lpstr>
      <vt:lpstr>MATLAB INPUT</vt:lpstr>
      <vt:lpstr>Outdoor yield</vt:lpstr>
      <vt:lpstr>Reference</vt:lpstr>
      <vt:lpstr>Table S1</vt:lpstr>
      <vt:lpstr>Table S2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</dc:creator>
  <cp:lastModifiedBy>Vincent Desaulniers Brousseau</cp:lastModifiedBy>
  <dcterms:created xsi:type="dcterms:W3CDTF">2023-05-18T18:58:09Z</dcterms:created>
  <dcterms:modified xsi:type="dcterms:W3CDTF">2024-01-09T23:43:13Z</dcterms:modified>
</cp:coreProperties>
</file>