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direction session\Desktop\PHD - Pot Haute Définition\Experiment 3\"/>
    </mc:Choice>
  </mc:AlternateContent>
  <xr:revisionPtr revIDLastSave="0" documentId="13_ncr:1_{65CDFB82-113E-40DB-B7A5-52C7A0BF96E5}" xr6:coauthVersionLast="47" xr6:coauthVersionMax="47" xr10:uidLastSave="{00000000-0000-0000-0000-000000000000}"/>
  <bookViews>
    <workbookView xWindow="-120" yWindow="-120" windowWidth="29040" windowHeight="15840" tabRatio="837" firstSheet="2" activeTab="2" xr2:uid="{00000000-000D-0000-FFFF-FFFF00000000}"/>
  </bookViews>
  <sheets>
    <sheet name="Process Model" sheetId="8" state="hidden" r:id="rId1"/>
    <sheet name="States" sheetId="24" state="hidden" r:id="rId2"/>
    <sheet name="Output processing " sheetId="28" r:id="rId3"/>
    <sheet name="Figures MATLAB" sheetId="16" r:id="rId4"/>
    <sheet name="Figure OpenLCA" sheetId="30" r:id="rId5"/>
    <sheet name="OpenLCA GWP calculation" sheetId="27" r:id="rId6"/>
    <sheet name="OpenLCA BC impacts" sheetId="29" r:id="rId7"/>
    <sheet name="Avg GWP outdoor" sheetId="31" r:id="rId8"/>
    <sheet name="CO Tax" sheetId="1" state="hidden" r:id="rId9"/>
    <sheet name="CO Growers" sheetId="4" state="hidden" r:id="rId10"/>
    <sheet name="Fuel Economy" sheetId="20" state="hidden" r:id="rId11"/>
  </sheets>
  <externalReferences>
    <externalReference r:id="rId12"/>
  </externalReferences>
  <definedNames>
    <definedName name="_xlnm._FilterDatabase" localSheetId="4" hidden="1">'Figure OpenLCA'!#REF!</definedName>
    <definedName name="_xlnm._FilterDatabase" localSheetId="3" hidden="1">'Figures MATLAB'!#REF!</definedName>
    <definedName name="acre_feet_to_gallon">#REF!</definedName>
    <definedName name="acre_ft_to_m3">[1]Conversions!$F$6</definedName>
    <definedName name="acre_to_ha">#REF!</definedName>
    <definedName name="acre_to_m2">#REF!</definedName>
    <definedName name="BTU_per_hour_to_W">#REF!</definedName>
    <definedName name="BTU_to_J">#REF!</definedName>
    <definedName name="conv_teaspoon_to_liter">#REF!</definedName>
    <definedName name="day_to_hour">#REF!</definedName>
    <definedName name="feet_to_meters">#REF!</definedName>
    <definedName name="foot_to_in">#REF!</definedName>
    <definedName name="ft3_to_in3">#REF!</definedName>
    <definedName name="ft3_to_m3">#REF!</definedName>
    <definedName name="gal_to_m3">#REF!</definedName>
    <definedName name="gallon_to_pint">#REF!</definedName>
    <definedName name="gals_to_liters">#REF!</definedName>
    <definedName name="hectare_to_m2">#REF!</definedName>
    <definedName name="HP_to_kW">#REF!</definedName>
    <definedName name="hr_to_min">#REF!</definedName>
    <definedName name="i_count_clone">#REF!</definedName>
    <definedName name="i_count_flower">#REF!</definedName>
    <definedName name="i_count_veg">#REF!</definedName>
    <definedName name="indoor_annual_bud_yield">#REF!</definedName>
    <definedName name="input_guar_irrigation_flood">'[1]Detailed Inputs'!$K$112</definedName>
    <definedName name="kg_to_lb">#REF!</definedName>
    <definedName name="kgs_to_grams">#REF!</definedName>
    <definedName name="kJ_to_J">#REF!</definedName>
    <definedName name="km2_to_acre">#REF!</definedName>
    <definedName name="kW_to_W">#REF!</definedName>
    <definedName name="kWh_to_MJ">#REF!</definedName>
    <definedName name="lbs_to_grams">#REF!</definedName>
    <definedName name="lbs_to_oz">#REF!</definedName>
    <definedName name="length_break">#REF!</definedName>
    <definedName name="length_clone">#REF!</definedName>
    <definedName name="length_cure">#REF!</definedName>
    <definedName name="length_flower">#REF!</definedName>
    <definedName name="length_veg">#REF!</definedName>
    <definedName name="liters_to_cups">#REF!</definedName>
    <definedName name="m2_to_ft2">#REF!</definedName>
    <definedName name="m3_to_cm3">#REF!</definedName>
    <definedName name="m3_to_liters">#REF!</definedName>
    <definedName name="m3_to_pints">#REF!</definedName>
    <definedName name="mi_to_km">#REF!</definedName>
    <definedName name="min_to_sec">#REF!</definedName>
    <definedName name="MJ_to_kJ">#REF!</definedName>
    <definedName name="MJ_to_kWh">#REF!</definedName>
    <definedName name="MW_to_W">#REF!</definedName>
    <definedName name="outdoor_annual_yield">#REF!</definedName>
    <definedName name="output_LCA_acid">#REF!</definedName>
    <definedName name="output_LCA_carcin">#REF!</definedName>
    <definedName name="output_LCA_ecotox">#REF!</definedName>
    <definedName name="output_LCA_eutro">#REF!</definedName>
    <definedName name="output_LCA_GWP">#REF!</definedName>
    <definedName name="output_LCA_non_carcin">#REF!</definedName>
    <definedName name="output_LCA_ozone_dep">#REF!</definedName>
    <definedName name="output_LCA_ozone_form">#REF!</definedName>
    <definedName name="output_LCA_resource_dep">#REF!</definedName>
    <definedName name="output_LCA_resp">#REF!</definedName>
    <definedName name="oz_to_grams">#REF!</definedName>
    <definedName name="oz_to_m3">#REF!</definedName>
    <definedName name="prop_air_density">#REF!</definedName>
    <definedName name="prop_CO2_liquid_density">#REF!</definedName>
    <definedName name="prop_co2_specific_volume">#REF!</definedName>
    <definedName name="prop_coco_density">#REF!</definedName>
    <definedName name="prop_fert_gen_density">#REF!</definedName>
    <definedName name="prop_natural_gas_HHV">#REF!</definedName>
    <definedName name="prop_neem_density">#REF!</definedName>
    <definedName name="prop_NG_density">#REF!</definedName>
    <definedName name="prop_ng_heat_per_volume">#REF!</definedName>
    <definedName name="prop_peat_density">#REF!</definedName>
    <definedName name="prop_perlite_density">#REF!</definedName>
    <definedName name="prop_soap_density">#REF!</definedName>
    <definedName name="prop_water_density">#REF!</definedName>
    <definedName name="sensitivity_baseline_acid">#REF!</definedName>
    <definedName name="sensitivity_baseline_carcin">#REF!</definedName>
    <definedName name="sensitivity_baseline_ecotox">#REF!</definedName>
    <definedName name="sensitivity_baseline_eutro">#REF!</definedName>
    <definedName name="sensitivity_baseline_GWP">#REF!</definedName>
    <definedName name="sensitivity_baseline_non_carcin">#REF!</definedName>
    <definedName name="sensitivity_baseline_ozone_dep">#REF!</definedName>
    <definedName name="sensitivity_baseline_ozone_form">#REF!</definedName>
    <definedName name="sensitivity_baseline_resource_dep">#REF!</definedName>
    <definedName name="sensitivity_baseline_resp">#REF!</definedName>
    <definedName name="sensitivity_percent">#REF!</definedName>
    <definedName name="tonnes_to_kgs">#REF!</definedName>
    <definedName name="tonnes_to_tons">#REF!</definedName>
    <definedName name="tons_to_kgs">#REF!</definedName>
    <definedName name="tons_to_lbs">#REF!</definedName>
    <definedName name="week_to_days">#REF!</definedName>
    <definedName name="year_to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0" l="1"/>
  <c r="D59" i="30"/>
  <c r="D58" i="30"/>
  <c r="D57" i="30"/>
  <c r="D56" i="30"/>
  <c r="D55" i="30"/>
  <c r="D54" i="30"/>
  <c r="D53" i="30"/>
  <c r="D52" i="30"/>
  <c r="D51" i="30"/>
  <c r="D50" i="30"/>
  <c r="D49" i="30"/>
  <c r="C46" i="30"/>
  <c r="G66" i="31"/>
  <c r="M153" i="27"/>
  <c r="M151" i="27"/>
  <c r="M149" i="27"/>
  <c r="M135" i="27" s="1"/>
  <c r="F149" i="27"/>
  <c r="M148" i="27"/>
  <c r="M147" i="27"/>
  <c r="M146" i="27"/>
  <c r="M145" i="27"/>
  <c r="M132" i="27"/>
  <c r="F132" i="27"/>
  <c r="M131" i="27"/>
  <c r="M130" i="27"/>
  <c r="M129" i="27"/>
  <c r="F131" i="27"/>
  <c r="F130" i="27"/>
  <c r="F129" i="27"/>
  <c r="M138" i="27"/>
  <c r="M13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06" i="27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F66" i="31"/>
  <c r="E66" i="31"/>
  <c r="D33" i="30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G102" i="16"/>
  <c r="AG103" i="16"/>
  <c r="AG104" i="16"/>
  <c r="AG105" i="16"/>
  <c r="AG106" i="16"/>
  <c r="AG82" i="16"/>
  <c r="AG83" i="16"/>
  <c r="AF83" i="16"/>
  <c r="AF82" i="16"/>
  <c r="K7" i="28" l="1"/>
  <c r="D7" i="28"/>
  <c r="D35" i="30"/>
  <c r="D36" i="30"/>
  <c r="D37" i="30"/>
  <c r="D38" i="30"/>
  <c r="D39" i="30"/>
  <c r="D40" i="30"/>
  <c r="D41" i="30"/>
  <c r="D42" i="30"/>
  <c r="D43" i="30"/>
  <c r="D44" i="30"/>
  <c r="D34" i="30"/>
  <c r="AY24" i="28"/>
  <c r="AW24" i="28"/>
  <c r="S6" i="30"/>
  <c r="S7" i="30"/>
  <c r="S8" i="30"/>
  <c r="S9" i="30"/>
  <c r="S10" i="30"/>
  <c r="S11" i="30"/>
  <c r="S12" i="30"/>
  <c r="S13" i="30"/>
  <c r="S14" i="30"/>
  <c r="S15" i="30"/>
  <c r="S5" i="30"/>
  <c r="C28" i="30"/>
  <c r="D28" i="30"/>
  <c r="E28" i="30"/>
  <c r="F28" i="30"/>
  <c r="G28" i="30"/>
  <c r="H28" i="30"/>
  <c r="I28" i="30"/>
  <c r="J28" i="30"/>
  <c r="K28" i="30"/>
  <c r="L28" i="30"/>
  <c r="M28" i="30"/>
  <c r="B28" i="30"/>
  <c r="C21" i="30"/>
  <c r="D21" i="30"/>
  <c r="E21" i="30"/>
  <c r="F21" i="30"/>
  <c r="G21" i="30"/>
  <c r="H21" i="30"/>
  <c r="I21" i="30"/>
  <c r="J21" i="30"/>
  <c r="K21" i="30"/>
  <c r="L21" i="30"/>
  <c r="M21" i="30"/>
  <c r="C20" i="30"/>
  <c r="D20" i="30"/>
  <c r="E20" i="30"/>
  <c r="F20" i="30"/>
  <c r="G20" i="30"/>
  <c r="H20" i="30"/>
  <c r="I20" i="30"/>
  <c r="J20" i="30"/>
  <c r="K20" i="30"/>
  <c r="L20" i="30"/>
  <c r="M20" i="30"/>
  <c r="M139" i="27" l="1"/>
  <c r="F145" i="27"/>
  <c r="V94" i="27" l="1"/>
  <c r="N94" i="27" l="1"/>
  <c r="N47" i="27"/>
  <c r="F136" i="27"/>
  <c r="AL30" i="27"/>
  <c r="J7" i="16"/>
  <c r="G50" i="16" s="1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H66" i="16" s="1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M93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BG7" i="16" s="1"/>
  <c r="AW7" i="28" l="1"/>
  <c r="AW8" i="28"/>
  <c r="AW9" i="28"/>
  <c r="AW10" i="28"/>
  <c r="AW11" i="28"/>
  <c r="AW12" i="28"/>
  <c r="AW13" i="28"/>
  <c r="AW14" i="28"/>
  <c r="AW15" i="28"/>
  <c r="AW17" i="28"/>
  <c r="AW18" i="28"/>
  <c r="AW19" i="28"/>
  <c r="AV7" i="28"/>
  <c r="AV19" i="28"/>
  <c r="AV18" i="28"/>
  <c r="AV17" i="28"/>
  <c r="AV15" i="28"/>
  <c r="AV14" i="28"/>
  <c r="AV13" i="28"/>
  <c r="AV12" i="28"/>
  <c r="AV11" i="28"/>
  <c r="AV10" i="28"/>
  <c r="AV9" i="28"/>
  <c r="AV8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F7" i="28"/>
  <c r="J8" i="28"/>
  <c r="N44" i="30"/>
  <c r="N43" i="30"/>
  <c r="N42" i="30"/>
  <c r="N41" i="30"/>
  <c r="N40" i="30"/>
  <c r="N39" i="30"/>
  <c r="N38" i="30"/>
  <c r="N37" i="30"/>
  <c r="J36" i="30"/>
  <c r="J51" i="30" s="1"/>
  <c r="N51" i="30" s="1"/>
  <c r="N35" i="30"/>
  <c r="N34" i="30"/>
  <c r="F29" i="27"/>
  <c r="F28" i="27"/>
  <c r="N36" i="30" l="1"/>
  <c r="N46" i="27"/>
  <c r="H152" i="27"/>
  <c r="H150" i="27"/>
  <c r="H144" i="27"/>
  <c r="H143" i="27"/>
  <c r="H142" i="27"/>
  <c r="H141" i="27"/>
  <c r="H140" i="27"/>
  <c r="H137" i="27"/>
  <c r="H134" i="27"/>
  <c r="H129" i="27"/>
  <c r="H101" i="27"/>
  <c r="H99" i="27"/>
  <c r="H93" i="27"/>
  <c r="H92" i="27"/>
  <c r="H91" i="27"/>
  <c r="H90" i="27"/>
  <c r="H89" i="27"/>
  <c r="H86" i="27"/>
  <c r="H83" i="27"/>
  <c r="P101" i="27"/>
  <c r="P99" i="27"/>
  <c r="P93" i="27"/>
  <c r="P92" i="27"/>
  <c r="P91" i="27"/>
  <c r="P90" i="27"/>
  <c r="P89" i="27"/>
  <c r="P86" i="27"/>
  <c r="P83" i="27"/>
  <c r="X101" i="27"/>
  <c r="X99" i="27"/>
  <c r="X93" i="27"/>
  <c r="X92" i="27"/>
  <c r="X91" i="27"/>
  <c r="X90" i="27"/>
  <c r="X89" i="27"/>
  <c r="X86" i="27"/>
  <c r="X83" i="27"/>
  <c r="AF101" i="27"/>
  <c r="AF99" i="27"/>
  <c r="AF93" i="27"/>
  <c r="AF92" i="27"/>
  <c r="AF91" i="27"/>
  <c r="AF90" i="27"/>
  <c r="AF89" i="27"/>
  <c r="AF86" i="27"/>
  <c r="AF83" i="27"/>
  <c r="AN101" i="27"/>
  <c r="AN99" i="27"/>
  <c r="AN93" i="27"/>
  <c r="AN92" i="27"/>
  <c r="AN91" i="27"/>
  <c r="AN90" i="27"/>
  <c r="AN89" i="27"/>
  <c r="AN86" i="27"/>
  <c r="AN83" i="27"/>
  <c r="AN51" i="27"/>
  <c r="AN49" i="27"/>
  <c r="AN43" i="27"/>
  <c r="AN42" i="27"/>
  <c r="AN41" i="27"/>
  <c r="AN40" i="27"/>
  <c r="AN39" i="27"/>
  <c r="AN36" i="27"/>
  <c r="AN33" i="27"/>
  <c r="AF51" i="27"/>
  <c r="AF49" i="27"/>
  <c r="AF43" i="27"/>
  <c r="AF42" i="27"/>
  <c r="AF41" i="27"/>
  <c r="AF40" i="27"/>
  <c r="AF39" i="27"/>
  <c r="AF36" i="27"/>
  <c r="AF33" i="27"/>
  <c r="X51" i="27"/>
  <c r="X49" i="27"/>
  <c r="X43" i="27"/>
  <c r="X42" i="27"/>
  <c r="X41" i="27"/>
  <c r="X40" i="27"/>
  <c r="X39" i="27"/>
  <c r="X36" i="27"/>
  <c r="X33" i="27"/>
  <c r="F153" i="27"/>
  <c r="H153" i="27" s="1"/>
  <c r="F151" i="27"/>
  <c r="H151" i="27" s="1"/>
  <c r="H149" i="27"/>
  <c r="F148" i="27"/>
  <c r="H148" i="27" s="1"/>
  <c r="F147" i="27"/>
  <c r="H147" i="27" s="1"/>
  <c r="F146" i="27"/>
  <c r="H146" i="27" s="1"/>
  <c r="H145" i="27"/>
  <c r="F138" i="27"/>
  <c r="H138" i="27" s="1"/>
  <c r="H136" i="27"/>
  <c r="F133" i="27"/>
  <c r="H133" i="27" s="1"/>
  <c r="H132" i="27"/>
  <c r="H131" i="27"/>
  <c r="H130" i="27"/>
  <c r="F102" i="27"/>
  <c r="H102" i="27" s="1"/>
  <c r="F100" i="27"/>
  <c r="H100" i="27" s="1"/>
  <c r="F98" i="27"/>
  <c r="H98" i="27" s="1"/>
  <c r="F97" i="27"/>
  <c r="H97" i="27" s="1"/>
  <c r="F96" i="27"/>
  <c r="H96" i="27" s="1"/>
  <c r="F95" i="27"/>
  <c r="H95" i="27" s="1"/>
  <c r="F94" i="27"/>
  <c r="H94" i="27" s="1"/>
  <c r="F87" i="27"/>
  <c r="H87" i="27" s="1"/>
  <c r="F85" i="27"/>
  <c r="H85" i="27" s="1"/>
  <c r="F82" i="27"/>
  <c r="H82" i="27" s="1"/>
  <c r="F81" i="27"/>
  <c r="H81" i="27" s="1"/>
  <c r="F80" i="27"/>
  <c r="H80" i="27" s="1"/>
  <c r="F79" i="27"/>
  <c r="H79" i="27" s="1"/>
  <c r="F78" i="27"/>
  <c r="H78" i="27" s="1"/>
  <c r="N102" i="27"/>
  <c r="P102" i="27" s="1"/>
  <c r="N100" i="27"/>
  <c r="P100" i="27" s="1"/>
  <c r="N98" i="27"/>
  <c r="P98" i="27" s="1"/>
  <c r="N97" i="27"/>
  <c r="N96" i="27"/>
  <c r="P96" i="27" s="1"/>
  <c r="N95" i="27"/>
  <c r="P95" i="27" s="1"/>
  <c r="P94" i="27"/>
  <c r="N87" i="27"/>
  <c r="P87" i="27" s="1"/>
  <c r="N85" i="27"/>
  <c r="P85" i="27" s="1"/>
  <c r="N82" i="27"/>
  <c r="P82" i="27" s="1"/>
  <c r="N81" i="27"/>
  <c r="P81" i="27" s="1"/>
  <c r="N80" i="27"/>
  <c r="P80" i="27" s="1"/>
  <c r="N79" i="27"/>
  <c r="P79" i="27" s="1"/>
  <c r="N78" i="27"/>
  <c r="P78" i="27" s="1"/>
  <c r="V102" i="27"/>
  <c r="X102" i="27" s="1"/>
  <c r="V100" i="27"/>
  <c r="X100" i="27" s="1"/>
  <c r="V98" i="27"/>
  <c r="X98" i="27" s="1"/>
  <c r="V97" i="27"/>
  <c r="X97" i="27" s="1"/>
  <c r="V96" i="27"/>
  <c r="X96" i="27" s="1"/>
  <c r="V95" i="27"/>
  <c r="X95" i="27" s="1"/>
  <c r="X94" i="27"/>
  <c r="V87" i="27"/>
  <c r="X87" i="27" s="1"/>
  <c r="V85" i="27"/>
  <c r="X85" i="27" s="1"/>
  <c r="V82" i="27"/>
  <c r="X82" i="27" s="1"/>
  <c r="V81" i="27"/>
  <c r="X81" i="27" s="1"/>
  <c r="V80" i="27"/>
  <c r="X80" i="27" s="1"/>
  <c r="V79" i="27"/>
  <c r="X79" i="27" s="1"/>
  <c r="V78" i="27"/>
  <c r="X78" i="27" s="1"/>
  <c r="AD102" i="27"/>
  <c r="AF102" i="27" s="1"/>
  <c r="AD100" i="27"/>
  <c r="AF100" i="27" s="1"/>
  <c r="AD98" i="27"/>
  <c r="AF98" i="27" s="1"/>
  <c r="AD97" i="27"/>
  <c r="AF97" i="27" s="1"/>
  <c r="AD96" i="27"/>
  <c r="AF96" i="27" s="1"/>
  <c r="AD95" i="27"/>
  <c r="AF95" i="27" s="1"/>
  <c r="AD94" i="27"/>
  <c r="AD87" i="27"/>
  <c r="AF87" i="27" s="1"/>
  <c r="AD85" i="27"/>
  <c r="AF85" i="27" s="1"/>
  <c r="AD82" i="27"/>
  <c r="AF82" i="27" s="1"/>
  <c r="AD81" i="27"/>
  <c r="AF81" i="27" s="1"/>
  <c r="AD80" i="27"/>
  <c r="AF80" i="27" s="1"/>
  <c r="AD79" i="27"/>
  <c r="AF79" i="27" s="1"/>
  <c r="AD78" i="27"/>
  <c r="AF78" i="27" s="1"/>
  <c r="AL102" i="27"/>
  <c r="AN102" i="27" s="1"/>
  <c r="AL100" i="27"/>
  <c r="AN100" i="27" s="1"/>
  <c r="AL98" i="27"/>
  <c r="AN98" i="27" s="1"/>
  <c r="AL97" i="27"/>
  <c r="AN97" i="27" s="1"/>
  <c r="AL96" i="27"/>
  <c r="AN96" i="27" s="1"/>
  <c r="AL95" i="27"/>
  <c r="AN95" i="27" s="1"/>
  <c r="AL94" i="27"/>
  <c r="AN94" i="27" s="1"/>
  <c r="AL87" i="27"/>
  <c r="AN87" i="27" s="1"/>
  <c r="AL85" i="27"/>
  <c r="AN85" i="27" s="1"/>
  <c r="AL82" i="27"/>
  <c r="AN82" i="27" s="1"/>
  <c r="AL81" i="27"/>
  <c r="AN81" i="27" s="1"/>
  <c r="AL80" i="27"/>
  <c r="AN80" i="27" s="1"/>
  <c r="AL79" i="27"/>
  <c r="AN79" i="27" s="1"/>
  <c r="AL78" i="27"/>
  <c r="AL52" i="27"/>
  <c r="AN52" i="27" s="1"/>
  <c r="AL50" i="27"/>
  <c r="AN50" i="27" s="1"/>
  <c r="AL48" i="27"/>
  <c r="AN48" i="27" s="1"/>
  <c r="AL47" i="27"/>
  <c r="AN47" i="27" s="1"/>
  <c r="AL46" i="27"/>
  <c r="AN46" i="27" s="1"/>
  <c r="AL45" i="27"/>
  <c r="AN45" i="27" s="1"/>
  <c r="AL44" i="27"/>
  <c r="AN44" i="27" s="1"/>
  <c r="AL37" i="27"/>
  <c r="AN37" i="27" s="1"/>
  <c r="AL35" i="27"/>
  <c r="AN35" i="27" s="1"/>
  <c r="AL32" i="27"/>
  <c r="AN32" i="27" s="1"/>
  <c r="AL31" i="27"/>
  <c r="AN31" i="27" s="1"/>
  <c r="AN30" i="27"/>
  <c r="AL29" i="27"/>
  <c r="AN29" i="27" s="1"/>
  <c r="AL28" i="27"/>
  <c r="AN28" i="27" s="1"/>
  <c r="AD52" i="27"/>
  <c r="AF52" i="27" s="1"/>
  <c r="AD50" i="27"/>
  <c r="AF50" i="27" s="1"/>
  <c r="AD48" i="27"/>
  <c r="AF48" i="27" s="1"/>
  <c r="AD47" i="27"/>
  <c r="AF47" i="27" s="1"/>
  <c r="AD46" i="27"/>
  <c r="AF46" i="27" s="1"/>
  <c r="AD45" i="27"/>
  <c r="AF45" i="27" s="1"/>
  <c r="AD44" i="27"/>
  <c r="AF44" i="27" s="1"/>
  <c r="AD37" i="27"/>
  <c r="AF37" i="27" s="1"/>
  <c r="AD35" i="27"/>
  <c r="AF35" i="27" s="1"/>
  <c r="AD32" i="27"/>
  <c r="AF32" i="27" s="1"/>
  <c r="AD31" i="27"/>
  <c r="AF31" i="27" s="1"/>
  <c r="AD30" i="27"/>
  <c r="AF30" i="27" s="1"/>
  <c r="AD29" i="27"/>
  <c r="AF29" i="27" s="1"/>
  <c r="AD28" i="27"/>
  <c r="V52" i="27"/>
  <c r="X52" i="27" s="1"/>
  <c r="V50" i="27"/>
  <c r="X50" i="27" s="1"/>
  <c r="V48" i="27"/>
  <c r="X48" i="27" s="1"/>
  <c r="V47" i="27"/>
  <c r="X47" i="27" s="1"/>
  <c r="V46" i="27"/>
  <c r="X46" i="27" s="1"/>
  <c r="V45" i="27"/>
  <c r="X45" i="27" s="1"/>
  <c r="V44" i="27"/>
  <c r="X44" i="27" s="1"/>
  <c r="V37" i="27"/>
  <c r="X37" i="27" s="1"/>
  <c r="V35" i="27"/>
  <c r="X35" i="27" s="1"/>
  <c r="V32" i="27"/>
  <c r="X32" i="27" s="1"/>
  <c r="V31" i="27"/>
  <c r="X31" i="27" s="1"/>
  <c r="V30" i="27"/>
  <c r="X30" i="27" s="1"/>
  <c r="V29" i="27"/>
  <c r="X29" i="27" s="1"/>
  <c r="V28" i="27"/>
  <c r="AD84" i="27" l="1"/>
  <c r="AD88" i="27" s="1"/>
  <c r="AF88" i="27" s="1"/>
  <c r="V34" i="27"/>
  <c r="X34" i="27" s="1"/>
  <c r="AD34" i="27"/>
  <c r="AF34" i="27" s="1"/>
  <c r="F84" i="27"/>
  <c r="H84" i="27" s="1"/>
  <c r="AN78" i="27"/>
  <c r="AL84" i="27"/>
  <c r="AN84" i="27" s="1"/>
  <c r="F135" i="27"/>
  <c r="H135" i="27" s="1"/>
  <c r="X28" i="27"/>
  <c r="AF94" i="27"/>
  <c r="V84" i="27"/>
  <c r="X84" i="27" s="1"/>
  <c r="AL34" i="27"/>
  <c r="AN34" i="27" s="1"/>
  <c r="N84" i="27"/>
  <c r="P84" i="27" s="1"/>
  <c r="AF28" i="27"/>
  <c r="P97" i="27"/>
  <c r="AF84" i="27" l="1"/>
  <c r="AD38" i="27"/>
  <c r="AF38" i="27" s="1"/>
  <c r="V88" i="27"/>
  <c r="X88" i="27" s="1"/>
  <c r="N88" i="27"/>
  <c r="P88" i="27" s="1"/>
  <c r="F139" i="27"/>
  <c r="H139" i="27" s="1"/>
  <c r="V38" i="27"/>
  <c r="X38" i="27" s="1"/>
  <c r="AL88" i="27"/>
  <c r="AN88" i="27" s="1"/>
  <c r="AL38" i="27"/>
  <c r="AN38" i="27" s="1"/>
  <c r="F88" i="27"/>
  <c r="H88" i="27" s="1"/>
  <c r="AS15" i="16"/>
  <c r="AS16" i="16"/>
  <c r="AY31" i="28" l="1"/>
  <c r="AZ31" i="28"/>
  <c r="BA31" i="28"/>
  <c r="BB31" i="28"/>
  <c r="BC31" i="28"/>
  <c r="BD31" i="28"/>
  <c r="BE31" i="28"/>
  <c r="BF31" i="28"/>
  <c r="BG31" i="28"/>
  <c r="BH31" i="28"/>
  <c r="BI31" i="28"/>
  <c r="BJ31" i="28"/>
  <c r="BK31" i="28"/>
  <c r="BL31" i="28"/>
  <c r="BM31" i="28"/>
  <c r="BN31" i="28"/>
  <c r="BO31" i="28"/>
  <c r="BP31" i="28"/>
  <c r="BQ31" i="28"/>
  <c r="BR31" i="28"/>
  <c r="BS31" i="28"/>
  <c r="BT31" i="28"/>
  <c r="BU31" i="28"/>
  <c r="BV31" i="28"/>
  <c r="BW31" i="28"/>
  <c r="BX31" i="28"/>
  <c r="BY31" i="28"/>
  <c r="BZ31" i="28"/>
  <c r="CA31" i="28"/>
  <c r="CB31" i="28"/>
  <c r="CC31" i="28"/>
  <c r="CD31" i="28"/>
  <c r="CE31" i="28"/>
  <c r="CF31" i="28"/>
  <c r="CG31" i="28"/>
  <c r="CH31" i="28"/>
  <c r="CI31" i="28"/>
  <c r="AY11" i="28"/>
  <c r="AY28" i="28" s="1"/>
  <c r="CI19" i="28"/>
  <c r="CI34" i="28" s="1"/>
  <c r="CH19" i="28"/>
  <c r="CH34" i="28" s="1"/>
  <c r="CG19" i="28"/>
  <c r="CG34" i="28" s="1"/>
  <c r="CF19" i="28"/>
  <c r="CF34" i="28" s="1"/>
  <c r="CE19" i="28"/>
  <c r="CE34" i="28" s="1"/>
  <c r="CD19" i="28"/>
  <c r="CD34" i="28" s="1"/>
  <c r="CC19" i="28"/>
  <c r="CC34" i="28" s="1"/>
  <c r="CB19" i="28"/>
  <c r="CB34" i="28" s="1"/>
  <c r="CA19" i="28"/>
  <c r="CA34" i="28" s="1"/>
  <c r="BZ19" i="28"/>
  <c r="BZ34" i="28" s="1"/>
  <c r="BY19" i="28"/>
  <c r="BY34" i="28" s="1"/>
  <c r="BX19" i="28"/>
  <c r="BX34" i="28" s="1"/>
  <c r="BW19" i="28"/>
  <c r="BW34" i="28" s="1"/>
  <c r="BV19" i="28"/>
  <c r="BV34" i="28" s="1"/>
  <c r="BU19" i="28"/>
  <c r="BU34" i="28" s="1"/>
  <c r="BT19" i="28"/>
  <c r="BT34" i="28" s="1"/>
  <c r="BS19" i="28"/>
  <c r="BS34" i="28" s="1"/>
  <c r="BR19" i="28"/>
  <c r="BR34" i="28" s="1"/>
  <c r="BQ19" i="28"/>
  <c r="BQ34" i="28" s="1"/>
  <c r="BP19" i="28"/>
  <c r="BP34" i="28" s="1"/>
  <c r="BO19" i="28"/>
  <c r="BO34" i="28" s="1"/>
  <c r="BN19" i="28"/>
  <c r="BN34" i="28" s="1"/>
  <c r="BM19" i="28"/>
  <c r="BM34" i="28" s="1"/>
  <c r="BL19" i="28"/>
  <c r="BL34" i="28" s="1"/>
  <c r="BK19" i="28"/>
  <c r="BK34" i="28" s="1"/>
  <c r="BJ19" i="28"/>
  <c r="BJ34" i="28" s="1"/>
  <c r="BI19" i="28"/>
  <c r="BI34" i="28" s="1"/>
  <c r="BH19" i="28"/>
  <c r="BH34" i="28" s="1"/>
  <c r="BG19" i="28"/>
  <c r="BG34" i="28" s="1"/>
  <c r="BF19" i="28"/>
  <c r="BF34" i="28" s="1"/>
  <c r="BE19" i="28"/>
  <c r="BE34" i="28" s="1"/>
  <c r="BD19" i="28"/>
  <c r="BD34" i="28" s="1"/>
  <c r="BC19" i="28"/>
  <c r="BC34" i="28" s="1"/>
  <c r="BB19" i="28"/>
  <c r="BB34" i="28" s="1"/>
  <c r="BA19" i="28"/>
  <c r="BA34" i="28" s="1"/>
  <c r="AZ19" i="28"/>
  <c r="AZ34" i="28" s="1"/>
  <c r="AY19" i="28"/>
  <c r="AY34" i="28" s="1"/>
  <c r="CI18" i="28"/>
  <c r="CI33" i="28" s="1"/>
  <c r="CH18" i="28"/>
  <c r="CH33" i="28" s="1"/>
  <c r="CG18" i="28"/>
  <c r="CG33" i="28" s="1"/>
  <c r="CF18" i="28"/>
  <c r="CF33" i="28" s="1"/>
  <c r="CE18" i="28"/>
  <c r="CE33" i="28" s="1"/>
  <c r="CD18" i="28"/>
  <c r="CD33" i="28" s="1"/>
  <c r="CC18" i="28"/>
  <c r="CC33" i="28" s="1"/>
  <c r="CB18" i="28"/>
  <c r="CB33" i="28" s="1"/>
  <c r="CA18" i="28"/>
  <c r="CA33" i="28" s="1"/>
  <c r="BZ18" i="28"/>
  <c r="BZ33" i="28" s="1"/>
  <c r="BY18" i="28"/>
  <c r="BY33" i="28" s="1"/>
  <c r="BX18" i="28"/>
  <c r="BX33" i="28" s="1"/>
  <c r="BW18" i="28"/>
  <c r="BW33" i="28" s="1"/>
  <c r="BV18" i="28"/>
  <c r="BV33" i="28" s="1"/>
  <c r="BU18" i="28"/>
  <c r="BU33" i="28" s="1"/>
  <c r="BT18" i="28"/>
  <c r="BT33" i="28" s="1"/>
  <c r="BS18" i="28"/>
  <c r="BS33" i="28" s="1"/>
  <c r="BR18" i="28"/>
  <c r="BR33" i="28" s="1"/>
  <c r="BQ18" i="28"/>
  <c r="BQ33" i="28" s="1"/>
  <c r="BP18" i="28"/>
  <c r="BP33" i="28" s="1"/>
  <c r="BO18" i="28"/>
  <c r="BO33" i="28" s="1"/>
  <c r="BN18" i="28"/>
  <c r="BN33" i="28" s="1"/>
  <c r="BM18" i="28"/>
  <c r="BM33" i="28" s="1"/>
  <c r="BL18" i="28"/>
  <c r="BL33" i="28" s="1"/>
  <c r="BK18" i="28"/>
  <c r="BK33" i="28" s="1"/>
  <c r="BJ18" i="28"/>
  <c r="BJ33" i="28" s="1"/>
  <c r="BI18" i="28"/>
  <c r="BI33" i="28" s="1"/>
  <c r="BH18" i="28"/>
  <c r="BH33" i="28" s="1"/>
  <c r="BG18" i="28"/>
  <c r="BG33" i="28" s="1"/>
  <c r="BF18" i="28"/>
  <c r="BF33" i="28" s="1"/>
  <c r="BE18" i="28"/>
  <c r="BE33" i="28" s="1"/>
  <c r="BD18" i="28"/>
  <c r="BD33" i="28" s="1"/>
  <c r="BC18" i="28"/>
  <c r="BC33" i="28" s="1"/>
  <c r="BB18" i="28"/>
  <c r="BB33" i="28" s="1"/>
  <c r="BA18" i="28"/>
  <c r="BA33" i="28" s="1"/>
  <c r="AZ18" i="28"/>
  <c r="AZ33" i="28" s="1"/>
  <c r="AY18" i="28"/>
  <c r="AY33" i="28" s="1"/>
  <c r="CI17" i="28"/>
  <c r="CI32" i="28" s="1"/>
  <c r="CH17" i="28"/>
  <c r="CH32" i="28" s="1"/>
  <c r="CG17" i="28"/>
  <c r="CG32" i="28" s="1"/>
  <c r="CF17" i="28"/>
  <c r="CF32" i="28" s="1"/>
  <c r="CE17" i="28"/>
  <c r="CE32" i="28" s="1"/>
  <c r="CD17" i="28"/>
  <c r="CD32" i="28" s="1"/>
  <c r="CC17" i="28"/>
  <c r="CC32" i="28" s="1"/>
  <c r="CB17" i="28"/>
  <c r="CB32" i="28" s="1"/>
  <c r="CA17" i="28"/>
  <c r="CA32" i="28" s="1"/>
  <c r="BZ17" i="28"/>
  <c r="BZ32" i="28" s="1"/>
  <c r="BY17" i="28"/>
  <c r="BY32" i="28" s="1"/>
  <c r="BX17" i="28"/>
  <c r="BX32" i="28" s="1"/>
  <c r="BW17" i="28"/>
  <c r="BW32" i="28" s="1"/>
  <c r="BV17" i="28"/>
  <c r="BV32" i="28" s="1"/>
  <c r="BU17" i="28"/>
  <c r="BU32" i="28" s="1"/>
  <c r="BT17" i="28"/>
  <c r="BT32" i="28" s="1"/>
  <c r="BS17" i="28"/>
  <c r="BS32" i="28" s="1"/>
  <c r="BR17" i="28"/>
  <c r="BR32" i="28" s="1"/>
  <c r="BQ17" i="28"/>
  <c r="BQ32" i="28" s="1"/>
  <c r="BP17" i="28"/>
  <c r="BP32" i="28" s="1"/>
  <c r="BO17" i="28"/>
  <c r="BO32" i="28" s="1"/>
  <c r="BN17" i="28"/>
  <c r="BN32" i="28" s="1"/>
  <c r="BM17" i="28"/>
  <c r="BM32" i="28" s="1"/>
  <c r="BL17" i="28"/>
  <c r="BL32" i="28" s="1"/>
  <c r="BK17" i="28"/>
  <c r="BK32" i="28" s="1"/>
  <c r="BJ17" i="28"/>
  <c r="BJ32" i="28" s="1"/>
  <c r="BI17" i="28"/>
  <c r="BI32" i="28" s="1"/>
  <c r="BH17" i="28"/>
  <c r="BH32" i="28" s="1"/>
  <c r="BG17" i="28"/>
  <c r="BG32" i="28" s="1"/>
  <c r="BF17" i="28"/>
  <c r="BF32" i="28" s="1"/>
  <c r="BE17" i="28"/>
  <c r="BE32" i="28" s="1"/>
  <c r="BD17" i="28"/>
  <c r="BD32" i="28" s="1"/>
  <c r="BC17" i="28"/>
  <c r="BC32" i="28" s="1"/>
  <c r="BB17" i="28"/>
  <c r="BB32" i="28" s="1"/>
  <c r="BA17" i="28"/>
  <c r="BA32" i="28" s="1"/>
  <c r="AZ17" i="28"/>
  <c r="AZ32" i="28" s="1"/>
  <c r="AY17" i="28"/>
  <c r="AY32" i="28" s="1"/>
  <c r="CI15" i="28"/>
  <c r="CI30" i="28" s="1"/>
  <c r="CH15" i="28"/>
  <c r="CH30" i="28" s="1"/>
  <c r="CG15" i="28"/>
  <c r="CG30" i="28" s="1"/>
  <c r="CF15" i="28"/>
  <c r="CF30" i="28" s="1"/>
  <c r="CE15" i="28"/>
  <c r="CE30" i="28" s="1"/>
  <c r="CD15" i="28"/>
  <c r="CD30" i="28" s="1"/>
  <c r="CC15" i="28"/>
  <c r="CC30" i="28" s="1"/>
  <c r="CB15" i="28"/>
  <c r="CB30" i="28" s="1"/>
  <c r="CA15" i="28"/>
  <c r="CA30" i="28" s="1"/>
  <c r="BZ15" i="28"/>
  <c r="BZ30" i="28" s="1"/>
  <c r="BY15" i="28"/>
  <c r="BY30" i="28" s="1"/>
  <c r="BX15" i="28"/>
  <c r="BX30" i="28" s="1"/>
  <c r="BW15" i="28"/>
  <c r="BW30" i="28" s="1"/>
  <c r="BV15" i="28"/>
  <c r="BV30" i="28" s="1"/>
  <c r="BU15" i="28"/>
  <c r="BU30" i="28" s="1"/>
  <c r="BT15" i="28"/>
  <c r="BT30" i="28" s="1"/>
  <c r="BS15" i="28"/>
  <c r="BS30" i="28" s="1"/>
  <c r="BR15" i="28"/>
  <c r="BR30" i="28" s="1"/>
  <c r="BQ15" i="28"/>
  <c r="BQ30" i="28" s="1"/>
  <c r="BP15" i="28"/>
  <c r="BP30" i="28" s="1"/>
  <c r="BO15" i="28"/>
  <c r="BO30" i="28" s="1"/>
  <c r="BN15" i="28"/>
  <c r="BN30" i="28" s="1"/>
  <c r="BM15" i="28"/>
  <c r="BM30" i="28" s="1"/>
  <c r="BL15" i="28"/>
  <c r="BL30" i="28" s="1"/>
  <c r="BK15" i="28"/>
  <c r="BK30" i="28" s="1"/>
  <c r="BJ15" i="28"/>
  <c r="BJ30" i="28" s="1"/>
  <c r="BI15" i="28"/>
  <c r="BI30" i="28" s="1"/>
  <c r="BH15" i="28"/>
  <c r="BH30" i="28" s="1"/>
  <c r="BG15" i="28"/>
  <c r="BG30" i="28" s="1"/>
  <c r="BF15" i="28"/>
  <c r="BF30" i="28" s="1"/>
  <c r="BE15" i="28"/>
  <c r="BE30" i="28" s="1"/>
  <c r="BD15" i="28"/>
  <c r="BD30" i="28" s="1"/>
  <c r="BC15" i="28"/>
  <c r="BC30" i="28" s="1"/>
  <c r="BB15" i="28"/>
  <c r="BB30" i="28" s="1"/>
  <c r="BA15" i="28"/>
  <c r="BA30" i="28" s="1"/>
  <c r="AZ15" i="28"/>
  <c r="AZ30" i="28" s="1"/>
  <c r="AY15" i="28"/>
  <c r="AY30" i="28" s="1"/>
  <c r="CI14" i="28"/>
  <c r="CH14" i="28"/>
  <c r="CG14" i="28"/>
  <c r="CF14" i="28"/>
  <c r="CE14" i="28"/>
  <c r="CD14" i="28"/>
  <c r="CC14" i="28"/>
  <c r="CB14" i="28"/>
  <c r="CA14" i="28"/>
  <c r="BZ14" i="28"/>
  <c r="BY14" i="28"/>
  <c r="BX14" i="28"/>
  <c r="BW14" i="28"/>
  <c r="BV14" i="28"/>
  <c r="BU14" i="28"/>
  <c r="BT14" i="28"/>
  <c r="BS14" i="28"/>
  <c r="BR14" i="28"/>
  <c r="BQ14" i="28"/>
  <c r="BP14" i="28"/>
  <c r="BO14" i="28"/>
  <c r="BN14" i="28"/>
  <c r="BM14" i="28"/>
  <c r="BL14" i="28"/>
  <c r="BK14" i="28"/>
  <c r="BJ14" i="28"/>
  <c r="BI14" i="28"/>
  <c r="BH14" i="28"/>
  <c r="BG14" i="28"/>
  <c r="BF14" i="28"/>
  <c r="BE14" i="28"/>
  <c r="BD14" i="28"/>
  <c r="BC14" i="28"/>
  <c r="BB14" i="28"/>
  <c r="BA14" i="28"/>
  <c r="AZ14" i="28"/>
  <c r="AY14" i="28"/>
  <c r="CI13" i="28"/>
  <c r="CH13" i="28"/>
  <c r="CG13" i="28"/>
  <c r="CF13" i="28"/>
  <c r="CE13" i="28"/>
  <c r="CD13" i="28"/>
  <c r="CC13" i="28"/>
  <c r="CB13" i="28"/>
  <c r="CA13" i="28"/>
  <c r="BZ13" i="28"/>
  <c r="BY13" i="28"/>
  <c r="BX13" i="28"/>
  <c r="BW13" i="28"/>
  <c r="BV13" i="28"/>
  <c r="BU13" i="28"/>
  <c r="BT13" i="28"/>
  <c r="BS13" i="28"/>
  <c r="BR13" i="28"/>
  <c r="BQ13" i="28"/>
  <c r="BP13" i="28"/>
  <c r="BO13" i="28"/>
  <c r="BN13" i="28"/>
  <c r="BM13" i="28"/>
  <c r="BL13" i="28"/>
  <c r="BK13" i="28"/>
  <c r="BJ13" i="28"/>
  <c r="BI13" i="28"/>
  <c r="BH13" i="28"/>
  <c r="BG13" i="28"/>
  <c r="BF13" i="28"/>
  <c r="BE13" i="28"/>
  <c r="BD13" i="28"/>
  <c r="BC13" i="28"/>
  <c r="BB13" i="28"/>
  <c r="BA13" i="28"/>
  <c r="AZ13" i="28"/>
  <c r="AY13" i="28"/>
  <c r="CI12" i="28"/>
  <c r="CI29" i="28" s="1"/>
  <c r="CH12" i="28"/>
  <c r="CH29" i="28" s="1"/>
  <c r="CG12" i="28"/>
  <c r="CG29" i="28" s="1"/>
  <c r="CF12" i="28"/>
  <c r="CF29" i="28" s="1"/>
  <c r="CE12" i="28"/>
  <c r="CE29" i="28" s="1"/>
  <c r="CD12" i="28"/>
  <c r="CD29" i="28" s="1"/>
  <c r="CC12" i="28"/>
  <c r="CC29" i="28" s="1"/>
  <c r="CB12" i="28"/>
  <c r="CB29" i="28" s="1"/>
  <c r="CA12" i="28"/>
  <c r="CA29" i="28" s="1"/>
  <c r="BZ12" i="28"/>
  <c r="BZ29" i="28" s="1"/>
  <c r="BY12" i="28"/>
  <c r="BY29" i="28" s="1"/>
  <c r="BX12" i="28"/>
  <c r="BX29" i="28" s="1"/>
  <c r="BW12" i="28"/>
  <c r="BW29" i="28" s="1"/>
  <c r="BV12" i="28"/>
  <c r="BV29" i="28" s="1"/>
  <c r="BU12" i="28"/>
  <c r="BU29" i="28" s="1"/>
  <c r="BT12" i="28"/>
  <c r="BT29" i="28" s="1"/>
  <c r="BS12" i="28"/>
  <c r="BS29" i="28" s="1"/>
  <c r="BR12" i="28"/>
  <c r="BR29" i="28" s="1"/>
  <c r="BQ12" i="28"/>
  <c r="BQ29" i="28" s="1"/>
  <c r="BP12" i="28"/>
  <c r="BP29" i="28" s="1"/>
  <c r="BO12" i="28"/>
  <c r="BO29" i="28" s="1"/>
  <c r="BN12" i="28"/>
  <c r="BN29" i="28" s="1"/>
  <c r="BM12" i="28"/>
  <c r="BM29" i="28" s="1"/>
  <c r="BL12" i="28"/>
  <c r="BL29" i="28" s="1"/>
  <c r="BK12" i="28"/>
  <c r="BK29" i="28" s="1"/>
  <c r="BJ12" i="28"/>
  <c r="BJ29" i="28" s="1"/>
  <c r="BI12" i="28"/>
  <c r="BI29" i="28" s="1"/>
  <c r="BH12" i="28"/>
  <c r="BH29" i="28" s="1"/>
  <c r="BG12" i="28"/>
  <c r="BG29" i="28" s="1"/>
  <c r="BF12" i="28"/>
  <c r="BF29" i="28" s="1"/>
  <c r="BE12" i="28"/>
  <c r="BE29" i="28" s="1"/>
  <c r="BD12" i="28"/>
  <c r="BD29" i="28" s="1"/>
  <c r="BC12" i="28"/>
  <c r="BC29" i="28" s="1"/>
  <c r="BB12" i="28"/>
  <c r="BB29" i="28" s="1"/>
  <c r="BA12" i="28"/>
  <c r="BA29" i="28" s="1"/>
  <c r="AZ12" i="28"/>
  <c r="AZ29" i="28" s="1"/>
  <c r="AY12" i="28"/>
  <c r="AY29" i="28" s="1"/>
  <c r="CI11" i="28"/>
  <c r="CI28" i="28" s="1"/>
  <c r="CH11" i="28"/>
  <c r="CH28" i="28" s="1"/>
  <c r="CG11" i="28"/>
  <c r="CG28" i="28" s="1"/>
  <c r="CF11" i="28"/>
  <c r="CF28" i="28" s="1"/>
  <c r="CE11" i="28"/>
  <c r="CE28" i="28" s="1"/>
  <c r="CD11" i="28"/>
  <c r="CD28" i="28" s="1"/>
  <c r="CC11" i="28"/>
  <c r="CC28" i="28" s="1"/>
  <c r="CB11" i="28"/>
  <c r="CB28" i="28" s="1"/>
  <c r="CA11" i="28"/>
  <c r="CA28" i="28" s="1"/>
  <c r="BZ11" i="28"/>
  <c r="BZ28" i="28" s="1"/>
  <c r="BY11" i="28"/>
  <c r="BY28" i="28" s="1"/>
  <c r="BX11" i="28"/>
  <c r="BX28" i="28" s="1"/>
  <c r="BW11" i="28"/>
  <c r="BW28" i="28" s="1"/>
  <c r="BV11" i="28"/>
  <c r="BV28" i="28" s="1"/>
  <c r="BU11" i="28"/>
  <c r="BU28" i="28" s="1"/>
  <c r="BT11" i="28"/>
  <c r="BT28" i="28" s="1"/>
  <c r="BS11" i="28"/>
  <c r="BS28" i="28" s="1"/>
  <c r="BR11" i="28"/>
  <c r="BR28" i="28" s="1"/>
  <c r="BQ11" i="28"/>
  <c r="BQ28" i="28" s="1"/>
  <c r="BP11" i="28"/>
  <c r="BP28" i="28" s="1"/>
  <c r="BO11" i="28"/>
  <c r="BO28" i="28" s="1"/>
  <c r="BN11" i="28"/>
  <c r="BN28" i="28" s="1"/>
  <c r="BM11" i="28"/>
  <c r="BM28" i="28" s="1"/>
  <c r="BL11" i="28"/>
  <c r="BL28" i="28" s="1"/>
  <c r="BK11" i="28"/>
  <c r="BK28" i="28" s="1"/>
  <c r="BJ11" i="28"/>
  <c r="BJ28" i="28" s="1"/>
  <c r="BI11" i="28"/>
  <c r="BI28" i="28" s="1"/>
  <c r="BH11" i="28"/>
  <c r="BH28" i="28" s="1"/>
  <c r="BG11" i="28"/>
  <c r="BG28" i="28" s="1"/>
  <c r="BF11" i="28"/>
  <c r="BF28" i="28" s="1"/>
  <c r="BE11" i="28"/>
  <c r="BE28" i="28" s="1"/>
  <c r="BD11" i="28"/>
  <c r="BD28" i="28" s="1"/>
  <c r="BC11" i="28"/>
  <c r="BC28" i="28" s="1"/>
  <c r="BB11" i="28"/>
  <c r="BB28" i="28" s="1"/>
  <c r="BA11" i="28"/>
  <c r="BA28" i="28" s="1"/>
  <c r="AZ11" i="28"/>
  <c r="AZ28" i="28" s="1"/>
  <c r="CI10" i="28"/>
  <c r="CI27" i="28" s="1"/>
  <c r="CH10" i="28"/>
  <c r="CH27" i="28" s="1"/>
  <c r="CG10" i="28"/>
  <c r="CG27" i="28" s="1"/>
  <c r="CF10" i="28"/>
  <c r="CF27" i="28" s="1"/>
  <c r="CE10" i="28"/>
  <c r="CE27" i="28" s="1"/>
  <c r="CD10" i="28"/>
  <c r="CD27" i="28" s="1"/>
  <c r="CC10" i="28"/>
  <c r="CC27" i="28" s="1"/>
  <c r="CB10" i="28"/>
  <c r="CB27" i="28" s="1"/>
  <c r="CA10" i="28"/>
  <c r="CA27" i="28" s="1"/>
  <c r="BZ10" i="28"/>
  <c r="BZ27" i="28" s="1"/>
  <c r="BY10" i="28"/>
  <c r="BY27" i="28" s="1"/>
  <c r="BX10" i="28"/>
  <c r="BX27" i="28" s="1"/>
  <c r="BW10" i="28"/>
  <c r="BW27" i="28" s="1"/>
  <c r="BV10" i="28"/>
  <c r="BV27" i="28" s="1"/>
  <c r="BU10" i="28"/>
  <c r="BU27" i="28" s="1"/>
  <c r="BT10" i="28"/>
  <c r="BT27" i="28" s="1"/>
  <c r="BS10" i="28"/>
  <c r="BS27" i="28" s="1"/>
  <c r="BR10" i="28"/>
  <c r="BR27" i="28" s="1"/>
  <c r="BQ10" i="28"/>
  <c r="BQ27" i="28" s="1"/>
  <c r="BP10" i="28"/>
  <c r="BP27" i="28" s="1"/>
  <c r="BO10" i="28"/>
  <c r="BO27" i="28" s="1"/>
  <c r="BN10" i="28"/>
  <c r="BN27" i="28" s="1"/>
  <c r="BM10" i="28"/>
  <c r="BM27" i="28" s="1"/>
  <c r="BL10" i="28"/>
  <c r="BL27" i="28" s="1"/>
  <c r="BK10" i="28"/>
  <c r="BK27" i="28" s="1"/>
  <c r="BJ10" i="28"/>
  <c r="BJ27" i="28" s="1"/>
  <c r="BI10" i="28"/>
  <c r="BI27" i="28" s="1"/>
  <c r="BH10" i="28"/>
  <c r="BH27" i="28" s="1"/>
  <c r="BG10" i="28"/>
  <c r="BG27" i="28" s="1"/>
  <c r="BF10" i="28"/>
  <c r="BF27" i="28" s="1"/>
  <c r="BE10" i="28"/>
  <c r="BE27" i="28" s="1"/>
  <c r="BD10" i="28"/>
  <c r="BD27" i="28" s="1"/>
  <c r="BC10" i="28"/>
  <c r="BC27" i="28" s="1"/>
  <c r="BB10" i="28"/>
  <c r="BB27" i="28" s="1"/>
  <c r="BA10" i="28"/>
  <c r="BA27" i="28" s="1"/>
  <c r="AZ10" i="28"/>
  <c r="AZ27" i="28" s="1"/>
  <c r="AY10" i="28"/>
  <c r="AY27" i="28" s="1"/>
  <c r="CI9" i="28"/>
  <c r="CI26" i="28" s="1"/>
  <c r="CH9" i="28"/>
  <c r="CH26" i="28" s="1"/>
  <c r="CG9" i="28"/>
  <c r="CG26" i="28" s="1"/>
  <c r="CF9" i="28"/>
  <c r="CF26" i="28" s="1"/>
  <c r="CE9" i="28"/>
  <c r="CE26" i="28" s="1"/>
  <c r="CD9" i="28"/>
  <c r="CD26" i="28" s="1"/>
  <c r="CC9" i="28"/>
  <c r="CC26" i="28" s="1"/>
  <c r="CB9" i="28"/>
  <c r="CB26" i="28" s="1"/>
  <c r="CA9" i="28"/>
  <c r="CA26" i="28" s="1"/>
  <c r="BZ9" i="28"/>
  <c r="BZ26" i="28" s="1"/>
  <c r="BY9" i="28"/>
  <c r="BY26" i="28" s="1"/>
  <c r="BX9" i="28"/>
  <c r="BX26" i="28" s="1"/>
  <c r="BW9" i="28"/>
  <c r="BW26" i="28" s="1"/>
  <c r="BV9" i="28"/>
  <c r="BV26" i="28" s="1"/>
  <c r="BU9" i="28"/>
  <c r="BU26" i="28" s="1"/>
  <c r="BT9" i="28"/>
  <c r="BT26" i="28" s="1"/>
  <c r="BS9" i="28"/>
  <c r="BS26" i="28" s="1"/>
  <c r="BR9" i="28"/>
  <c r="BR26" i="28" s="1"/>
  <c r="BQ9" i="28"/>
  <c r="BQ26" i="28" s="1"/>
  <c r="BP9" i="28"/>
  <c r="BP26" i="28" s="1"/>
  <c r="BO9" i="28"/>
  <c r="BO26" i="28" s="1"/>
  <c r="BN9" i="28"/>
  <c r="BN26" i="28" s="1"/>
  <c r="BM9" i="28"/>
  <c r="BM26" i="28" s="1"/>
  <c r="BL9" i="28"/>
  <c r="BL26" i="28" s="1"/>
  <c r="BK9" i="28"/>
  <c r="BK26" i="28" s="1"/>
  <c r="BJ9" i="28"/>
  <c r="BJ26" i="28" s="1"/>
  <c r="BI9" i="28"/>
  <c r="BI26" i="28" s="1"/>
  <c r="BH9" i="28"/>
  <c r="BH26" i="28" s="1"/>
  <c r="BG9" i="28"/>
  <c r="BG26" i="28" s="1"/>
  <c r="BF9" i="28"/>
  <c r="BF26" i="28" s="1"/>
  <c r="BE9" i="28"/>
  <c r="BE26" i="28" s="1"/>
  <c r="BD9" i="28"/>
  <c r="BD26" i="28" s="1"/>
  <c r="BC9" i="28"/>
  <c r="BC26" i="28" s="1"/>
  <c r="BB9" i="28"/>
  <c r="BB26" i="28" s="1"/>
  <c r="BA9" i="28"/>
  <c r="BA26" i="28" s="1"/>
  <c r="AZ9" i="28"/>
  <c r="AZ26" i="28" s="1"/>
  <c r="AY9" i="28"/>
  <c r="AY26" i="28" s="1"/>
  <c r="CI8" i="28"/>
  <c r="CI25" i="28" s="1"/>
  <c r="CH8" i="28"/>
  <c r="CH25" i="28" s="1"/>
  <c r="CG8" i="28"/>
  <c r="CG25" i="28" s="1"/>
  <c r="CF8" i="28"/>
  <c r="CF25" i="28" s="1"/>
  <c r="CE8" i="28"/>
  <c r="CE25" i="28" s="1"/>
  <c r="CD8" i="28"/>
  <c r="CD25" i="28" s="1"/>
  <c r="CC8" i="28"/>
  <c r="CC25" i="28" s="1"/>
  <c r="CB8" i="28"/>
  <c r="CB25" i="28" s="1"/>
  <c r="CA8" i="28"/>
  <c r="CA25" i="28" s="1"/>
  <c r="BZ8" i="28"/>
  <c r="BZ25" i="28" s="1"/>
  <c r="BY8" i="28"/>
  <c r="BY25" i="28" s="1"/>
  <c r="BX8" i="28"/>
  <c r="BX25" i="28" s="1"/>
  <c r="BW8" i="28"/>
  <c r="BW25" i="28" s="1"/>
  <c r="BV8" i="28"/>
  <c r="BV25" i="28" s="1"/>
  <c r="BU8" i="28"/>
  <c r="BU25" i="28" s="1"/>
  <c r="BT8" i="28"/>
  <c r="BT25" i="28" s="1"/>
  <c r="BS8" i="28"/>
  <c r="BS25" i="28" s="1"/>
  <c r="BR8" i="28"/>
  <c r="BR25" i="28" s="1"/>
  <c r="BQ8" i="28"/>
  <c r="BQ25" i="28" s="1"/>
  <c r="BP8" i="28"/>
  <c r="BP25" i="28" s="1"/>
  <c r="BO8" i="28"/>
  <c r="BO25" i="28" s="1"/>
  <c r="BN8" i="28"/>
  <c r="BN25" i="28" s="1"/>
  <c r="BM8" i="28"/>
  <c r="BM25" i="28" s="1"/>
  <c r="BL8" i="28"/>
  <c r="BL25" i="28" s="1"/>
  <c r="BK8" i="28"/>
  <c r="BK25" i="28" s="1"/>
  <c r="BJ8" i="28"/>
  <c r="BJ25" i="28" s="1"/>
  <c r="BI8" i="28"/>
  <c r="BI25" i="28" s="1"/>
  <c r="BH8" i="28"/>
  <c r="BH25" i="28" s="1"/>
  <c r="BG8" i="28"/>
  <c r="BG25" i="28" s="1"/>
  <c r="BF8" i="28"/>
  <c r="BF25" i="28" s="1"/>
  <c r="BE8" i="28"/>
  <c r="BE25" i="28" s="1"/>
  <c r="BD8" i="28"/>
  <c r="BD25" i="28" s="1"/>
  <c r="BC8" i="28"/>
  <c r="BC25" i="28" s="1"/>
  <c r="BB8" i="28"/>
  <c r="BB25" i="28" s="1"/>
  <c r="BA8" i="28"/>
  <c r="BA25" i="28" s="1"/>
  <c r="AZ8" i="28"/>
  <c r="AZ25" i="28" s="1"/>
  <c r="AY8" i="28"/>
  <c r="AY25" i="28" s="1"/>
  <c r="CI7" i="28"/>
  <c r="CI24" i="28" s="1"/>
  <c r="CH7" i="28"/>
  <c r="CH24" i="28" s="1"/>
  <c r="CG7" i="28"/>
  <c r="CG24" i="28" s="1"/>
  <c r="CF7" i="28"/>
  <c r="CF24" i="28" s="1"/>
  <c r="CE7" i="28"/>
  <c r="CE24" i="28" s="1"/>
  <c r="CD7" i="28"/>
  <c r="CD24" i="28" s="1"/>
  <c r="CC7" i="28"/>
  <c r="CC24" i="28" s="1"/>
  <c r="CB7" i="28"/>
  <c r="CB24" i="28" s="1"/>
  <c r="CA7" i="28"/>
  <c r="CA24" i="28" s="1"/>
  <c r="BZ7" i="28"/>
  <c r="BZ24" i="28" s="1"/>
  <c r="BY7" i="28"/>
  <c r="BY24" i="28" s="1"/>
  <c r="BX7" i="28"/>
  <c r="BX24" i="28" s="1"/>
  <c r="BW7" i="28"/>
  <c r="BW24" i="28" s="1"/>
  <c r="BV7" i="28"/>
  <c r="BV24" i="28" s="1"/>
  <c r="BU7" i="28"/>
  <c r="BU24" i="28" s="1"/>
  <c r="BT7" i="28"/>
  <c r="BT24" i="28" s="1"/>
  <c r="BS7" i="28"/>
  <c r="BS24" i="28" s="1"/>
  <c r="BR7" i="28"/>
  <c r="BR24" i="28" s="1"/>
  <c r="BQ7" i="28"/>
  <c r="BQ24" i="28" s="1"/>
  <c r="BP7" i="28"/>
  <c r="BP24" i="28" s="1"/>
  <c r="BO7" i="28"/>
  <c r="BO24" i="28" s="1"/>
  <c r="BN7" i="28"/>
  <c r="BN24" i="28" s="1"/>
  <c r="BM7" i="28"/>
  <c r="BM24" i="28" s="1"/>
  <c r="BL7" i="28"/>
  <c r="BL24" i="28" s="1"/>
  <c r="BK7" i="28"/>
  <c r="BK24" i="28" s="1"/>
  <c r="BJ7" i="28"/>
  <c r="BJ24" i="28" s="1"/>
  <c r="BI7" i="28"/>
  <c r="BI24" i="28" s="1"/>
  <c r="BH7" i="28"/>
  <c r="BH24" i="28" s="1"/>
  <c r="BG7" i="28"/>
  <c r="BG24" i="28" s="1"/>
  <c r="BF7" i="28"/>
  <c r="BF24" i="28" s="1"/>
  <c r="BE7" i="28"/>
  <c r="BE24" i="28" s="1"/>
  <c r="BD7" i="28"/>
  <c r="BD24" i="28" s="1"/>
  <c r="BC7" i="28"/>
  <c r="BC24" i="28" s="1"/>
  <c r="BB7" i="28"/>
  <c r="BB24" i="28" s="1"/>
  <c r="BA7" i="28"/>
  <c r="BA24" i="28" s="1"/>
  <c r="AZ7" i="28"/>
  <c r="AZ24" i="28" s="1"/>
  <c r="AY7" i="28"/>
  <c r="J7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AT17" i="28"/>
  <c r="AS17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AT16" i="28"/>
  <c r="AS16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AT15" i="28"/>
  <c r="AS15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AT13" i="28"/>
  <c r="AS13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P51" i="27"/>
  <c r="P49" i="27"/>
  <c r="P43" i="27"/>
  <c r="P42" i="27"/>
  <c r="P41" i="27"/>
  <c r="P40" i="27"/>
  <c r="P39" i="27"/>
  <c r="P36" i="27"/>
  <c r="P33" i="27"/>
  <c r="N52" i="27"/>
  <c r="P52" i="27" s="1"/>
  <c r="N50" i="27"/>
  <c r="P50" i="27" s="1"/>
  <c r="N48" i="27"/>
  <c r="P48" i="27" s="1"/>
  <c r="P47" i="27"/>
  <c r="P46" i="27"/>
  <c r="N45" i="27"/>
  <c r="P45" i="27" s="1"/>
  <c r="N44" i="27"/>
  <c r="P44" i="27" s="1"/>
  <c r="N37" i="27"/>
  <c r="P37" i="27" s="1"/>
  <c r="N35" i="27"/>
  <c r="P35" i="27" s="1"/>
  <c r="N32" i="27"/>
  <c r="P32" i="27" s="1"/>
  <c r="N31" i="27"/>
  <c r="P31" i="27" s="1"/>
  <c r="N30" i="27"/>
  <c r="P30" i="27" s="1"/>
  <c r="N29" i="27"/>
  <c r="P29" i="27" s="1"/>
  <c r="N28" i="27"/>
  <c r="P28" i="27" s="1"/>
  <c r="F32" i="27"/>
  <c r="H32" i="27" s="1"/>
  <c r="L39" i="27"/>
  <c r="K39" i="27"/>
  <c r="AS9" i="16"/>
  <c r="AS11" i="16"/>
  <c r="AS12" i="16"/>
  <c r="AS13" i="16"/>
  <c r="AS14" i="16"/>
  <c r="AS17" i="16"/>
  <c r="AS18" i="16"/>
  <c r="AS8" i="16"/>
  <c r="AO10" i="16"/>
  <c r="AS10" i="16" s="1"/>
  <c r="F52" i="27"/>
  <c r="H52" i="27" s="1"/>
  <c r="H51" i="27"/>
  <c r="F50" i="27"/>
  <c r="H50" i="27" s="1"/>
  <c r="H49" i="27"/>
  <c r="F48" i="27"/>
  <c r="H48" i="27" s="1"/>
  <c r="F47" i="27"/>
  <c r="H47" i="27" s="1"/>
  <c r="F46" i="27"/>
  <c r="H46" i="27" s="1"/>
  <c r="F45" i="27"/>
  <c r="H45" i="27" s="1"/>
  <c r="F44" i="27"/>
  <c r="H44" i="27" s="1"/>
  <c r="H43" i="27"/>
  <c r="H42" i="27"/>
  <c r="H41" i="27"/>
  <c r="H40" i="27"/>
  <c r="H39" i="27"/>
  <c r="F37" i="27"/>
  <c r="H37" i="27" s="1"/>
  <c r="H36" i="27"/>
  <c r="F35" i="27"/>
  <c r="H35" i="27" s="1"/>
  <c r="H33" i="27"/>
  <c r="F31" i="27"/>
  <c r="H31" i="27" s="1"/>
  <c r="F30" i="27"/>
  <c r="H30" i="27" s="1"/>
  <c r="H28" i="27"/>
  <c r="J51" i="16" l="1"/>
  <c r="J50" i="16"/>
  <c r="J53" i="16"/>
  <c r="AW27" i="28"/>
  <c r="AW30" i="28"/>
  <c r="AW29" i="28"/>
  <c r="AW32" i="28"/>
  <c r="AW34" i="28"/>
  <c r="AW28" i="28"/>
  <c r="AW25" i="28"/>
  <c r="AW33" i="28"/>
  <c r="AW31" i="28"/>
  <c r="AW26" i="28"/>
  <c r="F34" i="27"/>
  <c r="H34" i="27" s="1"/>
  <c r="N34" i="27"/>
  <c r="AO25" i="16"/>
  <c r="AS25" i="16" s="1"/>
  <c r="H29" i="27"/>
  <c r="E19" i="28"/>
  <c r="H19" i="28" s="1"/>
  <c r="G19" i="28"/>
  <c r="C19" i="28"/>
  <c r="E18" i="28"/>
  <c r="H18" i="28" s="1"/>
  <c r="F18" i="28"/>
  <c r="C18" i="28"/>
  <c r="E17" i="28"/>
  <c r="H17" i="28" s="1"/>
  <c r="F17" i="28"/>
  <c r="C17" i="28"/>
  <c r="E16" i="28"/>
  <c r="H16" i="28" s="1"/>
  <c r="G16" i="28"/>
  <c r="C16" i="28"/>
  <c r="E15" i="28"/>
  <c r="H15" i="28" s="1"/>
  <c r="G15" i="28"/>
  <c r="C15" i="28"/>
  <c r="AX30" i="28" s="1"/>
  <c r="E14" i="28"/>
  <c r="H14" i="28" s="1"/>
  <c r="F14" i="28"/>
  <c r="C14" i="28"/>
  <c r="E13" i="28"/>
  <c r="H13" i="28" s="1"/>
  <c r="F13" i="28"/>
  <c r="C13" i="28"/>
  <c r="E12" i="28"/>
  <c r="H12" i="28" s="1"/>
  <c r="G12" i="28"/>
  <c r="C12" i="28"/>
  <c r="AX29" i="28" s="1"/>
  <c r="E11" i="28"/>
  <c r="H11" i="28" s="1"/>
  <c r="G11" i="28"/>
  <c r="C11" i="28"/>
  <c r="E10" i="28"/>
  <c r="H10" i="28" s="1"/>
  <c r="F10" i="28"/>
  <c r="C10" i="28"/>
  <c r="AX27" i="28" s="1"/>
  <c r="E9" i="28"/>
  <c r="H9" i="28" s="1"/>
  <c r="F9" i="28"/>
  <c r="C9" i="28"/>
  <c r="E8" i="28"/>
  <c r="H8" i="28" s="1"/>
  <c r="G8" i="28"/>
  <c r="C8" i="28"/>
  <c r="E7" i="28"/>
  <c r="H7" i="28" s="1"/>
  <c r="G7" i="28"/>
  <c r="C7" i="28"/>
  <c r="K93" i="16"/>
  <c r="L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J93" i="16"/>
  <c r="J67" i="16"/>
  <c r="AX25" i="28" l="1"/>
  <c r="AX26" i="28"/>
  <c r="AX28" i="28"/>
  <c r="AX24" i="28"/>
  <c r="AX31" i="28"/>
  <c r="AX33" i="28"/>
  <c r="AX34" i="28"/>
  <c r="AX32" i="28"/>
  <c r="N38" i="27"/>
  <c r="P38" i="27" s="1"/>
  <c r="P34" i="27"/>
  <c r="F38" i="27"/>
  <c r="H38" i="27" s="1"/>
  <c r="F8" i="28"/>
  <c r="G13" i="28"/>
  <c r="F16" i="28"/>
  <c r="G9" i="28"/>
  <c r="G17" i="28"/>
  <c r="F12" i="28"/>
  <c r="G10" i="28"/>
  <c r="G14" i="28"/>
  <c r="G18" i="28"/>
  <c r="F11" i="28"/>
  <c r="F15" i="28"/>
  <c r="F19" i="28"/>
  <c r="K50" i="16"/>
  <c r="L50" i="16"/>
  <c r="M50" i="16"/>
  <c r="N50" i="16"/>
  <c r="O50" i="16"/>
  <c r="P50" i="16"/>
  <c r="Q50" i="16"/>
  <c r="R50" i="16"/>
  <c r="S50" i="16"/>
  <c r="T50" i="16"/>
  <c r="U50" i="16"/>
  <c r="V50" i="16"/>
  <c r="U44" i="16"/>
  <c r="T44" i="16"/>
  <c r="K44" i="16"/>
  <c r="L44" i="16"/>
  <c r="M44" i="16"/>
  <c r="N44" i="16"/>
  <c r="N60" i="16" s="1"/>
  <c r="O44" i="16"/>
  <c r="O60" i="16" s="1"/>
  <c r="P44" i="16"/>
  <c r="P60" i="16" s="1"/>
  <c r="Q44" i="16"/>
  <c r="Q60" i="16" s="1"/>
  <c r="R44" i="16"/>
  <c r="R60" i="16" s="1"/>
  <c r="J54" i="16"/>
  <c r="J52" i="16"/>
  <c r="H50" i="16"/>
  <c r="J73" i="16"/>
  <c r="J74" i="16"/>
  <c r="N49" i="16"/>
  <c r="O49" i="16"/>
  <c r="P49" i="16"/>
  <c r="Q49" i="16"/>
  <c r="R49" i="16"/>
  <c r="N51" i="16"/>
  <c r="O51" i="16"/>
  <c r="P51" i="16"/>
  <c r="Q51" i="16"/>
  <c r="R51" i="16"/>
  <c r="N52" i="16"/>
  <c r="O52" i="16"/>
  <c r="P52" i="16"/>
  <c r="Q52" i="16"/>
  <c r="R52" i="16"/>
  <c r="N53" i="16"/>
  <c r="O53" i="16"/>
  <c r="P53" i="16"/>
  <c r="Q53" i="16"/>
  <c r="R53" i="16"/>
  <c r="N54" i="16"/>
  <c r="O54" i="16"/>
  <c r="P54" i="16"/>
  <c r="Q54" i="16"/>
  <c r="R54" i="16"/>
  <c r="N56" i="16"/>
  <c r="O56" i="16"/>
  <c r="P56" i="16"/>
  <c r="Q56" i="16"/>
  <c r="R56" i="16"/>
  <c r="N57" i="16"/>
  <c r="O57" i="16"/>
  <c r="P57" i="16"/>
  <c r="Q57" i="16"/>
  <c r="R57" i="16"/>
  <c r="N59" i="16"/>
  <c r="O59" i="16"/>
  <c r="P59" i="16"/>
  <c r="Q59" i="16"/>
  <c r="R59" i="16"/>
  <c r="N66" i="16"/>
  <c r="O66" i="16"/>
  <c r="P66" i="16"/>
  <c r="Q66" i="16"/>
  <c r="R66" i="16"/>
  <c r="N67" i="16"/>
  <c r="O67" i="16"/>
  <c r="P67" i="16"/>
  <c r="Q67" i="16"/>
  <c r="R67" i="16"/>
  <c r="N68" i="16"/>
  <c r="O68" i="16"/>
  <c r="P68" i="16"/>
  <c r="Q68" i="16"/>
  <c r="R68" i="16"/>
  <c r="N69" i="16"/>
  <c r="O69" i="16"/>
  <c r="P69" i="16"/>
  <c r="Q69" i="16"/>
  <c r="R69" i="16"/>
  <c r="N70" i="16"/>
  <c r="O70" i="16"/>
  <c r="P70" i="16"/>
  <c r="Q70" i="16"/>
  <c r="R70" i="16"/>
  <c r="N72" i="16"/>
  <c r="O72" i="16"/>
  <c r="P72" i="16"/>
  <c r="Q72" i="16"/>
  <c r="R72" i="16"/>
  <c r="N73" i="16"/>
  <c r="O73" i="16"/>
  <c r="P73" i="16"/>
  <c r="Q73" i="16"/>
  <c r="R73" i="16"/>
  <c r="N74" i="16"/>
  <c r="O74" i="16"/>
  <c r="P74" i="16"/>
  <c r="Q74" i="16"/>
  <c r="R74" i="16"/>
  <c r="R75" i="16" l="1"/>
  <c r="O63" i="16"/>
  <c r="J44" i="16"/>
  <c r="N75" i="16"/>
  <c r="N77" i="16"/>
  <c r="N63" i="16"/>
  <c r="J56" i="16"/>
  <c r="O75" i="16"/>
  <c r="O77" i="16"/>
  <c r="J72" i="16"/>
  <c r="H72" i="16"/>
  <c r="G51" i="16"/>
  <c r="H68" i="16"/>
  <c r="J66" i="16"/>
  <c r="J70" i="16"/>
  <c r="H74" i="16"/>
  <c r="P75" i="16"/>
  <c r="P63" i="16"/>
  <c r="J68" i="16"/>
  <c r="Q77" i="16"/>
  <c r="Q75" i="16"/>
  <c r="Q63" i="16"/>
  <c r="R77" i="16"/>
  <c r="R63" i="16"/>
  <c r="P77" i="16"/>
  <c r="H52" i="16"/>
  <c r="H56" i="16"/>
  <c r="H51" i="16"/>
  <c r="G57" i="16" l="1"/>
  <c r="H57" i="16"/>
  <c r="K66" i="16" l="1"/>
  <c r="L66" i="16"/>
  <c r="M66" i="16"/>
  <c r="S66" i="16"/>
  <c r="T66" i="16"/>
  <c r="U66" i="16"/>
  <c r="V66" i="16"/>
  <c r="K67" i="16"/>
  <c r="L67" i="16"/>
  <c r="M67" i="16"/>
  <c r="S67" i="16"/>
  <c r="T67" i="16"/>
  <c r="U67" i="16"/>
  <c r="V67" i="16"/>
  <c r="K68" i="16"/>
  <c r="L68" i="16"/>
  <c r="M68" i="16"/>
  <c r="S68" i="16"/>
  <c r="T68" i="16"/>
  <c r="U68" i="16"/>
  <c r="V68" i="16"/>
  <c r="K69" i="16"/>
  <c r="L69" i="16"/>
  <c r="M69" i="16"/>
  <c r="S69" i="16"/>
  <c r="T69" i="16"/>
  <c r="U69" i="16"/>
  <c r="V69" i="16"/>
  <c r="K70" i="16"/>
  <c r="L70" i="16"/>
  <c r="M70" i="16"/>
  <c r="S70" i="16"/>
  <c r="T70" i="16"/>
  <c r="U70" i="16"/>
  <c r="V70" i="16"/>
  <c r="K72" i="16"/>
  <c r="L72" i="16"/>
  <c r="M72" i="16"/>
  <c r="S72" i="16"/>
  <c r="T72" i="16"/>
  <c r="U72" i="16"/>
  <c r="V72" i="16"/>
  <c r="K73" i="16"/>
  <c r="L73" i="16"/>
  <c r="M73" i="16"/>
  <c r="S73" i="16"/>
  <c r="T73" i="16"/>
  <c r="U73" i="16"/>
  <c r="V73" i="16"/>
  <c r="K74" i="16"/>
  <c r="L74" i="16"/>
  <c r="M74" i="16"/>
  <c r="S74" i="16"/>
  <c r="T74" i="16"/>
  <c r="U74" i="16"/>
  <c r="V74" i="16"/>
  <c r="T75" i="16" l="1"/>
  <c r="V75" i="16"/>
  <c r="U75" i="16"/>
  <c r="M75" i="16"/>
  <c r="S75" i="16"/>
  <c r="K75" i="16"/>
  <c r="L75" i="16"/>
  <c r="K51" i="16"/>
  <c r="L51" i="16"/>
  <c r="M51" i="16"/>
  <c r="S51" i="16"/>
  <c r="T51" i="16"/>
  <c r="U51" i="16"/>
  <c r="V51" i="16"/>
  <c r="K52" i="16"/>
  <c r="L52" i="16"/>
  <c r="M52" i="16"/>
  <c r="S52" i="16"/>
  <c r="T52" i="16"/>
  <c r="U52" i="16"/>
  <c r="V52" i="16"/>
  <c r="K53" i="16"/>
  <c r="L53" i="16"/>
  <c r="M53" i="16"/>
  <c r="S53" i="16"/>
  <c r="T53" i="16"/>
  <c r="U53" i="16"/>
  <c r="V53" i="16"/>
  <c r="K54" i="16"/>
  <c r="L54" i="16"/>
  <c r="M54" i="16"/>
  <c r="S54" i="16"/>
  <c r="T54" i="16"/>
  <c r="U54" i="16"/>
  <c r="V54" i="16"/>
  <c r="K56" i="16"/>
  <c r="L56" i="16"/>
  <c r="M56" i="16"/>
  <c r="S56" i="16"/>
  <c r="T56" i="16"/>
  <c r="U56" i="16"/>
  <c r="V56" i="16"/>
  <c r="K57" i="16"/>
  <c r="L57" i="16"/>
  <c r="M57" i="16"/>
  <c r="S57" i="16"/>
  <c r="T57" i="16"/>
  <c r="U57" i="16"/>
  <c r="V57" i="16"/>
  <c r="K59" i="16"/>
  <c r="L59" i="16"/>
  <c r="M59" i="16"/>
  <c r="S59" i="16"/>
  <c r="T59" i="16"/>
  <c r="U59" i="16"/>
  <c r="V59" i="16"/>
  <c r="J59" i="16"/>
  <c r="J57" i="16"/>
  <c r="K60" i="16"/>
  <c r="L60" i="16"/>
  <c r="M60" i="16"/>
  <c r="T60" i="16"/>
  <c r="V60" i="16"/>
  <c r="U60" i="16"/>
  <c r="J60" i="16"/>
  <c r="J63" i="16" l="1"/>
  <c r="U63" i="16"/>
  <c r="T77" i="16"/>
  <c r="K77" i="16"/>
  <c r="L63" i="16"/>
  <c r="K63" i="16"/>
  <c r="V63" i="16"/>
  <c r="S60" i="16"/>
  <c r="V77" i="16"/>
  <c r="M77" i="16"/>
  <c r="S77" i="16"/>
  <c r="T63" i="16"/>
  <c r="S63" i="16"/>
  <c r="M63" i="16"/>
  <c r="U77" i="16"/>
  <c r="L77" i="16"/>
  <c r="L49" i="16" l="1"/>
  <c r="M49" i="16"/>
  <c r="S49" i="16"/>
  <c r="T49" i="16"/>
  <c r="V49" i="16"/>
  <c r="U49" i="16"/>
  <c r="K49" i="16"/>
  <c r="J69" i="16" l="1"/>
  <c r="J75" i="16" s="1"/>
  <c r="J77" i="16" l="1"/>
  <c r="D18" i="4" l="1"/>
  <c r="E14" i="4" l="1"/>
  <c r="E12" i="4"/>
  <c r="E6" i="4"/>
  <c r="E13" i="4"/>
  <c r="E15" i="4"/>
  <c r="D5" i="4"/>
  <c r="D19" i="4" s="1"/>
  <c r="E18" i="4" l="1"/>
  <c r="E5" i="4"/>
  <c r="E19" i="4" s="1"/>
  <c r="H59" i="8" l="1"/>
  <c r="H5" i="8" s="1"/>
  <c r="H10" i="8"/>
  <c r="H27" i="8"/>
  <c r="H3" i="8" s="1"/>
  <c r="H8" i="8"/>
  <c r="H11" i="8"/>
  <c r="H74" i="8"/>
  <c r="H6" i="8" s="1"/>
  <c r="H9" i="8"/>
  <c r="H43" i="8" l="1"/>
  <c r="H4" i="8" s="1"/>
</calcChain>
</file>

<file path=xl/sharedStrings.xml><?xml version="1.0" encoding="utf-8"?>
<sst xmlns="http://schemas.openxmlformats.org/spreadsheetml/2006/main" count="3159" uniqueCount="817">
  <si>
    <t>Retail Marijuana Excise Tax (15%)</t>
  </si>
  <si>
    <t>Total Taxes &amp; Fees</t>
  </si>
  <si>
    <t>Total to Date</t>
  </si>
  <si>
    <t>State of Colorado</t>
  </si>
  <si>
    <t>Revenue Month</t>
  </si>
  <si>
    <t>License &amp; Fees</t>
  </si>
  <si>
    <t>Source: Revenue collected monthly as posted in the Colorado state accounting system</t>
  </si>
  <si>
    <t>Prepared by: Colorado Department of Revenue, Office of Research and Analysis, dor_ora@state.co.us</t>
  </si>
  <si>
    <r>
      <t xml:space="preserve">Marijuana Taxes, License, and Fee Revenue February 2014 to Date </t>
    </r>
    <r>
      <rPr>
        <b/>
        <vertAlign val="superscript"/>
        <sz val="12"/>
        <rFont val="Times New Roman"/>
        <family val="1"/>
      </rPr>
      <t>1</t>
    </r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</si>
  <si>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Tax remitted includes marijuana tax, license, and fee revenue received as well as penalties and other adjustments in a given month.</t>
    </r>
  </si>
  <si>
    <r>
      <t xml:space="preserve">State Sales Tax (2.9%) </t>
    </r>
    <r>
      <rPr>
        <b/>
        <vertAlign val="superscript"/>
        <sz val="11"/>
        <color theme="1"/>
        <rFont val="Times New Roman"/>
        <family val="1"/>
      </rPr>
      <t>2</t>
    </r>
  </si>
  <si>
    <r>
      <t xml:space="preserve">Retail Marijuana Sales Tax </t>
    </r>
    <r>
      <rPr>
        <b/>
        <vertAlign val="superscript"/>
        <sz val="11"/>
        <color theme="1"/>
        <rFont val="Times New Roman"/>
        <family val="1"/>
      </rPr>
      <t>3</t>
    </r>
  </si>
  <si>
    <t>Please see the Colorado Department of Revenue Marijuana Tax Data page for additional details:</t>
  </si>
  <si>
    <t xml:space="preserve">   https://www.colorado.gov/pacific/revenue/colorado-marijuana-tax-data</t>
  </si>
  <si>
    <t>Year to Date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</si>
  <si>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</si>
  <si>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</si>
  <si>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</si>
  <si>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</si>
  <si>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</si>
  <si>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</si>
  <si>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</si>
  <si>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</si>
  <si>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</si>
  <si>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</si>
  <si>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</si>
  <si>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</si>
  <si>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</si>
  <si>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</si>
  <si>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</si>
  <si>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</si>
  <si>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</si>
  <si>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</si>
  <si>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</si>
  <si>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</si>
  <si>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</si>
  <si>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</si>
  <si>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</si>
  <si>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</si>
  <si>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</si>
  <si>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</si>
  <si>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</si>
  <si>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</si>
  <si>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</si>
  <si>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</si>
  <si>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</si>
  <si>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</si>
  <si>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</si>
  <si>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</si>
  <si>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</si>
  <si>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</si>
  <si>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</si>
  <si>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</si>
  <si>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</si>
  <si>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</si>
  <si>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</si>
  <si>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</si>
  <si>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</si>
  <si>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</si>
  <si>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</si>
  <si>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</si>
  <si>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</si>
  <si>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</si>
  <si>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</si>
  <si>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</si>
  <si>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</si>
  <si>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</si>
  <si>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</si>
  <si>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</si>
  <si>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Per §39-26-729, C.R.S., retail marijuana and retail marijuana products sold beginning July 1, 2017 are exempt from the 2.9% state sales tax; however,</t>
    </r>
  </si>
  <si>
    <t xml:space="preserve">  products that do not contain marijuana (i.e., accessories) are still subject to the 2.9% state sales tax. The first revenue month that reflects this exemption</t>
  </si>
  <si>
    <t xml:space="preserve">  is August 2017.</t>
  </si>
  <si>
    <r>
      <rPr>
        <vertAlign val="superscript"/>
        <sz val="9"/>
        <rFont val="Times New Roman"/>
        <family val="1"/>
      </rPr>
      <t>3</t>
    </r>
    <r>
      <rPr>
        <sz val="9"/>
        <rFont val="Times New Roman"/>
        <family val="1"/>
      </rPr>
      <t xml:space="preserve"> Per §39-28.8-202, C.R.S., the retail marijuana sales tax on the sale of retail marijuana and marijuana products increased from 10% to 15% beginning</t>
    </r>
  </si>
  <si>
    <t xml:space="preserve">  July 1, 2017. The first revenue month that reflects the 15% rate is August 2017.</t>
  </si>
  <si>
    <t>Publish date: August 2018</t>
  </si>
  <si>
    <t>Name</t>
  </si>
  <si>
    <t>Los Suenos Farms</t>
  </si>
  <si>
    <t>Size (sq. feet)</t>
  </si>
  <si>
    <t>Comments</t>
  </si>
  <si>
    <t>Energy</t>
  </si>
  <si>
    <t>LivWell</t>
  </si>
  <si>
    <t>[3] Largest Operations in CO</t>
  </si>
  <si>
    <t>GreenMan Cannabis</t>
  </si>
  <si>
    <t>Veritas Cannabis</t>
  </si>
  <si>
    <t>Website</t>
  </si>
  <si>
    <t>https://lsf.farm/</t>
  </si>
  <si>
    <t>http://www.livwell.com/</t>
  </si>
  <si>
    <t>http://greenmancannabis.com/</t>
  </si>
  <si>
    <t>http://coloradoharvestcompany.com/</t>
  </si>
  <si>
    <t>http://veritascannabis.com/</t>
  </si>
  <si>
    <t>Leased to:</t>
  </si>
  <si>
    <t>Farmboy LLC</t>
  </si>
  <si>
    <t>Baseball 18 LLC</t>
  </si>
  <si>
    <t>Los Suenos LLC</t>
  </si>
  <si>
    <t>Emerald Fields Grow</t>
  </si>
  <si>
    <t>Indoor/Outdoor</t>
  </si>
  <si>
    <t>Outdoor</t>
  </si>
  <si>
    <t>Indoor</t>
  </si>
  <si>
    <t>Colorado Harvest Company</t>
  </si>
  <si>
    <t>Total</t>
  </si>
  <si>
    <t>Area (ft^2)</t>
  </si>
  <si>
    <t>Area (acres)</t>
  </si>
  <si>
    <t>Size (acres)</t>
  </si>
  <si>
    <t>Colorado Totals</t>
  </si>
  <si>
    <t>Units</t>
  </si>
  <si>
    <t>Input</t>
  </si>
  <si>
    <t>Process</t>
  </si>
  <si>
    <t>Greenhouse</t>
  </si>
  <si>
    <t>Value</t>
  </si>
  <si>
    <t>Electricity</t>
  </si>
  <si>
    <t>GREENHOUSE</t>
  </si>
  <si>
    <t>System Inputs</t>
  </si>
  <si>
    <t>Output</t>
  </si>
  <si>
    <t>INDOOR (WAREHOUSE)</t>
  </si>
  <si>
    <t>Low</t>
  </si>
  <si>
    <t>Heating</t>
  </si>
  <si>
    <t>Seeds</t>
  </si>
  <si>
    <t>Water</t>
  </si>
  <si>
    <t>Process #</t>
  </si>
  <si>
    <t>Source/Notes</t>
  </si>
  <si>
    <t>Lighting</t>
  </si>
  <si>
    <t>Nutrients</t>
  </si>
  <si>
    <t>MJ/kg-dry cannabis</t>
  </si>
  <si>
    <t>Process Name</t>
  </si>
  <si>
    <t>I/O</t>
  </si>
  <si>
    <t>Type</t>
  </si>
  <si>
    <t>Description</t>
  </si>
  <si>
    <t>Stream #</t>
  </si>
  <si>
    <t>100 Germination</t>
  </si>
  <si>
    <t>200 Seedling Stage</t>
  </si>
  <si>
    <t>300 Vegetative Growth</t>
  </si>
  <si>
    <t>400 Curing</t>
  </si>
  <si>
    <t>500 Drying</t>
  </si>
  <si>
    <t>100:Germination</t>
  </si>
  <si>
    <t>200: Seedling Stage</t>
  </si>
  <si>
    <t>300: Vegetative Growth</t>
  </si>
  <si>
    <t>400: Flowering</t>
  </si>
  <si>
    <t>500: Curing</t>
  </si>
  <si>
    <t>600: Drying</t>
  </si>
  <si>
    <t>700: Storage</t>
  </si>
  <si>
    <t>OUTDOOR</t>
  </si>
  <si>
    <t>ALL</t>
  </si>
  <si>
    <t>Heat</t>
  </si>
  <si>
    <t>Cooling</t>
  </si>
  <si>
    <t>Electricity from Lights</t>
  </si>
  <si>
    <t>Soil</t>
  </si>
  <si>
    <t>CO2</t>
  </si>
  <si>
    <t>Simple Heating Load</t>
  </si>
  <si>
    <t>Simple Cooling Load</t>
  </si>
  <si>
    <t>Water for Plants</t>
  </si>
  <si>
    <t>Fungicides</t>
  </si>
  <si>
    <t>Transportation</t>
  </si>
  <si>
    <t>Extractor Fan Electricity</t>
  </si>
  <si>
    <t>Circulation Fan Electricity</t>
  </si>
  <si>
    <t>Table 4-23:  Average Fuel Efficiency of U.S. Light Duty Vehicles</t>
  </si>
  <si>
    <t>Average U.S. light duty vehicle fuel efficiency (mpg) (calendar year)</t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</si>
  <si>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</si>
  <si>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Light duty vehicle, long wheel base</t>
    </r>
    <r>
      <rPr>
        <vertAlign val="superscript"/>
        <sz val="11"/>
        <rFont val="Arial Narrow"/>
        <family val="2"/>
      </rPr>
      <t>a</t>
    </r>
  </si>
  <si>
    <r>
      <t>New vehicle fuel efficiency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</si>
  <si>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t>Light-duty vehicle</t>
  </si>
  <si>
    <t>Passenger car</t>
  </si>
  <si>
    <t>Domestic</t>
  </si>
  <si>
    <t>Imported</t>
  </si>
  <si>
    <r>
      <t>Light truck (&lt;8,500 lbs GVWR)</t>
    </r>
    <r>
      <rPr>
        <vertAlign val="superscript"/>
        <sz val="11"/>
        <rFont val="Arial Narrow"/>
        <family val="2"/>
      </rPr>
      <t>d</t>
    </r>
  </si>
  <si>
    <r>
      <t>CAFE standards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</si>
  <si>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truck</t>
    </r>
    <r>
      <rPr>
        <vertAlign val="superscript"/>
        <sz val="11"/>
        <rFont val="Arial Narrow"/>
        <family val="2"/>
      </rPr>
      <t>e</t>
    </r>
  </si>
  <si>
    <t>U</t>
  </si>
  <si>
    <r>
      <t xml:space="preserve">KEY: </t>
    </r>
    <r>
      <rPr>
        <sz val="9"/>
        <rFont val="Arial"/>
        <family val="2"/>
      </rPr>
      <t>CAFE = Corporate Average Fuel Economy; GVWR = gross vehicle weight rating; mpg = miles per gallon; U = data are not available.</t>
    </r>
  </si>
  <si>
    <r>
      <rPr>
        <vertAlign val="superscript"/>
        <sz val="9"/>
        <rFont val="Arial"/>
        <family val="2"/>
      </rPr>
      <t xml:space="preserve">a </t>
    </r>
    <r>
      <rPr>
        <sz val="9"/>
        <rFont val="Arial"/>
        <family val="2"/>
      </rPr>
      <t xml:space="preserve">1960-2006 data are for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Other 2-axle, 4-tire vehicles</t>
    </r>
    <r>
      <rPr>
        <sz val="9"/>
        <rFont val="Arial"/>
        <family val="2"/>
      </rPr>
      <t>, respectively. The data from 1960-2006 are not comparable to the data from 2007-14.</t>
    </r>
  </si>
  <si>
    <r>
      <t>b</t>
    </r>
    <r>
      <rPr>
        <sz val="9"/>
        <rFont val="Arial"/>
        <family val="2"/>
      </rPr>
      <t xml:space="preserve"> From 1980 to 1994, </t>
    </r>
    <r>
      <rPr>
        <i/>
        <sz val="9"/>
        <rFont val="Arial"/>
        <family val="2"/>
      </rPr>
      <t>Light duty vehicle, short wheel base</t>
    </r>
    <r>
      <rPr>
        <sz val="9"/>
        <rFont val="Arial"/>
        <family val="2"/>
      </rPr>
      <t xml:space="preserve"> 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fuel efficiency includes motorcycles.</t>
    </r>
  </si>
  <si>
    <r>
      <t xml:space="preserve">c </t>
    </r>
    <r>
      <rPr>
        <sz val="9"/>
        <rFont val="Arial"/>
        <family val="2"/>
      </rPr>
      <t xml:space="preserve">Assumes 55% city and 45% highway-miles. The source calculated average miles per gallon for light-duty vehicles by taking the reciprocal of the sales-weighted average of gallons per mile. This is called the harmonic average. </t>
    </r>
  </si>
  <si>
    <r>
      <t xml:space="preserve">d </t>
    </r>
    <r>
      <rPr>
        <sz val="9"/>
        <rFont val="Arial"/>
        <family val="2"/>
      </rPr>
      <t xml:space="preserve">Beginning with FY 1999, the total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fleet ceased to be categorized by either domestic or import fleets.</t>
    </r>
  </si>
  <si>
    <r>
      <t>e</t>
    </r>
    <r>
      <rPr>
        <sz val="9"/>
        <rFont val="Arial"/>
        <family val="2"/>
      </rPr>
      <t xml:space="preserve"> No combined figure is available for 1980. In 1980, CAFE standard for 2 wheel drive, and 4 wheel drive light trucks were 16.0, and 14.0 mpg respectively. </t>
    </r>
  </si>
  <si>
    <t>NOTES</t>
  </si>
  <si>
    <r>
      <t xml:space="preserve">Data for 2007-14 were calculated using a new methodology developed by FHWA. Data for these years are based on new categories and are not comparable to previous years. The new category </t>
    </r>
    <r>
      <rPr>
        <i/>
        <sz val="9"/>
        <rFont val="Arial"/>
        <family val="2"/>
      </rPr>
      <t>Light duty vehicle, short wheel</t>
    </r>
    <r>
      <rPr>
        <sz val="9"/>
        <rFont val="Arial"/>
        <family val="2"/>
      </rPr>
      <t xml:space="preserve"> base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</t>
    </r>
    <r>
      <rPr>
        <sz val="9"/>
        <rFont val="Arial"/>
        <family val="2"/>
      </rPr>
      <t xml:space="preserve"> includes large passenger cars, vans, pickup trucks, and sport/utility vehicles with wheelbases (WB) larger than 121 inches. </t>
    </r>
  </si>
  <si>
    <r>
      <t xml:space="preserve">The fuel efficiency figures for </t>
    </r>
    <r>
      <rPr>
        <i/>
        <sz val="9"/>
        <rFont val="Arial"/>
        <family val="2"/>
      </rPr>
      <t>Light duty vehicles</t>
    </r>
    <r>
      <rPr>
        <sz val="9"/>
        <rFont val="Arial"/>
        <family val="2"/>
      </rPr>
      <t xml:space="preserve"> represent the sales-weighted harmonic average of the combined</t>
    </r>
    <r>
      <rPr>
        <i/>
        <sz val="9"/>
        <rFont val="Arial"/>
        <family val="2"/>
      </rPr>
      <t xml:space="preserve"> 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fuel economies.</t>
    </r>
  </si>
  <si>
    <t>SOURCES</t>
  </si>
  <si>
    <t>Average U.S. light duty vehicle fuel efficiency:</t>
  </si>
  <si>
    <t>Passenger car:</t>
  </si>
  <si>
    <r>
      <t xml:space="preserve">1980-94: U.S. Department of Transportation, Federal Highway Administration, </t>
    </r>
    <r>
      <rPr>
        <i/>
        <sz val="9"/>
        <rFont val="Arial"/>
        <family val="2"/>
      </rPr>
      <t>Highway Statistics Summary to 1995,</t>
    </r>
    <r>
      <rPr>
        <sz val="9"/>
        <rFont val="Arial"/>
        <family val="2"/>
      </rPr>
      <t xml:space="preserve"> table VM-201A, available at http://www.fhwa.dot.gov/policyinformation/statistics.cfm as of Oct. 6, 2011. </t>
    </r>
  </si>
  <si>
    <t>1995-2016: Ibid., Highway Statistics (Washington, DC: Annual Issues), table VM-1, available at http://www.fhwa.dot.gov/policyinformation/statistics.cfm as of May 16, 2018.</t>
  </si>
  <si>
    <t>Light duty vehicle, short wheel base:</t>
  </si>
  <si>
    <r>
      <t>2007-16: U.S. Department of Transportation, Federal Highway Administration,</t>
    </r>
    <r>
      <rPr>
        <i/>
        <sz val="9"/>
        <rFont val="Arial"/>
        <family val="2"/>
      </rPr>
      <t xml:space="preserve"> 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May 16, 2018.</t>
    </r>
  </si>
  <si>
    <t>Other 2-axle 4-tire vehicle:</t>
  </si>
  <si>
    <r>
      <t xml:space="preserve">1980-94: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 xml:space="preserve">, table VM-201A, available at http://www.fhwa.dot.gov/policyinformation/statistics.cfm as of Oct. 6, 2011. </t>
    </r>
  </si>
  <si>
    <r>
      <t xml:space="preserve">1995-2006: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Oct. 6, 2011.</t>
    </r>
  </si>
  <si>
    <t>Light duty vehicle, long wheel base:</t>
  </si>
  <si>
    <r>
      <t xml:space="preserve">2007-16: U.S. Department of Transportation, Federal Highway Administration,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 VM-1, available at http://www.fhwa.dot.gov/policyinformation/statistics.cfm as of May 16, 2018.</t>
    </r>
  </si>
  <si>
    <t>New vehicle fuel efficiency (based on model year production) and CAFE standards:</t>
  </si>
  <si>
    <r>
      <t xml:space="preserve">1960-2014: U.S. Department of Transportation, National Highway Traffic Safety Administration, </t>
    </r>
    <r>
      <rPr>
        <i/>
        <sz val="9"/>
        <rFont val="Arial"/>
        <family val="2"/>
      </rPr>
      <t>Summary of Fuel Economy Performance</t>
    </r>
    <r>
      <rPr>
        <sz val="9"/>
        <rFont val="Arial"/>
        <family val="2"/>
      </rPr>
      <t xml:space="preserve"> (Washington, DC: Annual Issues), available at http://www.nhtsa.gov/fuel-economy as of Mar. 3, 2016.</t>
    </r>
  </si>
  <si>
    <t>2015-16: U.S. Department of Transportation, National Highway Traffic Safety Administration, Fleet Fuel Economy Performance Report, available at https://one.nhtsa.gov/cafe_pic/CAFE_PIC_fleet_LIVE.html as of May 16, 2018.</t>
  </si>
  <si>
    <t>Soil Amendments</t>
  </si>
  <si>
    <t>Water Heating Load</t>
  </si>
  <si>
    <t>Irrigation Pumping Load</t>
  </si>
  <si>
    <t>Waste</t>
  </si>
  <si>
    <t>Plant Protection</t>
  </si>
  <si>
    <t>Dehumidification (Electric)</t>
  </si>
  <si>
    <t>Dehumidification Reheat (NG)</t>
  </si>
  <si>
    <t>Humidification</t>
  </si>
  <si>
    <t>Ammonium Nitrate (N)</t>
  </si>
  <si>
    <t>Triple Superphosphate (P)</t>
  </si>
  <si>
    <t>Potassium Chloride (K)</t>
  </si>
  <si>
    <t>Secondary Air Conditioning</t>
  </si>
  <si>
    <t>Secondary Dehumidification</t>
  </si>
  <si>
    <t>Intake Fan Electricity</t>
  </si>
  <si>
    <t>Secondary Heating</t>
  </si>
  <si>
    <t xml:space="preserve">Neem Oil </t>
  </si>
  <si>
    <t>Neem Oil (Soap)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</si>
  <si>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</si>
  <si>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</si>
  <si>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</si>
  <si>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</si>
  <si>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</si>
  <si>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</si>
  <si>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</si>
  <si>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</si>
  <si>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</si>
  <si>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</si>
  <si>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</si>
  <si>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</si>
  <si>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</si>
  <si>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</si>
  <si>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</si>
  <si>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</si>
  <si>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</si>
  <si>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</si>
  <si>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</si>
  <si>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</si>
  <si>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</si>
  <si>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</si>
  <si>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</si>
  <si>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</si>
  <si>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</si>
  <si>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</si>
  <si>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</si>
  <si>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</si>
  <si>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</si>
  <si>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</si>
  <si>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</si>
  <si>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</si>
  <si>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</si>
  <si>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</si>
  <si>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</si>
  <si>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</si>
  <si>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</si>
  <si>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</si>
  <si>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</si>
  <si>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</si>
  <si>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</si>
  <si>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</si>
  <si>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</si>
  <si>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</si>
  <si>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</si>
  <si>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</si>
  <si>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</si>
  <si>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</si>
  <si>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</si>
  <si>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TX</t>
  </si>
  <si>
    <t>STATE ABBREVIATION</t>
  </si>
  <si>
    <t>REGION</t>
  </si>
  <si>
    <t>SERC</t>
  </si>
  <si>
    <t>WECC</t>
  </si>
  <si>
    <t>NPCC</t>
  </si>
  <si>
    <t>RFC</t>
  </si>
  <si>
    <t>FRCC</t>
  </si>
  <si>
    <t>MRO</t>
  </si>
  <si>
    <t>SPP</t>
  </si>
  <si>
    <t>TRE</t>
  </si>
  <si>
    <t>Location Case Study</t>
  </si>
  <si>
    <t>Min</t>
  </si>
  <si>
    <t>GWP (kg CO2e/kg-bud)</t>
  </si>
  <si>
    <t>Medium</t>
  </si>
  <si>
    <t>Higher</t>
  </si>
  <si>
    <t>Original Categories</t>
  </si>
  <si>
    <t>Condensed Categogries</t>
  </si>
  <si>
    <t>Fans</t>
  </si>
  <si>
    <t>electric</t>
  </si>
  <si>
    <t>nat gas</t>
  </si>
  <si>
    <t>Humidification (Heat+Hum)</t>
  </si>
  <si>
    <t>Heating (Heat+Hum)</t>
  </si>
  <si>
    <t>Humidification (Hum+Cool)</t>
  </si>
  <si>
    <t>Cooling (Hum+Cool)</t>
  </si>
  <si>
    <t>HVAC Heating and Cooling</t>
  </si>
  <si>
    <t>HVAC Humidity Management</t>
  </si>
  <si>
    <t>Neem Oil (water)</t>
  </si>
  <si>
    <t>Other</t>
  </si>
  <si>
    <r>
      <t>Growth CO</t>
    </r>
    <r>
      <rPr>
        <vertAlign val="subscript"/>
        <sz val="11"/>
        <color theme="1"/>
        <rFont val="Calibri"/>
        <family val="2"/>
        <scheme val="minor"/>
      </rPr>
      <t>2</t>
    </r>
  </si>
  <si>
    <t>Grow Lights</t>
  </si>
  <si>
    <t>Transportation, Lorry, to facility</t>
  </si>
  <si>
    <t>Transportation, Truck, to facility</t>
  </si>
  <si>
    <t>Tranportation, passenger vehicle, to facility</t>
  </si>
  <si>
    <t>Landfill Operations</t>
  </si>
  <si>
    <t>Landfill Emissions</t>
  </si>
  <si>
    <t>Transportation to Landfill</t>
  </si>
  <si>
    <t>Carbon Sequestered in product</t>
  </si>
  <si>
    <t>Carbon sequestered in landfill</t>
  </si>
  <si>
    <t>Net GHGs</t>
  </si>
  <si>
    <t>Suppl. Dehumidifier</t>
  </si>
  <si>
    <t>Suppl. Heater</t>
  </si>
  <si>
    <r>
      <t>Sequestered CO</t>
    </r>
    <r>
      <rPr>
        <vertAlign val="subscript"/>
        <sz val="11"/>
        <color theme="1"/>
        <rFont val="Calibri"/>
        <family val="2"/>
        <scheme val="minor"/>
      </rPr>
      <t>2</t>
    </r>
  </si>
  <si>
    <t>Suppl. Air Conditioner</t>
  </si>
  <si>
    <t>MATLAB</t>
  </si>
  <si>
    <t>Province</t>
  </si>
  <si>
    <t>BC</t>
  </si>
  <si>
    <t>AB</t>
  </si>
  <si>
    <t>MB</t>
  </si>
  <si>
    <t>NB</t>
  </si>
  <si>
    <t>NL</t>
  </si>
  <si>
    <t>NS</t>
  </si>
  <si>
    <t>NU</t>
  </si>
  <si>
    <t>NW</t>
  </si>
  <si>
    <t>ON</t>
  </si>
  <si>
    <t>PE</t>
  </si>
  <si>
    <t>QC</t>
  </si>
  <si>
    <t>SK</t>
  </si>
  <si>
    <t>YU</t>
  </si>
  <si>
    <t>highest</t>
  </si>
  <si>
    <t>higher</t>
  </si>
  <si>
    <t>BC MATLAB</t>
  </si>
  <si>
    <t>% total kWh</t>
  </si>
  <si>
    <t>% total NG</t>
  </si>
  <si>
    <t>Growth CO2</t>
  </si>
  <si>
    <t>Sequestered CO2</t>
  </si>
  <si>
    <t>AB MATLAB</t>
  </si>
  <si>
    <t>MB MATLAB</t>
  </si>
  <si>
    <t>NB MATLAB</t>
  </si>
  <si>
    <t>NL MATLAB</t>
  </si>
  <si>
    <t>NS MATLAB</t>
  </si>
  <si>
    <t>ON MATLAB</t>
  </si>
  <si>
    <t>PE MATLAB</t>
  </si>
  <si>
    <t>QC MATLAB</t>
  </si>
  <si>
    <t>SK MATLAB</t>
  </si>
  <si>
    <t>total</t>
  </si>
  <si>
    <t>OpenLCA input</t>
  </si>
  <si>
    <t>Validation use</t>
  </si>
  <si>
    <t>carbon (kg CO2-eq/kg-bud) MATLAB OUTPUT</t>
  </si>
  <si>
    <t>Electricity (kWh/kg-bud) MATLAB OUTPUT</t>
  </si>
  <si>
    <t>NG (MJ/kg-bud) MATLAB OUTPUT</t>
  </si>
  <si>
    <t>kWh total minus light (1376.98)</t>
  </si>
  <si>
    <t>Electricity (CO2)</t>
  </si>
  <si>
    <t>NG (CO2)</t>
  </si>
  <si>
    <t>co2-kwh</t>
  </si>
  <si>
    <t>Landfill operations</t>
  </si>
  <si>
    <t>landfill co2</t>
  </si>
  <si>
    <t>input mass to transport</t>
  </si>
  <si>
    <t xml:space="preserve">sum AC </t>
  </si>
  <si>
    <t>sum DH</t>
  </si>
  <si>
    <t>sum Heat</t>
  </si>
  <si>
    <t>trans lorry</t>
  </si>
  <si>
    <t>trans truck</t>
  </si>
  <si>
    <t>trans passenger car</t>
  </si>
  <si>
    <t>plant yield</t>
  </si>
  <si>
    <t>3.058229634 kg CO2/kg NG</t>
  </si>
  <si>
    <t>55.2 MJ/kg NG</t>
  </si>
  <si>
    <t>Filename</t>
  </si>
  <si>
    <t>Lat</t>
  </si>
  <si>
    <t>Lon</t>
  </si>
  <si>
    <t>Site</t>
  </si>
  <si>
    <t>State</t>
  </si>
  <si>
    <t>carbon (kg CO2-eq/kg-bud)</t>
  </si>
  <si>
    <t>Electricity (kWh/kg-bud)</t>
  </si>
  <si>
    <t>NG (MJ/kg-bud)</t>
  </si>
  <si>
    <t>710660.0_CYOJ.csv</t>
  </si>
  <si>
    <t>CYOJ</t>
  </si>
  <si>
    <t>710690.0_CYZH.csv</t>
  </si>
  <si>
    <t>CYZH</t>
  </si>
  <si>
    <t>711200.0_CYOD.csv</t>
  </si>
  <si>
    <t>CYOD</t>
  </si>
  <si>
    <t>711210.0_CYED.csv</t>
  </si>
  <si>
    <t>CYED</t>
  </si>
  <si>
    <t>711230.0_CYEG.csv</t>
  </si>
  <si>
    <t>CYEG</t>
  </si>
  <si>
    <t>718710.0_CYLL.csv</t>
  </si>
  <si>
    <t>CYLL</t>
  </si>
  <si>
    <t>718770.0_CYYC.csv</t>
  </si>
  <si>
    <t>CYYC</t>
  </si>
  <si>
    <t>718780.0_CYQF.csv</t>
  </si>
  <si>
    <t>CYQF</t>
  </si>
  <si>
    <t>718810.0_CYET.csv</t>
  </si>
  <si>
    <t>CYET</t>
  </si>
  <si>
    <t>719400.0_CYQU.csv</t>
  </si>
  <si>
    <t>CYQU</t>
  </si>
  <si>
    <t>711010.0_CYZP.csv</t>
  </si>
  <si>
    <t>CYZP</t>
  </si>
  <si>
    <t>711030.0_CYQZ.csv</t>
  </si>
  <si>
    <t>CYQZ</t>
  </si>
  <si>
    <t>711040.0_CYWL.csv</t>
  </si>
  <si>
    <t>CYWL</t>
  </si>
  <si>
    <t>711080.0_CYXX.csv</t>
  </si>
  <si>
    <t>CYXX</t>
  </si>
  <si>
    <t>711090.0_CYZT.csv</t>
  </si>
  <si>
    <t>CYZT</t>
  </si>
  <si>
    <t>717990.0_CYYJ.csv</t>
  </si>
  <si>
    <t>CYYJ</t>
  </si>
  <si>
    <t>718870.0_CYKA.csv</t>
  </si>
  <si>
    <t>CYKA</t>
  </si>
  <si>
    <t>718890.0_CYYF.csv</t>
  </si>
  <si>
    <t>CYYF</t>
  </si>
  <si>
    <t>718920.0_CYVR.csv</t>
  </si>
  <si>
    <t>CYVR</t>
  </si>
  <si>
    <t>718930.0_CYQQ.csv</t>
  </si>
  <si>
    <t>CYQQ</t>
  </si>
  <si>
    <t>718960.0_CYXS.csv</t>
  </si>
  <si>
    <t>CYXS</t>
  </si>
  <si>
    <t>718980.0_CYPR.csv</t>
  </si>
  <si>
    <t>CYPR</t>
  </si>
  <si>
    <t>719430.0_CYXJ.csv</t>
  </si>
  <si>
    <t>CYXJ</t>
  </si>
  <si>
    <t>719450.0_CYYE.csv</t>
  </si>
  <si>
    <t>CYYE</t>
  </si>
  <si>
    <t>719500.0_CYYD.csv</t>
  </si>
  <si>
    <t>CYYD</t>
  </si>
  <si>
    <t>719510.0_CYXT.csv</t>
  </si>
  <si>
    <t>CYXT</t>
  </si>
  <si>
    <t>710780.0_CYYL.csv</t>
  </si>
  <si>
    <t>CYYL</t>
  </si>
  <si>
    <t>710790.0_CYTH.csv</t>
  </si>
  <si>
    <t>CYTH</t>
  </si>
  <si>
    <t>711400.0_CYBR.csv</t>
  </si>
  <si>
    <t>CYBR</t>
  </si>
  <si>
    <t>718520.0_CYWG.csv</t>
  </si>
  <si>
    <t>CYWG</t>
  </si>
  <si>
    <t>718670.0_CYQD.csv</t>
  </si>
  <si>
    <t>CYQD</t>
  </si>
  <si>
    <t>719120.0_CYGX.csv</t>
  </si>
  <si>
    <t>CYGX</t>
  </si>
  <si>
    <t>716090.0_CYSJ.csv</t>
  </si>
  <si>
    <t>CYSJ</t>
  </si>
  <si>
    <t>717000.0_CYFC.csv</t>
  </si>
  <si>
    <t>CYFC</t>
  </si>
  <si>
    <t>717050.0_CYQM.csv</t>
  </si>
  <si>
    <t>CYQM</t>
  </si>
  <si>
    <t>718010.0_CYYT.csv</t>
  </si>
  <si>
    <t>CYYT</t>
  </si>
  <si>
    <t>718030.0_CYQX.csv</t>
  </si>
  <si>
    <t>CYQX</t>
  </si>
  <si>
    <t>718090.0_CYDF.csv</t>
  </si>
  <si>
    <t>CYDF</t>
  </si>
  <si>
    <t>718150.0_CYJT.csv</t>
  </si>
  <si>
    <t>CYJT</t>
  </si>
  <si>
    <t>718160.0_CYYR.csv</t>
  </si>
  <si>
    <t>CYYR</t>
  </si>
  <si>
    <t>718180.0_CYCA.csv</t>
  </si>
  <si>
    <t>CYCA</t>
  </si>
  <si>
    <t>718250.0_CYWK.csv</t>
  </si>
  <si>
    <t>CYWK</t>
  </si>
  <si>
    <t>713950.0_CYHZ.csv</t>
  </si>
  <si>
    <t>CYHZ</t>
  </si>
  <si>
    <t>713970.0_CYZX.csv</t>
  </si>
  <si>
    <t>CYZX</t>
  </si>
  <si>
    <t>716000.0_CWSA.csv</t>
  </si>
  <si>
    <t>CWSA</t>
  </si>
  <si>
    <t>716030.0_CYQI.csv</t>
  </si>
  <si>
    <t>CYQI</t>
  </si>
  <si>
    <t>717070.0_CYQY.csv</t>
  </si>
  <si>
    <t>CYQY</t>
  </si>
  <si>
    <t>710810.0_CYUX.csv</t>
  </si>
  <si>
    <t>CYUX</t>
  </si>
  <si>
    <t>710830.0_CYRT.csv</t>
  </si>
  <si>
    <t>CYRT</t>
  </si>
  <si>
    <t>710950.0_CYIO.csv</t>
  </si>
  <si>
    <t>CYIO</t>
  </si>
  <si>
    <t>719090.0_CYFB.csv</t>
  </si>
  <si>
    <t>CYFB</t>
  </si>
  <si>
    <t>719150.0_CYZS.csv</t>
  </si>
  <si>
    <t>CYZS</t>
  </si>
  <si>
    <t>719170.0_CWEU.csv</t>
  </si>
  <si>
    <t>CWEU</t>
  </si>
  <si>
    <t>719240.0_CYRB.csv</t>
  </si>
  <si>
    <t>CYRB</t>
  </si>
  <si>
    <t>719250.0_CYCB.csv</t>
  </si>
  <si>
    <t>CYCB</t>
  </si>
  <si>
    <t>719260.0_CYBK.csv</t>
  </si>
  <si>
    <t>CYBK</t>
  </si>
  <si>
    <t>719380.0_CYCO.csv</t>
  </si>
  <si>
    <t>CYCO</t>
  </si>
  <si>
    <t>710430.0_CYVQ.csv</t>
  </si>
  <si>
    <t>CYVQ</t>
  </si>
  <si>
    <t>719340.0_CYSM.csv</t>
  </si>
  <si>
    <t>CYSM</t>
  </si>
  <si>
    <t>719350.0_CYHY.csv</t>
  </si>
  <si>
    <t>CYHY</t>
  </si>
  <si>
    <t>719360.0_CYZF.csv</t>
  </si>
  <si>
    <t>CYZF</t>
  </si>
  <si>
    <t>719460.0_CYFS.csv</t>
  </si>
  <si>
    <t>CYFS</t>
  </si>
  <si>
    <t>719570.0_CYEV.csv</t>
  </si>
  <si>
    <t>CYEV</t>
  </si>
  <si>
    <t>715380.0_CYQG.csv</t>
  </si>
  <si>
    <t>CYQG</t>
  </si>
  <si>
    <t>716200.0_CYGK.csv</t>
  </si>
  <si>
    <t>CYGK</t>
  </si>
  <si>
    <t>716210.0_CYTR.csv</t>
  </si>
  <si>
    <t>CYTR</t>
  </si>
  <si>
    <t>716230.0_CYXU.csv</t>
  </si>
  <si>
    <t>CYXU</t>
  </si>
  <si>
    <t>716250.0_CYWA.csv</t>
  </si>
  <si>
    <t>CYWA</t>
  </si>
  <si>
    <t>716280.0_CYOW.csv</t>
  </si>
  <si>
    <t>CYOW</t>
  </si>
  <si>
    <t>716330.0_CYVV.csv</t>
  </si>
  <si>
    <t>CYVV</t>
  </si>
  <si>
    <t>717310.0_CYYB.csv</t>
  </si>
  <si>
    <t>CYYB</t>
  </si>
  <si>
    <t>717390.0_CYTS.csv</t>
  </si>
  <si>
    <t>CYTS</t>
  </si>
  <si>
    <t>718310.0_CYYU.csv</t>
  </si>
  <si>
    <t>CYYU</t>
  </si>
  <si>
    <t>718340.0_CYGQ.csv</t>
  </si>
  <si>
    <t>CYGQ</t>
  </si>
  <si>
    <t>718420.0_CYXL.csv</t>
  </si>
  <si>
    <t>CYXL</t>
  </si>
  <si>
    <t>717060.0_CYYG.csv</t>
  </si>
  <si>
    <t>CYYG</t>
  </si>
  <si>
    <t>711880.0_CYGP.csv</t>
  </si>
  <si>
    <t>CYGP</t>
  </si>
  <si>
    <t>716270.0_CYUL.csv</t>
  </si>
  <si>
    <t>CYUL</t>
  </si>
  <si>
    <t>716278.0_CYGW.csv</t>
  </si>
  <si>
    <t>CYGW</t>
  </si>
  <si>
    <t>717080.0_CYQB.csv</t>
  </si>
  <si>
    <t>CYQB</t>
  </si>
  <si>
    <t>717180.0_CYYY.csv</t>
  </si>
  <si>
    <t>CYYY</t>
  </si>
  <si>
    <t>717250.0_CYVO.csv</t>
  </si>
  <si>
    <t>CYVO</t>
  </si>
  <si>
    <t>717255.0_CYUY.csv</t>
  </si>
  <si>
    <t>CYUY</t>
  </si>
  <si>
    <t>717270.0_CYBG.csv</t>
  </si>
  <si>
    <t>CYBG</t>
  </si>
  <si>
    <t>717280.0_CYRJ.csv</t>
  </si>
  <si>
    <t>CYRJ</t>
  </si>
  <si>
    <t>718110.0_CYZV.csv</t>
  </si>
  <si>
    <t>CYZV</t>
  </si>
  <si>
    <t>719050.0_CYMX.csv</t>
  </si>
  <si>
    <t>CYMX</t>
  </si>
  <si>
    <t>719060.0_CYVP.csv</t>
  </si>
  <si>
    <t>CYVP</t>
  </si>
  <si>
    <t>711380.0_CYQV.csv</t>
  </si>
  <si>
    <t>CYQV</t>
  </si>
  <si>
    <t>718630.0_CYQR.csv</t>
  </si>
  <si>
    <t>CYQR</t>
  </si>
  <si>
    <t>718690.0_CYPA.csv</t>
  </si>
  <si>
    <t>CYPA</t>
  </si>
  <si>
    <t>718760.0_CYQW.csv</t>
  </si>
  <si>
    <t>CYQW</t>
  </si>
  <si>
    <t>719220.0_CYVC.csv</t>
  </si>
  <si>
    <t>CYVC</t>
  </si>
  <si>
    <t>719530.0_CYQH.csv</t>
  </si>
  <si>
    <t>CYQH</t>
  </si>
  <si>
    <t>719640.0_CYXY.csv</t>
  </si>
  <si>
    <t>CYXY</t>
  </si>
  <si>
    <t>719650.0_CYMA.csv</t>
  </si>
  <si>
    <t>CYMA</t>
  </si>
  <si>
    <t>These values are unprocessed matlab output in HHV for NG and CO2 for other categories</t>
  </si>
  <si>
    <t>Contribution</t>
  </si>
  <si>
    <t>Amount</t>
  </si>
  <si>
    <t>Unit</t>
  </si>
  <si>
    <t>1. Full indoor production BC</t>
  </si>
  <si>
    <t>kg CO2 eq</t>
  </si>
  <si>
    <t>2. Indoor drying of fresh cannabis BC</t>
  </si>
  <si>
    <t>7. Indoors HVAC energy BC</t>
  </si>
  <si>
    <t>heat production, natural gas, at boiler condensing modulating &lt;100kW | heat, central or small-scale, natural gas | Cutoff, U - RoW</t>
  </si>
  <si>
    <t>electricity, high voltage, production mix | electricity, high voltage | Cutoff, U - CA-BC</t>
  </si>
  <si>
    <t>carbon dioxide production, liquid | carbon dioxide, liquid | Cutoff, U - RoW</t>
  </si>
  <si>
    <t>peat moss production, horticultural use | peat moss | Cutoff, U - CA-QC</t>
  </si>
  <si>
    <t>pesticide production, unspecified | pesticide, unspecified | Cutoff, U - RoW</t>
  </si>
  <si>
    <t>5. HPS fixture material Canada</t>
  </si>
  <si>
    <t>soybean oil, refined, to generic market for vegetable oil, refined | vegetable oil, refined | Cutoff, U - GLO</t>
  </si>
  <si>
    <t>expanded perlite production | expanded perlite | Cutoff, U - RoW</t>
  </si>
  <si>
    <t>soap production | soap | Cutoff, U - RoW</t>
  </si>
  <si>
    <t>tap water production, conventional treatment | tap water | Cutoff, U - RoW</t>
  </si>
  <si>
    <t>6. Indoor fertilizer Canada</t>
  </si>
  <si>
    <t>Carbon sequestration in product</t>
  </si>
  <si>
    <t>CH4 emission in landfill</t>
  </si>
  <si>
    <t>CO2 emission in landfill</t>
  </si>
  <si>
    <t>Carbon sequestration in landfill</t>
  </si>
  <si>
    <t>3. Transport Cannabis Canada</t>
  </si>
  <si>
    <t>OpenLCA CO2 condensed cat</t>
  </si>
  <si>
    <t>Matlab categories</t>
  </si>
  <si>
    <t>Difference</t>
  </si>
  <si>
    <t>Grow light</t>
  </si>
  <si>
    <t>EQUAL</t>
  </si>
  <si>
    <t>1.MatLAB outputs needs to be validated through "1. Matlab output validation.xlsx".</t>
  </si>
  <si>
    <t>3.   average values per province per categories are calculated by formulas in the I7:AS19 range</t>
  </si>
  <si>
    <t xml:space="preserve">2. validated Matlab data can be pasted in range F24:AS121, then sorted by province alphabetically </t>
  </si>
  <si>
    <t>Conversion factors</t>
  </si>
  <si>
    <t>2. Matlab output modifier  are found in the "conversion factor calc" sheet  "1. Matlab output validation.xlsx" workbook</t>
  </si>
  <si>
    <t># of cultivation licenses</t>
  </si>
  <si>
    <t xml:space="preserve">**Copy and paste input above in section 3. Condensed categories % contribution of total kWh/NG consumption </t>
  </si>
  <si>
    <t>For Discussion</t>
  </si>
  <si>
    <t>https://www.canada.ca/en/health-canada/services/drugs-medication/cannabis/industry-licensees-applicants/licensed-cultivators-processors-sellers.html?may-19-2023#wb-auto-6</t>
  </si>
  <si>
    <t>Ref</t>
  </si>
  <si>
    <t>habitant</t>
  </si>
  <si>
    <t>habitant/license</t>
  </si>
  <si>
    <t>1. Paste each province averages from "Output processing" worksheet in cells G7:G43 of this sheet to have Condensed categories CO2 values in Table 2. and % contribution of total kWh/NG consumption in Table 3. 
Table 1 is not needed, only to calculate condensed categories in table 2 (J49:V78) as well as condensed categories % contribution of total kWh/NG in table 3a, that you can paste in table 3b.</t>
  </si>
  <si>
    <t>1. Full indoor production AB</t>
  </si>
  <si>
    <t>2. Indoor drying of fresh cannabis AB</t>
  </si>
  <si>
    <t>4. Indoor growing of fresh cannabis AB</t>
  </si>
  <si>
    <t>7. Indoors HVAC energy AB</t>
  </si>
  <si>
    <t>electricity, high voltage, production mix | electricity, high voltage | Cutoff, U - CA-AB</t>
  </si>
  <si>
    <t>YU MATLAB</t>
  </si>
  <si>
    <t>CO2 std dev</t>
  </si>
  <si>
    <t>co2 CV (%)</t>
  </si>
  <si>
    <t>STANDARD DEVIATION CO2</t>
  </si>
  <si>
    <t xml:space="preserve">4. Average values per province are found below, paste each province category averages (I7:AS19) in "Figures MATLAB" sheet in cells G7:G43, 
5. Provincial kg CO2-eq/kg-bud geographical CV (%) values are in cells  AW 24:AW36 </t>
  </si>
  <si>
    <t>count</t>
  </si>
  <si>
    <t>province</t>
  </si>
  <si>
    <t>https://www150.statcan.gc.ca/t1/tbl1/en/tv.action?pid=1710000901</t>
  </si>
  <si>
    <t># weather station</t>
  </si>
  <si>
    <t>GWP Value</t>
  </si>
  <si>
    <t>4. Indoor growing of fresh cannabis BC</t>
  </si>
  <si>
    <t>1. Full indoor production MB</t>
  </si>
  <si>
    <t>2. Indoor drying of fresh cannabis MB</t>
  </si>
  <si>
    <t>4. Indoor growing of fresh cannabis MB</t>
  </si>
  <si>
    <t>7. Indoors HVAC energy MB</t>
  </si>
  <si>
    <t>electricity, high voltage, production mix | electricity, high voltage | Cutoff, U - CA-MB</t>
  </si>
  <si>
    <t>1. Full indoor production NB</t>
  </si>
  <si>
    <t>2. Indoor drying of fresh cannabis NB</t>
  </si>
  <si>
    <t>4. Indoor growing of fresh cannabis NB</t>
  </si>
  <si>
    <t>7. Indoors HVAC energy NB</t>
  </si>
  <si>
    <t>electricity, high voltage, production mix | electricity, high voltage | Cutoff, U - CA-NB</t>
  </si>
  <si>
    <t>1. Full indoor production ON</t>
  </si>
  <si>
    <t>2. Indoor drying of fresh cannabis ON</t>
  </si>
  <si>
    <t>4. Indoor growing of fresh cannabis ON</t>
  </si>
  <si>
    <t>7. Indoors HVAC energy ON</t>
  </si>
  <si>
    <t>electricity, high voltage, production mix | electricity, high voltage | Cutoff, U - CA-ON</t>
  </si>
  <si>
    <t>1. Full indoor production PE</t>
  </si>
  <si>
    <t>2. Indoor drying of fresh cannabis PE</t>
  </si>
  <si>
    <t>4. Indoor growing of fresh cannabis PE</t>
  </si>
  <si>
    <t>7. Indoors HVAC energy PE</t>
  </si>
  <si>
    <t>electricity, high voltage, production mix | electricity, high voltage | Cutoff, U - CA-PE</t>
  </si>
  <si>
    <t>1. Full indoor production QC</t>
  </si>
  <si>
    <t>2. Indoor drying of fresh cannabis QC</t>
  </si>
  <si>
    <t>4. Indoor growing of fresh cannabis QC</t>
  </si>
  <si>
    <t>7. Indoors HVAC energy QC</t>
  </si>
  <si>
    <t>electricity, high voltage, production mix | electricity, high voltage | Cutoff, U - CA-QC</t>
  </si>
  <si>
    <t>1. Full indoor production SK</t>
  </si>
  <si>
    <t>2. Indoor drying of fresh cannabis SK</t>
  </si>
  <si>
    <t>4. Indoor growing of fresh cannabis SK</t>
  </si>
  <si>
    <t>7. Indoors HVAC energy SK</t>
  </si>
  <si>
    <t>electricity, high voltage, production mix | electricity, high voltage | Cutoff, U - CA-SK</t>
  </si>
  <si>
    <t>1. Full indoor production YU</t>
  </si>
  <si>
    <t>2. Indoor drying of fresh cannabis YU</t>
  </si>
  <si>
    <t>4. Indoor growing of fresh cannabis YU</t>
  </si>
  <si>
    <t>7. Indoors HVAC energy YU</t>
  </si>
  <si>
    <t>electricity, high voltage, production mix | electricity, high voltage | Cutoff, U - CA-YK</t>
  </si>
  <si>
    <t>BC OpenLCA output</t>
  </si>
  <si>
    <t>BC OpenLCA &amp; Matlab comparison</t>
  </si>
  <si>
    <t>AB  OpenLCA output</t>
  </si>
  <si>
    <t>MB OpenLCA output</t>
  </si>
  <si>
    <t>NB OpenLCA output</t>
  </si>
  <si>
    <t>QC OpenLCA output</t>
  </si>
  <si>
    <t>SK OpenLCA output</t>
  </si>
  <si>
    <t>NL  OpenLCA output</t>
  </si>
  <si>
    <t>NS OpenLCA output</t>
  </si>
  <si>
    <t>ON OpenLCA output</t>
  </si>
  <si>
    <t>PE OpenLCA output</t>
  </si>
  <si>
    <t>YU OpenLCA output</t>
  </si>
  <si>
    <t>AB  OpenLCA &amp; Matlab comparison</t>
  </si>
  <si>
    <t>MB  OpenLCA &amp; Matlab comparison</t>
  </si>
  <si>
    <t>NB  OpenLCA &amp; Matlab comparison</t>
  </si>
  <si>
    <t>QC  OpenLCA &amp; Matlab comparison</t>
  </si>
  <si>
    <t>PE OpenLCA &amp; Matlab comparison</t>
  </si>
  <si>
    <t>ON OpenLCA &amp; Matlab comparison</t>
  </si>
  <si>
    <t>NS OpenLCA &amp; Matlab comparison</t>
  </si>
  <si>
    <t>NL OpenLCA &amp; Matlab comparison</t>
  </si>
  <si>
    <t>SK OpenLCA &amp; Matlab comparison</t>
  </si>
  <si>
    <t>YU OpenLCA &amp; Matlab comparison</t>
  </si>
  <si>
    <t>1. Full outdoor production CAN</t>
  </si>
  <si>
    <t xml:space="preserve">2. Outdoor drying of fresh cannabis </t>
  </si>
  <si>
    <t>4. Outdoor growing Canada</t>
  </si>
  <si>
    <t>7. Outdoor HVAC energy Can</t>
  </si>
  <si>
    <t>6. Outdoor fertilizer Can</t>
  </si>
  <si>
    <t>3. Transport Cannabis Canada outdoor</t>
  </si>
  <si>
    <t>BC outdoor OpenLCA output Fossil Fuel Scarcity</t>
  </si>
  <si>
    <t>transport, freight train, diesel | transport, freight train | Cutoff, U - RoW</t>
  </si>
  <si>
    <t>transport, passenger car with internal combustion engine | transport, passenger car with internal combustion engine | Cutoff, U - RoW</t>
  </si>
  <si>
    <t>transport, freight, lorry 16-32 metric ton, EURO5 | transport, freight, lorry 16-32 metric ton, EURO5 | Cutoff, U - RoW</t>
  </si>
  <si>
    <t>SK openLCA</t>
  </si>
  <si>
    <t>#G101</t>
  </si>
  <si>
    <t>#G102</t>
  </si>
  <si>
    <t>NG SEM</t>
  </si>
  <si>
    <t>Elec SEM</t>
  </si>
  <si>
    <t>Water (heating and pumping)</t>
  </si>
  <si>
    <t>MATLAB outputs  from "1. Matlab output validation.xlsx" need to be classified per province alphabetically, CWQB, CYXH, CNBI needs to be taken out</t>
  </si>
  <si>
    <t>Table 3a. Formula to fill table 3b is in cell G49:H57. Condensed categories % contribution of total kWh/NG consumption need to be copy-pasted manually in table 3b.</t>
  </si>
  <si>
    <t>FORMULA OUTPUT (CO2) EXAMPLE WITH AB</t>
  </si>
  <si>
    <t xml:space="preserve"> Table 3b. Condensed categories % contribution of total kWh/NG consumption, need to be manually copy pasted from G50:H74 array </t>
  </si>
  <si>
    <t>1b. FORMULA OUTPUT (CO2) EXAMPLE WITH AB</t>
  </si>
  <si>
    <t>1. Original Categories, paste output (J7:J44) in respective province (K6:V44)</t>
  </si>
  <si>
    <t>1a. MATLAB data (J7:AT19 from "Output processing worksheet") need to be input in this row (G7:G43), output in CO2 will be calculated in J7:J44
AB EXAMPLE</t>
  </si>
  <si>
    <t>2. MATLAB Condensed Categogries, calculated from K7:V44 inputs. Percent contribution per categories are calculated in G50:H74 array, then need to be manually input in Table 3b (J82:AE106)</t>
  </si>
  <si>
    <t>Contribution [%]</t>
  </si>
  <si>
    <t>Required amount</t>
  </si>
  <si>
    <t>kg</t>
  </si>
  <si>
    <t>MJ</t>
  </si>
  <si>
    <t>m3</t>
  </si>
  <si>
    <t>d</t>
  </si>
  <si>
    <t>CH4 emission from landill</t>
  </si>
  <si>
    <t>CO2 emission from landfill</t>
  </si>
  <si>
    <t>carbon sequestration from landfill</t>
  </si>
  <si>
    <t>m</t>
  </si>
  <si>
    <t>t*km</t>
  </si>
  <si>
    <t>Total result [kg N-Eq]</t>
  </si>
  <si>
    <t>Direct contribution [kg N-Eq]</t>
  </si>
  <si>
    <t>Total result [kg SO2-Eq]</t>
  </si>
  <si>
    <t>Direct contribution [kg SO2-Eq]</t>
  </si>
  <si>
    <t>Total result [kg Fe-Eq]</t>
  </si>
  <si>
    <t>Direct contribution [kg Fe-Eq]</t>
  </si>
  <si>
    <t>Total result [kg oil-Eq]</t>
  </si>
  <si>
    <t>Direct contribution [kg oil-Eq]</t>
  </si>
  <si>
    <t>m2</t>
  </si>
  <si>
    <t>3. Transport Cannabis Canada indoor</t>
  </si>
  <si>
    <t>BC indoor OpenLCA output Fossil Fuel Scarcity</t>
  </si>
  <si>
    <t>BC outdoor OpenLCA output terrestrial acidification</t>
  </si>
  <si>
    <t>BC outdoor OpenLCA output marine eutrophication</t>
  </si>
  <si>
    <t>BC indoor OpenLCA output marine eutrophication</t>
  </si>
  <si>
    <t>BC indoor OpenLCA input terrestrial acidification</t>
  </si>
  <si>
    <t>BC indoor OpenLCA output metal depletion potential</t>
  </si>
  <si>
    <t>BC outdoor OpenLCA output Metal depletion scarcity</t>
  </si>
  <si>
    <t>Total result [kg P-Eq]</t>
  </si>
  <si>
    <t>Direct contribution [kg P-Eq]</t>
  </si>
  <si>
    <t>BC outdoor OpenLCA output freshwater eutrophication</t>
  </si>
  <si>
    <t>BC indoor OpenLCA output freshwater eutrophication</t>
  </si>
  <si>
    <t>OpenLCA condensed categories (From "OpenLCA GWP calculation" worksheet)</t>
  </si>
  <si>
    <t>These are  outputs from OpenLCA model, GWP is reclassified in the same condensed categories from the MATLAB model, output from OpenLCA need to be pasted in A5:H24 array, condensed categories are calculated from province specific % contribution calculated in the ''Figures MATLAB'' sheet in the A27:H52 array (Example with BC)</t>
  </si>
  <si>
    <t>other</t>
  </si>
  <si>
    <t xml:space="preserve">Soil </t>
  </si>
  <si>
    <t>Soil, Nutrient &amp; Water</t>
  </si>
  <si>
    <t>Suppl. HVAC</t>
  </si>
  <si>
    <t>HVAC Humidity Mgmt</t>
  </si>
  <si>
    <t>ENERGY (MJ/kg bud)</t>
  </si>
  <si>
    <t>ISD weather station (count)</t>
  </si>
  <si>
    <t>Cultivation licenses (count)</t>
  </si>
  <si>
    <t>Hotspot</t>
  </si>
  <si>
    <t>Activity</t>
  </si>
  <si>
    <t>Heat production via NG</t>
  </si>
  <si>
    <t>Indoor environmental control</t>
  </si>
  <si>
    <t>Percent contribution</t>
  </si>
  <si>
    <t>Carbon dioxide production</t>
  </si>
  <si>
    <t>Metal Depletion Potential (kg Fe-Eq)</t>
  </si>
  <si>
    <t>Marine Eutrophication (kg N-Eq)</t>
  </si>
  <si>
    <t>Horticultural practices</t>
  </si>
  <si>
    <t>Terrestrial Acidification (kg SO2-eq)</t>
  </si>
  <si>
    <t>Fossil Fuel Scarcity (kg oil-Eq)</t>
  </si>
  <si>
    <t>Freshwater Eutrophication (kg P-Eq)</t>
  </si>
  <si>
    <t>Bio-pesticide production</t>
  </si>
  <si>
    <t xml:space="preserve">Sum </t>
  </si>
  <si>
    <t>Sum</t>
  </si>
  <si>
    <t xml:space="preserve">Environmental impacts of outdoor and indoor dry cannabis flower production in British Columbia and identified hotspots </t>
  </si>
  <si>
    <t>avg</t>
  </si>
  <si>
    <t>CV % (see AX 23:34) from output processing tab</t>
  </si>
  <si>
    <t>Average</t>
  </si>
  <si>
    <t>sd</t>
  </si>
  <si>
    <t>1. Full outdoor production QC</t>
  </si>
  <si>
    <t>2. Outdoor drying of fresh cannabis QC</t>
  </si>
  <si>
    <t>4. Outdoor growing QC</t>
  </si>
  <si>
    <t>7. Outdoor HVAC energy QC</t>
  </si>
  <si>
    <t>AB outdoor</t>
  </si>
  <si>
    <t>BC outdoor</t>
  </si>
  <si>
    <t>MB oudoor</t>
  </si>
  <si>
    <t>NB outdoor</t>
  </si>
  <si>
    <t>Total result [kg CO2-Eq]</t>
  </si>
  <si>
    <t>Direct contribution [kg CO2-Eq]</t>
  </si>
  <si>
    <t>1. Full outdoor production AB</t>
  </si>
  <si>
    <t>1. Full outdoor production BC</t>
  </si>
  <si>
    <t>1. Full outdoor production MB</t>
  </si>
  <si>
    <t>1. Full outdoor production NB</t>
  </si>
  <si>
    <t>2. Outdoor drying of fresh cannabis AB</t>
  </si>
  <si>
    <t>2. Outdoor drying of fresh cannabis BC</t>
  </si>
  <si>
    <t>2. Outdoor drying of fresh cannabis MB</t>
  </si>
  <si>
    <t>2. Outdoor drying of fresh cannabis NB</t>
  </si>
  <si>
    <t>4. Outdoor growing AB</t>
  </si>
  <si>
    <t>4. Outdoor growing BC</t>
  </si>
  <si>
    <t>4. Outdoor growing MB</t>
  </si>
  <si>
    <t>4. Outdoor growing NB</t>
  </si>
  <si>
    <t>7. Outdoor HVAC energy AB</t>
  </si>
  <si>
    <t>7. Outdoor HVAC energy BC</t>
  </si>
  <si>
    <t>7. Outdoor HVAC energy MB</t>
  </si>
  <si>
    <t>7. Outdoor HVAC energy NB</t>
  </si>
  <si>
    <t>NL outdoor</t>
  </si>
  <si>
    <t>NS outdoor</t>
  </si>
  <si>
    <t>ON outdoor</t>
  </si>
  <si>
    <t>Pe outdoor</t>
  </si>
  <si>
    <t>1. Full outdoor production NL</t>
  </si>
  <si>
    <t>1. Full outdoor production NS</t>
  </si>
  <si>
    <t>1. Full outdoor production ON</t>
  </si>
  <si>
    <t>1. Full outdoor production PE</t>
  </si>
  <si>
    <t>2. Outdoor drying of fresh cannabis NL</t>
  </si>
  <si>
    <t>2. Outdoor drying of fresh cannabis NS</t>
  </si>
  <si>
    <t>2. Outdoor drying of fresh cannabis ON</t>
  </si>
  <si>
    <t>2. Outdoor drying of fresh cannabis PE</t>
  </si>
  <si>
    <t>4. Outdoor growing NL</t>
  </si>
  <si>
    <t>4. Outdoor growing NS</t>
  </si>
  <si>
    <t>4. Outdoor growing ON</t>
  </si>
  <si>
    <t>4. Outdoor growing PE</t>
  </si>
  <si>
    <t>7. Outdoor HVAC energy NL</t>
  </si>
  <si>
    <t>7. Outdoor HVAC energy NS</t>
  </si>
  <si>
    <t>7. Outdoor HVAC energy ON</t>
  </si>
  <si>
    <t>7. Outdoor HVAC energy PE</t>
  </si>
  <si>
    <t>electricity, high voltage, production mix | electricity, high voltage | Cutoff, U - CA-NT</t>
  </si>
  <si>
    <t>electricity, high voltage, production mix | electricity, high voltage | Cutoff, U - CA-NS</t>
  </si>
  <si>
    <t>QC outdoor</t>
  </si>
  <si>
    <t>SK Outdoor</t>
  </si>
  <si>
    <t>YU Outdoor</t>
  </si>
  <si>
    <t>1. Full outdoor production SK</t>
  </si>
  <si>
    <t>1. Full outdoor production YU</t>
  </si>
  <si>
    <t>2. Outdoor drying of fresh cannabis SK</t>
  </si>
  <si>
    <t>2. Outdoor drying of fresh cannabis YU</t>
  </si>
  <si>
    <t>4. Outdoor growing SK</t>
  </si>
  <si>
    <t>4. Outdoor growing YU</t>
  </si>
  <si>
    <t>7. Outdoor HVAC energy SK</t>
  </si>
  <si>
    <t>7. Outdoor HVAC energy YU</t>
  </si>
  <si>
    <t>Avg Can Outdoor</t>
  </si>
  <si>
    <t>AVG CAN OUT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</si>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</sst>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0.0"/>
    <numFmt numFmtId="167" formatCode="0.00000"/>
    <numFmt numFmtId="168" formatCode="0.000"/>
    <numFmt numFmtId="169" formatCode="0.0000"/>
    <numFmt numFmtId="170" formatCode="#,##0.0_);\(#,##0.0\)"/>
    <numFmt numFmtId="171" formatCode="0.0_)"/>
    <numFmt numFmtId="172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color theme="1"/>
      <name val="Cambria"/>
      <family val="1"/>
    </font>
    <font>
      <sz val="11"/>
      <name val="Cambria"/>
      <family val="1"/>
    </font>
    <font>
      <b/>
      <sz val="16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8"/>
      <name val="Helv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Noto Sans"/>
      <family val="2"/>
      <charset val="1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8">
    <xf numFmtId="0" fontId="0" fillId="0" borderId="0"/>
    <xf numFmtId="9" fontId="12" fillId="0" borderId="0" applyFont="0" applyFill="0" applyBorder="0" applyAlignment="0" applyProtection="0"/>
    <xf numFmtId="0" fontId="21" fillId="0" borderId="0"/>
    <xf numFmtId="0" fontId="22" fillId="0" borderId="0">
      <alignment horizontal="left"/>
    </xf>
    <xf numFmtId="0" fontId="25" fillId="0" borderId="0">
      <alignment horizontal="left"/>
    </xf>
    <xf numFmtId="0" fontId="12" fillId="0" borderId="0"/>
    <xf numFmtId="0" fontId="20" fillId="0" borderId="0"/>
    <xf numFmtId="0" fontId="21" fillId="0" borderId="0"/>
  </cellStyleXfs>
  <cellXfs count="323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5" fillId="0" borderId="0" xfId="0" applyFont="1"/>
    <xf numFmtId="0" fontId="5" fillId="0" borderId="0" xfId="0" quotePrefix="1" applyFont="1"/>
    <xf numFmtId="164" fontId="5" fillId="0" borderId="0" xfId="0" applyNumberFormat="1" applyFont="1"/>
    <xf numFmtId="9" fontId="0" fillId="0" borderId="0" xfId="1" applyFont="1"/>
    <xf numFmtId="49" fontId="5" fillId="0" borderId="4" xfId="0" quotePrefix="1" applyNumberFormat="1" applyFont="1" applyBorder="1"/>
    <xf numFmtId="16" fontId="5" fillId="0" borderId="4" xfId="0" quotePrefix="1" applyNumberFormat="1" applyFont="1" applyBorder="1"/>
    <xf numFmtId="0" fontId="5" fillId="0" borderId="4" xfId="0" quotePrefix="1" applyFont="1" applyBorder="1"/>
    <xf numFmtId="164" fontId="5" fillId="0" borderId="4" xfId="0" applyNumberFormat="1" applyFont="1" applyBorder="1"/>
    <xf numFmtId="164" fontId="5" fillId="0" borderId="2" xfId="0" applyNumberFormat="1" applyFont="1" applyBorder="1"/>
    <xf numFmtId="164" fontId="5" fillId="0" borderId="7" xfId="0" applyNumberFormat="1" applyFont="1" applyBorder="1"/>
    <xf numFmtId="164" fontId="5" fillId="0" borderId="5" xfId="0" applyNumberFormat="1" applyFont="1" applyBorder="1"/>
    <xf numFmtId="17" fontId="5" fillId="0" borderId="5" xfId="0" quotePrefix="1" applyNumberFormat="1" applyFont="1" applyBorder="1"/>
    <xf numFmtId="17" fontId="5" fillId="0" borderId="4" xfId="0" quotePrefix="1" applyNumberFormat="1" applyFont="1" applyBorder="1"/>
    <xf numFmtId="164" fontId="5" fillId="0" borderId="9" xfId="0" applyNumberFormat="1" applyFont="1" applyBorder="1"/>
    <xf numFmtId="0" fontId="5" fillId="0" borderId="5" xfId="0" quotePrefix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0" fontId="4" fillId="2" borderId="1" xfId="0" applyFont="1" applyFill="1" applyBorder="1" applyAlignment="1">
      <alignment horizontal="center" wrapText="1"/>
    </xf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3" borderId="0" xfId="0" applyFill="1"/>
    <xf numFmtId="0" fontId="0" fillId="0" borderId="21" xfId="0" applyBorder="1"/>
    <xf numFmtId="3" fontId="0" fillId="0" borderId="0" xfId="0" applyNumberFormat="1"/>
    <xf numFmtId="0" fontId="0" fillId="0" borderId="0" xfId="0" applyAlignment="1">
      <alignment horizontal="center"/>
    </xf>
    <xf numFmtId="0" fontId="14" fillId="5" borderId="22" xfId="0" applyFont="1" applyFill="1" applyBorder="1"/>
    <xf numFmtId="0" fontId="15" fillId="5" borderId="24" xfId="0" applyFont="1" applyFill="1" applyBorder="1"/>
    <xf numFmtId="0" fontId="15" fillId="5" borderId="23" xfId="0" applyFont="1" applyFill="1" applyBorder="1"/>
    <xf numFmtId="0" fontId="14" fillId="6" borderId="24" xfId="0" applyFont="1" applyFill="1" applyBorder="1"/>
    <xf numFmtId="0" fontId="15" fillId="6" borderId="24" xfId="0" applyFont="1" applyFill="1" applyBorder="1"/>
    <xf numFmtId="0" fontId="15" fillId="6" borderId="23" xfId="0" applyFont="1" applyFill="1" applyBorder="1"/>
    <xf numFmtId="0" fontId="15" fillId="0" borderId="17" xfId="0" applyFont="1" applyBorder="1"/>
    <xf numFmtId="0" fontId="15" fillId="0" borderId="0" xfId="0" applyFont="1"/>
    <xf numFmtId="0" fontId="15" fillId="0" borderId="18" xfId="0" applyFont="1" applyBorder="1"/>
    <xf numFmtId="0" fontId="15" fillId="4" borderId="22" xfId="0" applyFont="1" applyFill="1" applyBorder="1"/>
    <xf numFmtId="0" fontId="15" fillId="4" borderId="24" xfId="0" applyFont="1" applyFill="1" applyBorder="1"/>
    <xf numFmtId="0" fontId="15" fillId="4" borderId="23" xfId="0" applyFont="1" applyFill="1" applyBorder="1"/>
    <xf numFmtId="167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19" xfId="0" applyFont="1" applyBorder="1"/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15" fillId="0" borderId="20" xfId="0" applyFont="1" applyBorder="1"/>
    <xf numFmtId="0" fontId="15" fillId="0" borderId="0" xfId="1" applyNumberFormat="1" applyFont="1" applyFill="1" applyBorder="1"/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2" fontId="15" fillId="0" borderId="0" xfId="0" applyNumberFormat="1" applyFont="1"/>
    <xf numFmtId="10" fontId="15" fillId="0" borderId="0" xfId="1" applyNumberFormat="1" applyFont="1" applyBorder="1"/>
    <xf numFmtId="0" fontId="15" fillId="4" borderId="15" xfId="0" applyFont="1" applyFill="1" applyBorder="1"/>
    <xf numFmtId="0" fontId="15" fillId="4" borderId="14" xfId="0" applyFont="1" applyFill="1" applyBorder="1"/>
    <xf numFmtId="0" fontId="15" fillId="4" borderId="16" xfId="0" applyFont="1" applyFill="1" applyBorder="1"/>
    <xf numFmtId="2" fontId="15" fillId="0" borderId="15" xfId="0" applyNumberFormat="1" applyFont="1" applyBorder="1"/>
    <xf numFmtId="0" fontId="16" fillId="0" borderId="0" xfId="0" applyFont="1"/>
    <xf numFmtId="0" fontId="17" fillId="0" borderId="0" xfId="0" applyFont="1"/>
    <xf numFmtId="9" fontId="17" fillId="0" borderId="0" xfId="1" applyFont="1" applyFill="1" applyBorder="1"/>
    <xf numFmtId="0" fontId="17" fillId="0" borderId="17" xfId="0" applyFont="1" applyBorder="1"/>
    <xf numFmtId="0" fontId="14" fillId="6" borderId="22" xfId="0" applyFont="1" applyFill="1" applyBorder="1"/>
    <xf numFmtId="0" fontId="17" fillId="0" borderId="18" xfId="0" applyFont="1" applyBorder="1"/>
    <xf numFmtId="0" fontId="1" fillId="4" borderId="21" xfId="0" applyFont="1" applyFill="1" applyBorder="1"/>
    <xf numFmtId="0" fontId="0" fillId="0" borderId="21" xfId="0" quotePrefix="1" applyBorder="1"/>
    <xf numFmtId="0" fontId="0" fillId="0" borderId="21" xfId="0" applyBorder="1" applyAlignment="1">
      <alignment horizontal="left"/>
    </xf>
    <xf numFmtId="168" fontId="0" fillId="0" borderId="21" xfId="0" applyNumberFormat="1" applyBorder="1" applyAlignment="1">
      <alignment horizontal="left"/>
    </xf>
    <xf numFmtId="0" fontId="0" fillId="0" borderId="21" xfId="0" quotePrefix="1" applyBorder="1" applyAlignment="1">
      <alignment horizontal="left"/>
    </xf>
    <xf numFmtId="168" fontId="0" fillId="0" borderId="21" xfId="1" applyNumberFormat="1" applyFont="1" applyFill="1" applyBorder="1" applyAlignment="1">
      <alignment horizontal="left"/>
    </xf>
    <xf numFmtId="0" fontId="0" fillId="0" borderId="21" xfId="0" applyBorder="1" applyAlignment="1">
      <alignment wrapText="1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0" fillId="9" borderId="0" xfId="0" applyFill="1"/>
    <xf numFmtId="0" fontId="0" fillId="8" borderId="0" xfId="0" applyFill="1"/>
    <xf numFmtId="1" fontId="0" fillId="0" borderId="0" xfId="0" applyNumberFormat="1"/>
    <xf numFmtId="0" fontId="24" fillId="7" borderId="0" xfId="0" applyFont="1" applyFill="1"/>
    <xf numFmtId="0" fontId="26" fillId="7" borderId="12" xfId="4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26" fillId="7" borderId="28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26" fillId="7" borderId="0" xfId="4" applyFont="1" applyFill="1" applyAlignment="1">
      <alignment horizontal="left" wrapText="1"/>
    </xf>
    <xf numFmtId="166" fontId="27" fillId="7" borderId="0" xfId="0" applyNumberFormat="1" applyFont="1" applyFill="1" applyAlignment="1">
      <alignment horizontal="right"/>
    </xf>
    <xf numFmtId="170" fontId="27" fillId="7" borderId="0" xfId="5" applyNumberFormat="1" applyFont="1" applyFill="1" applyAlignment="1">
      <alignment horizontal="right"/>
    </xf>
    <xf numFmtId="171" fontId="27" fillId="7" borderId="0" xfId="0" applyNumberFormat="1" applyFont="1" applyFill="1"/>
    <xf numFmtId="170" fontId="27" fillId="7" borderId="0" xfId="0" applyNumberFormat="1" applyFont="1" applyFill="1"/>
    <xf numFmtId="170" fontId="27" fillId="7" borderId="0" xfId="0" applyNumberFormat="1" applyFont="1" applyFill="1" applyAlignment="1">
      <alignment horizontal="right"/>
    </xf>
    <xf numFmtId="0" fontId="27" fillId="7" borderId="0" xfId="0" applyFont="1" applyFill="1"/>
    <xf numFmtId="0" fontId="27" fillId="7" borderId="0" xfId="4" applyFont="1" applyFill="1" applyAlignment="1">
      <alignment horizontal="left" indent="1"/>
    </xf>
    <xf numFmtId="170" fontId="27" fillId="7" borderId="0" xfId="5" applyNumberFormat="1" applyFont="1" applyFill="1" applyAlignment="1">
      <alignment horizontal="right" vertical="center"/>
    </xf>
    <xf numFmtId="166" fontId="27" fillId="7" borderId="0" xfId="4" applyNumberFormat="1" applyFont="1" applyFill="1" applyAlignment="1">
      <alignment horizontal="right"/>
    </xf>
    <xf numFmtId="0" fontId="26" fillId="7" borderId="0" xfId="4" applyFont="1" applyFill="1">
      <alignment horizontal="left"/>
    </xf>
    <xf numFmtId="0" fontId="27" fillId="7" borderId="0" xfId="4" applyFont="1" applyFill="1" applyAlignment="1">
      <alignment horizontal="left" indent="2"/>
    </xf>
    <xf numFmtId="172" fontId="27" fillId="7" borderId="0" xfId="4" applyNumberFormat="1" applyFont="1" applyFill="1" applyAlignment="1">
      <alignment horizontal="right"/>
    </xf>
    <xf numFmtId="0" fontId="27" fillId="7" borderId="0" xfId="4" applyFont="1" applyFill="1" applyAlignment="1">
      <alignment horizontal="left" indent="3"/>
    </xf>
    <xf numFmtId="0" fontId="27" fillId="7" borderId="13" xfId="4" applyFont="1" applyFill="1" applyBorder="1" applyAlignment="1">
      <alignment horizontal="left" indent="1"/>
    </xf>
    <xf numFmtId="166" fontId="27" fillId="7" borderId="13" xfId="4" applyNumberFormat="1" applyFont="1" applyFill="1" applyBorder="1" applyAlignment="1">
      <alignment horizontal="right"/>
    </xf>
    <xf numFmtId="166" fontId="27" fillId="7" borderId="13" xfId="0" applyNumberFormat="1" applyFont="1" applyFill="1" applyBorder="1" applyAlignment="1">
      <alignment horizontal="right"/>
    </xf>
    <xf numFmtId="172" fontId="27" fillId="7" borderId="13" xfId="4" applyNumberFormat="1" applyFont="1" applyFill="1" applyBorder="1" applyAlignment="1">
      <alignment horizontal="right"/>
    </xf>
    <xf numFmtId="0" fontId="31" fillId="7" borderId="0" xfId="0" applyFont="1" applyFill="1" applyAlignment="1">
      <alignment horizontal="left"/>
    </xf>
    <xf numFmtId="0" fontId="31" fillId="7" borderId="0" xfId="0" applyFont="1" applyFill="1"/>
    <xf numFmtId="49" fontId="30" fillId="7" borderId="0" xfId="0" applyNumberFormat="1" applyFont="1" applyFill="1" applyAlignment="1">
      <alignment horizontal="left"/>
    </xf>
    <xf numFmtId="0" fontId="34" fillId="7" borderId="0" xfId="0" applyFont="1" applyFill="1"/>
    <xf numFmtId="168" fontId="24" fillId="7" borderId="0" xfId="0" applyNumberFormat="1" applyFont="1" applyFill="1"/>
    <xf numFmtId="166" fontId="24" fillId="7" borderId="0" xfId="0" applyNumberFormat="1" applyFont="1" applyFill="1"/>
    <xf numFmtId="0" fontId="0" fillId="14" borderId="0" xfId="0" applyFill="1"/>
    <xf numFmtId="0" fontId="0" fillId="13" borderId="0" xfId="0" applyFill="1"/>
    <xf numFmtId="0" fontId="0" fillId="15" borderId="0" xfId="0" applyFill="1"/>
    <xf numFmtId="169" fontId="0" fillId="0" borderId="0" xfId="0" applyNumberFormat="1"/>
    <xf numFmtId="0" fontId="0" fillId="11" borderId="0" xfId="0" applyFill="1"/>
    <xf numFmtId="0" fontId="0" fillId="10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" fontId="1" fillId="0" borderId="0" xfId="0" applyNumberFormat="1" applyFont="1"/>
    <xf numFmtId="9" fontId="1" fillId="0" borderId="0" xfId="1" applyFont="1"/>
    <xf numFmtId="166" fontId="1" fillId="14" borderId="21" xfId="0" applyNumberFormat="1" applyFont="1" applyFill="1" applyBorder="1"/>
    <xf numFmtId="0" fontId="0" fillId="20" borderId="0" xfId="0" applyFill="1"/>
    <xf numFmtId="166" fontId="1" fillId="0" borderId="0" xfId="0" applyNumberFormat="1" applyFont="1" applyAlignment="1">
      <alignment horizontal="center" wrapText="1"/>
    </xf>
    <xf numFmtId="0" fontId="0" fillId="0" borderId="14" xfId="0" applyBorder="1"/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21" borderId="0" xfId="0" applyFill="1"/>
    <xf numFmtId="0" fontId="0" fillId="0" borderId="19" xfId="0" applyBorder="1"/>
    <xf numFmtId="0" fontId="0" fillId="8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1" borderId="0" xfId="0" applyFill="1" applyAlignment="1">
      <alignment wrapText="1"/>
    </xf>
    <xf numFmtId="0" fontId="13" fillId="0" borderId="0" xfId="0" applyFont="1" applyAlignment="1">
      <alignment wrapText="1"/>
    </xf>
    <xf numFmtId="0" fontId="13" fillId="14" borderId="0" xfId="0" applyFont="1" applyFill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0" fillId="0" borderId="18" xfId="0" applyBorder="1"/>
    <xf numFmtId="0" fontId="0" fillId="5" borderId="0" xfId="0" applyFill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5" borderId="0" xfId="0" applyFill="1"/>
    <xf numFmtId="0" fontId="0" fillId="5" borderId="13" xfId="0" applyFill="1" applyBorder="1"/>
    <xf numFmtId="0" fontId="0" fillId="0" borderId="13" xfId="0" applyBorder="1" applyAlignment="1">
      <alignment wrapText="1"/>
    </xf>
    <xf numFmtId="0" fontId="0" fillId="0" borderId="29" xfId="0" applyBorder="1"/>
    <xf numFmtId="0" fontId="0" fillId="0" borderId="24" xfId="0" applyBorder="1"/>
    <xf numFmtId="0" fontId="0" fillId="8" borderId="24" xfId="0" applyFill="1" applyBorder="1"/>
    <xf numFmtId="0" fontId="0" fillId="11" borderId="24" xfId="0" applyFill="1" applyBorder="1"/>
    <xf numFmtId="0" fontId="0" fillId="0" borderId="23" xfId="0" applyBorder="1"/>
    <xf numFmtId="0" fontId="1" fillId="0" borderId="18" xfId="0" applyFont="1" applyBorder="1"/>
    <xf numFmtId="0" fontId="0" fillId="0" borderId="20" xfId="0" applyBorder="1"/>
    <xf numFmtId="1" fontId="1" fillId="0" borderId="18" xfId="0" applyNumberFormat="1" applyFont="1" applyBorder="1"/>
    <xf numFmtId="9" fontId="0" fillId="0" borderId="0" xfId="1" applyFont="1" applyBorder="1"/>
    <xf numFmtId="9" fontId="0" fillId="0" borderId="17" xfId="1" applyFont="1" applyBorder="1"/>
    <xf numFmtId="0" fontId="0" fillId="0" borderId="0" xfId="1" applyNumberFormat="1" applyFont="1" applyBorder="1"/>
    <xf numFmtId="2" fontId="0" fillId="0" borderId="0" xfId="1" applyNumberFormat="1" applyFont="1" applyBorder="1"/>
    <xf numFmtId="0" fontId="0" fillId="23" borderId="0" xfId="0" applyFill="1"/>
    <xf numFmtId="9" fontId="0" fillId="23" borderId="0" xfId="1" applyFont="1" applyFill="1"/>
    <xf numFmtId="0" fontId="0" fillId="0" borderId="15" xfId="0" applyBorder="1"/>
    <xf numFmtId="0" fontId="0" fillId="0" borderId="16" xfId="0" applyBorder="1"/>
    <xf numFmtId="0" fontId="0" fillId="0" borderId="31" xfId="0" applyBorder="1"/>
    <xf numFmtId="3" fontId="39" fillId="0" borderId="13" xfId="0" applyNumberFormat="1" applyFont="1" applyBorder="1"/>
    <xf numFmtId="0" fontId="1" fillId="22" borderId="6" xfId="0" applyFont="1" applyFill="1" applyBorder="1"/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0" fillId="8" borderId="31" xfId="0" applyFill="1" applyBorder="1"/>
    <xf numFmtId="0" fontId="0" fillId="0" borderId="35" xfId="0" applyBorder="1"/>
    <xf numFmtId="0" fontId="0" fillId="11" borderId="31" xfId="0" applyFill="1" applyBorder="1"/>
    <xf numFmtId="0" fontId="13" fillId="0" borderId="35" xfId="0" applyFont="1" applyBorder="1"/>
    <xf numFmtId="0" fontId="0" fillId="0" borderId="36" xfId="0" applyBorder="1"/>
    <xf numFmtId="1" fontId="1" fillId="0" borderId="37" xfId="0" applyNumberFormat="1" applyFont="1" applyBorder="1"/>
    <xf numFmtId="1" fontId="1" fillId="0" borderId="38" xfId="0" applyNumberFormat="1" applyFont="1" applyBorder="1"/>
    <xf numFmtId="0" fontId="37" fillId="23" borderId="0" xfId="0" applyFont="1" applyFill="1"/>
    <xf numFmtId="0" fontId="0" fillId="0" borderId="30" xfId="0" applyBorder="1"/>
    <xf numFmtId="0" fontId="1" fillId="23" borderId="17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40" fillId="0" borderId="16" xfId="0" applyFont="1" applyBorder="1"/>
    <xf numFmtId="0" fontId="0" fillId="0" borderId="39" xfId="0" applyBorder="1"/>
    <xf numFmtId="0" fontId="0" fillId="0" borderId="40" xfId="0" applyBorder="1"/>
    <xf numFmtId="0" fontId="1" fillId="0" borderId="40" xfId="0" applyFont="1" applyBorder="1"/>
    <xf numFmtId="0" fontId="0" fillId="0" borderId="41" xfId="0" applyBorder="1"/>
    <xf numFmtId="10" fontId="0" fillId="0" borderId="17" xfId="0" applyNumberFormat="1" applyBorder="1"/>
    <xf numFmtId="10" fontId="0" fillId="0" borderId="0" xfId="0" applyNumberFormat="1"/>
    <xf numFmtId="11" fontId="0" fillId="0" borderId="17" xfId="0" applyNumberFormat="1" applyBorder="1" applyAlignment="1">
      <alignment wrapText="1"/>
    </xf>
    <xf numFmtId="11" fontId="0" fillId="0" borderId="17" xfId="0" applyNumberFormat="1" applyBorder="1"/>
    <xf numFmtId="11" fontId="0" fillId="0" borderId="19" xfId="0" applyNumberFormat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horizontal="left" vertical="center"/>
    </xf>
    <xf numFmtId="0" fontId="39" fillId="0" borderId="0" xfId="0" applyFont="1"/>
    <xf numFmtId="3" fontId="39" fillId="0" borderId="0" xfId="0" applyNumberFormat="1" applyFont="1"/>
    <xf numFmtId="0" fontId="0" fillId="0" borderId="31" xfId="0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37" fillId="0" borderId="0" xfId="0" applyFont="1" applyAlignment="1">
      <alignment vertical="center" wrapText="1"/>
    </xf>
    <xf numFmtId="0" fontId="0" fillId="24" borderId="7" xfId="0" applyFill="1" applyBorder="1"/>
    <xf numFmtId="0" fontId="0" fillId="24" borderId="17" xfId="0" applyFill="1" applyBorder="1"/>
    <xf numFmtId="1" fontId="0" fillId="24" borderId="29" xfId="0" applyNumberFormat="1" applyFill="1" applyBorder="1"/>
    <xf numFmtId="1" fontId="0" fillId="24" borderId="19" xfId="0" applyNumberFormat="1" applyFill="1" applyBorder="1"/>
    <xf numFmtId="0" fontId="1" fillId="25" borderId="17" xfId="0" applyFont="1" applyFill="1" applyBorder="1" applyAlignment="1">
      <alignment wrapText="1"/>
    </xf>
    <xf numFmtId="0" fontId="0" fillId="24" borderId="6" xfId="0" applyFill="1" applyBorder="1"/>
    <xf numFmtId="0" fontId="0" fillId="24" borderId="29" xfId="0" applyFill="1" applyBorder="1"/>
    <xf numFmtId="2" fontId="0" fillId="0" borderId="17" xfId="0" applyNumberFormat="1" applyBorder="1"/>
    <xf numFmtId="0" fontId="0" fillId="0" borderId="43" xfId="0" applyBorder="1"/>
    <xf numFmtId="0" fontId="1" fillId="0" borderId="30" xfId="0" applyFont="1" applyBorder="1"/>
    <xf numFmtId="1" fontId="1" fillId="0" borderId="24" xfId="0" applyNumberFormat="1" applyFont="1" applyBorder="1"/>
    <xf numFmtId="1" fontId="1" fillId="0" borderId="23" xfId="0" applyNumberFormat="1" applyFont="1" applyBorder="1"/>
    <xf numFmtId="0" fontId="1" fillId="0" borderId="24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0" borderId="42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0" fillId="14" borderId="22" xfId="0" applyFill="1" applyBorder="1" applyAlignment="1">
      <alignment horizontal="center" vertical="center" wrapText="1"/>
    </xf>
    <xf numFmtId="0" fontId="0" fillId="20" borderId="2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4" borderId="25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6" fillId="0" borderId="14" xfId="0" applyFont="1" applyBorder="1" applyAlignment="1">
      <alignment horizontal="left" wrapText="1"/>
    </xf>
    <xf numFmtId="0" fontId="36" fillId="0" borderId="15" xfId="0" applyFont="1" applyBorder="1" applyAlignment="1">
      <alignment horizontal="left"/>
    </xf>
    <xf numFmtId="0" fontId="36" fillId="0" borderId="16" xfId="0" applyFont="1" applyBorder="1" applyAlignment="1">
      <alignment horizontal="left"/>
    </xf>
    <xf numFmtId="0" fontId="0" fillId="24" borderId="22" xfId="0" applyFill="1" applyBorder="1" applyAlignment="1">
      <alignment horizontal="center"/>
    </xf>
    <xf numFmtId="0" fontId="0" fillId="24" borderId="24" xfId="0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7" fillId="23" borderId="0" xfId="0" applyFont="1" applyFill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7" fillId="12" borderId="14" xfId="0" applyFont="1" applyFill="1" applyBorder="1" applyAlignment="1">
      <alignment horizontal="center" vertical="center"/>
    </xf>
    <xf numFmtId="0" fontId="37" fillId="12" borderId="15" xfId="0" applyFont="1" applyFill="1" applyBorder="1" applyAlignment="1">
      <alignment horizontal="center" vertical="center"/>
    </xf>
    <xf numFmtId="0" fontId="37" fillId="12" borderId="16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 wrapText="1"/>
    </xf>
    <xf numFmtId="0" fontId="37" fillId="12" borderId="24" xfId="0" applyFont="1" applyFill="1" applyBorder="1" applyAlignment="1">
      <alignment horizontal="center" vertical="center" wrapText="1"/>
    </xf>
    <xf numFmtId="0" fontId="37" fillId="12" borderId="23" xfId="0" applyFont="1" applyFill="1" applyBorder="1" applyAlignment="1">
      <alignment horizontal="center" vertical="center" wrapText="1"/>
    </xf>
    <xf numFmtId="9" fontId="0" fillId="0" borderId="15" xfId="1" applyFont="1" applyBorder="1" applyAlignment="1">
      <alignment horizontal="center"/>
    </xf>
    <xf numFmtId="0" fontId="37" fillId="12" borderId="22" xfId="0" applyFont="1" applyFill="1" applyBorder="1" applyAlignment="1">
      <alignment horizontal="center" wrapText="1"/>
    </xf>
    <xf numFmtId="0" fontId="37" fillId="12" borderId="24" xfId="0" applyFont="1" applyFill="1" applyBorder="1" applyAlignment="1">
      <alignment horizontal="center" wrapText="1"/>
    </xf>
    <xf numFmtId="0" fontId="37" fillId="12" borderId="23" xfId="0" applyFont="1" applyFill="1" applyBorder="1" applyAlignment="1">
      <alignment horizontal="center" wrapText="1"/>
    </xf>
    <xf numFmtId="0" fontId="37" fillId="22" borderId="0" xfId="0" applyFon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0" borderId="42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37" fillId="0" borderId="17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7" fillId="24" borderId="17" xfId="0" applyFont="1" applyFill="1" applyBorder="1" applyAlignment="1">
      <alignment horizontal="center"/>
    </xf>
    <xf numFmtId="0" fontId="37" fillId="24" borderId="0" xfId="0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37" fillId="12" borderId="24" xfId="0" applyFont="1" applyFill="1" applyBorder="1" applyAlignment="1">
      <alignment horizontal="center" vertical="center"/>
    </xf>
    <xf numFmtId="0" fontId="37" fillId="12" borderId="2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49" fontId="31" fillId="7" borderId="0" xfId="0" applyNumberFormat="1" applyFont="1" applyFill="1" applyAlignment="1">
      <alignment horizontal="left" wrapText="1"/>
    </xf>
    <xf numFmtId="49" fontId="30" fillId="7" borderId="0" xfId="0" applyNumberFormat="1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46" fontId="31" fillId="7" borderId="0" xfId="0" applyNumberFormat="1" applyFont="1" applyFill="1" applyAlignment="1">
      <alignment horizontal="left" wrapText="1"/>
    </xf>
    <xf numFmtId="49" fontId="33" fillId="7" borderId="0" xfId="0" applyNumberFormat="1" applyFont="1" applyFill="1" applyAlignment="1">
      <alignment horizontal="left" wrapText="1"/>
    </xf>
    <xf numFmtId="0" fontId="32" fillId="7" borderId="0" xfId="4" applyFont="1" applyFill="1" applyAlignment="1">
      <alignment horizontal="left" wrapText="1"/>
    </xf>
    <xf numFmtId="0" fontId="30" fillId="7" borderId="0" xfId="4" applyFont="1" applyFill="1" applyAlignment="1">
      <alignment horizontal="left" wrapText="1"/>
    </xf>
    <xf numFmtId="0" fontId="31" fillId="7" borderId="0" xfId="4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23" fillId="7" borderId="13" xfId="3" applyFont="1" applyFill="1" applyBorder="1" applyAlignment="1">
      <alignment horizontal="left" wrapText="1"/>
    </xf>
    <xf numFmtId="0" fontId="30" fillId="7" borderId="15" xfId="4" applyFont="1" applyFill="1" applyBorder="1" applyAlignment="1">
      <alignment horizontal="left" wrapText="1"/>
    </xf>
    <xf numFmtId="0" fontId="31" fillId="7" borderId="0" xfId="2" applyFont="1" applyFill="1" applyAlignment="1">
      <alignment horizontal="left" wrapText="1"/>
    </xf>
    <xf numFmtId="0" fontId="19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8">
    <cellStyle name="Normal" xfId="0" builtinId="0"/>
    <cellStyle name="Normal 2" xfId="2" xr:uid="{00000000-0005-0000-0000-000004000000}"/>
    <cellStyle name="Normal 2 3" xfId="7" xr:uid="{00000000-0005-0000-0000-000005000000}"/>
    <cellStyle name="Normal 3" xfId="6" xr:uid="{00000000-0005-0000-0000-000006000000}"/>
    <cellStyle name="Normal 8" xfId="5" xr:uid="{00000000-0005-0000-0000-000007000000}"/>
    <cellStyle name="Percent" xfId="1" builtinId="5"/>
    <cellStyle name="Source Text" xfId="4" xr:uid="{00000000-0005-0000-0000-000009000000}"/>
    <cellStyle name="Title-2" xfId="3" xr:uid="{00000000-0005-0000-0000-00000A000000}"/>
  </cellStyles>
  <dxfs count="0"/>
  <tableStyles count="0" defaultTableStyle="TableStyleMedium2" defaultPivotStyle="PivotStyleLight16"/>
  <colors>
    <mruColors>
      <color rgb="FFE46C0A"/>
      <color rgb="FF00B7FA"/>
      <color rgb="FF0073C6"/>
      <color rgb="FF492303"/>
      <color rgb="FF748A42"/>
      <color rgb="FF333300"/>
      <color rgb="FFFFFF99"/>
      <color rgb="FF9CD1E0"/>
      <color rgb="FFFFFBF7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70621186183685"/>
          <c:y val="3.1811557662545599E-2"/>
          <c:w val="0.52072171550608415"/>
          <c:h val="0.79670006815076644"/>
        </c:manualLayout>
      </c:layout>
      <c:barChart>
        <c:barDir val="col"/>
        <c:grouping val="stacked"/>
        <c:varyColors val="0"/>
        <c:ser>
          <c:idx val="11"/>
          <c:order val="0"/>
          <c:tx>
            <c:strRef>
              <c:f>'Figures MATLAB'!$I$57</c:f>
              <c:strCache>
                <c:ptCount val="1"/>
                <c:pt idx="0">
                  <c:v>Sequestered CO2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MATLAB'!$J$57:$V$57</c:f>
              <c:numCache>
                <c:formatCode>General</c:formatCode>
                <c:ptCount val="13"/>
                <c:pt idx="0">
                  <c:v>-205.10399767898235</c:v>
                </c:pt>
                <c:pt idx="1">
                  <c:v>-205.10399767898235</c:v>
                </c:pt>
                <c:pt idx="2">
                  <c:v>-205.10399767898235</c:v>
                </c:pt>
                <c:pt idx="3">
                  <c:v>-205.10399767898235</c:v>
                </c:pt>
                <c:pt idx="4">
                  <c:v>-205.10399767898235</c:v>
                </c:pt>
                <c:pt idx="5">
                  <c:v>-205.10399767898235</c:v>
                </c:pt>
                <c:pt idx="6">
                  <c:v>-205.10399767898235</c:v>
                </c:pt>
                <c:pt idx="7">
                  <c:v>-205.10399767898235</c:v>
                </c:pt>
                <c:pt idx="8">
                  <c:v>-205.10399767898235</c:v>
                </c:pt>
                <c:pt idx="9">
                  <c:v>-205.10399767898235</c:v>
                </c:pt>
                <c:pt idx="10">
                  <c:v>-205.10399767898235</c:v>
                </c:pt>
                <c:pt idx="11">
                  <c:v>-205.10399767898235</c:v>
                </c:pt>
                <c:pt idx="12">
                  <c:v>-205.10399767898235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C5F-4315-B176-4B609B373388}"/>
            </c:ext>
          </c:extLst>
        </c:ser>
        <c:ser>
          <c:idx val="4"/>
          <c:order val="1"/>
          <c:tx>
            <c:strRef>
              <c:f>'Figures MATLAB'!$I$54</c:f>
              <c:strCache>
                <c:ptCount val="1"/>
                <c:pt idx="0">
                  <c:v>Growth CO2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MATLAB'!$J$54:$V$54</c:f>
              <c:numCache>
                <c:formatCode>General</c:formatCode>
                <c:ptCount val="13"/>
                <c:pt idx="0">
                  <c:v>577.00324085701698</c:v>
                </c:pt>
                <c:pt idx="1">
                  <c:v>577.00324085701698</c:v>
                </c:pt>
                <c:pt idx="2">
                  <c:v>577.00324085701698</c:v>
                </c:pt>
                <c:pt idx="3">
                  <c:v>577.00324085701698</c:v>
                </c:pt>
                <c:pt idx="4">
                  <c:v>577.00324085701698</c:v>
                </c:pt>
                <c:pt idx="5">
                  <c:v>577.00324085701698</c:v>
                </c:pt>
                <c:pt idx="6">
                  <c:v>577.00324085701698</c:v>
                </c:pt>
                <c:pt idx="7">
                  <c:v>577.00324085701698</c:v>
                </c:pt>
                <c:pt idx="8">
                  <c:v>577.00324085701709</c:v>
                </c:pt>
                <c:pt idx="9">
                  <c:v>577.00324085701709</c:v>
                </c:pt>
                <c:pt idx="10">
                  <c:v>577.00324085701698</c:v>
                </c:pt>
                <c:pt idx="11">
                  <c:v>577.00324085701698</c:v>
                </c:pt>
                <c:pt idx="12">
                  <c:v>577.00324085701698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F-4315-B176-4B609B373388}"/>
            </c:ext>
          </c:extLst>
        </c:ser>
        <c:ser>
          <c:idx val="12"/>
          <c:order val="2"/>
          <c:tx>
            <c:strRef>
              <c:f>'Figures MATLAB'!$I$59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1E52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MATLAB'!$J$59:$V$59</c:f>
              <c:numCache>
                <c:formatCode>General</c:formatCode>
                <c:ptCount val="13"/>
                <c:pt idx="0">
                  <c:v>442.98417043108617</c:v>
                </c:pt>
                <c:pt idx="1">
                  <c:v>442.98417043108617</c:v>
                </c:pt>
                <c:pt idx="2">
                  <c:v>442.98417043108623</c:v>
                </c:pt>
                <c:pt idx="3">
                  <c:v>442.98417043108617</c:v>
                </c:pt>
                <c:pt idx="4">
                  <c:v>442.98417043108623</c:v>
                </c:pt>
                <c:pt idx="5">
                  <c:v>442.98417043108623</c:v>
                </c:pt>
                <c:pt idx="6">
                  <c:v>442.98417043108623</c:v>
                </c:pt>
                <c:pt idx="7">
                  <c:v>442.98417043108623</c:v>
                </c:pt>
                <c:pt idx="8">
                  <c:v>442.98417043108611</c:v>
                </c:pt>
                <c:pt idx="9">
                  <c:v>442.98417043108611</c:v>
                </c:pt>
                <c:pt idx="10">
                  <c:v>442.98417043108617</c:v>
                </c:pt>
                <c:pt idx="11">
                  <c:v>442.98417043108617</c:v>
                </c:pt>
                <c:pt idx="12">
                  <c:v>442.98417043108617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C5F-4315-B176-4B609B373388}"/>
            </c:ext>
          </c:extLst>
        </c:ser>
        <c:ser>
          <c:idx val="10"/>
          <c:order val="3"/>
          <c:tx>
            <c:strRef>
              <c:f>'Figures MATLAB'!$I$53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308298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MATLAB'!$J$53:$V$53</c:f>
              <c:numCache>
                <c:formatCode>General</c:formatCode>
                <c:ptCount val="13"/>
                <c:pt idx="0">
                  <c:v>265.21758314412523</c:v>
                </c:pt>
                <c:pt idx="1">
                  <c:v>265.21758314412529</c:v>
                </c:pt>
                <c:pt idx="2">
                  <c:v>265.21758314412529</c:v>
                </c:pt>
                <c:pt idx="3">
                  <c:v>265.21758314412529</c:v>
                </c:pt>
                <c:pt idx="4">
                  <c:v>265.21758314412523</c:v>
                </c:pt>
                <c:pt idx="5">
                  <c:v>265.21758314412523</c:v>
                </c:pt>
                <c:pt idx="6">
                  <c:v>265.21758314412523</c:v>
                </c:pt>
                <c:pt idx="7">
                  <c:v>265.21758314412523</c:v>
                </c:pt>
                <c:pt idx="8">
                  <c:v>265.21758314412529</c:v>
                </c:pt>
                <c:pt idx="9">
                  <c:v>265.21758314412529</c:v>
                </c:pt>
                <c:pt idx="10">
                  <c:v>265.21758314412529</c:v>
                </c:pt>
                <c:pt idx="11">
                  <c:v>265.21758314412529</c:v>
                </c:pt>
                <c:pt idx="12">
                  <c:v>265.21758314412523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C5F-4315-B176-4B609B373388}"/>
            </c:ext>
          </c:extLst>
        </c:ser>
        <c:ser>
          <c:idx val="2"/>
          <c:order val="4"/>
          <c:tx>
            <c:strRef>
              <c:f>'Figures MATLAB'!$I$52</c:f>
              <c:strCache>
                <c:ptCount val="1"/>
                <c:pt idx="0">
                  <c:v>Grow Lights</c:v>
                </c:pt>
              </c:strCache>
            </c:strRef>
          </c:tx>
          <c:spPr>
            <a:solidFill>
              <a:srgbClr val="4BACC6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MATLAB'!$J$52:$V$52</c:f>
              <c:numCache>
                <c:formatCode>General</c:formatCode>
                <c:ptCount val="13"/>
                <c:pt idx="0">
                  <c:v>1098.9719069714765</c:v>
                </c:pt>
                <c:pt idx="1">
                  <c:v>994.87181578360151</c:v>
                </c:pt>
                <c:pt idx="2">
                  <c:v>85.86879273116358</c:v>
                </c:pt>
                <c:pt idx="3">
                  <c:v>25.419097848260613</c:v>
                </c:pt>
                <c:pt idx="4">
                  <c:v>90.963692299877806</c:v>
                </c:pt>
                <c:pt idx="5">
                  <c:v>20.806198238744877</c:v>
                </c:pt>
                <c:pt idx="6">
                  <c:v>113.14689042205895</c:v>
                </c:pt>
                <c:pt idx="7">
                  <c:v>71.534393944577658</c:v>
                </c:pt>
                <c:pt idx="8">
                  <c:v>507.59805703156974</c:v>
                </c:pt>
                <c:pt idx="9">
                  <c:v>202.76108283617262</c:v>
                </c:pt>
                <c:pt idx="10">
                  <c:v>1287.0129910537044</c:v>
                </c:pt>
                <c:pt idx="11">
                  <c:v>994.87181578360151</c:v>
                </c:pt>
                <c:pt idx="12">
                  <c:v>1098.9719069714765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F-4315-B176-4B609B373388}"/>
            </c:ext>
          </c:extLst>
        </c:ser>
        <c:ser>
          <c:idx val="1"/>
          <c:order val="5"/>
          <c:tx>
            <c:strRef>
              <c:f>'Figures MATLAB'!$I$51</c:f>
              <c:strCache>
                <c:ptCount val="1"/>
                <c:pt idx="0">
                  <c:v>HVAC Humidity Management</c:v>
                </c:pt>
              </c:strCache>
            </c:strRef>
          </c:tx>
          <c:spPr>
            <a:solidFill>
              <a:srgbClr val="9CD1E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MATLAB'!$J$51:$V$51</c:f>
              <c:numCache>
                <c:formatCode>General</c:formatCode>
                <c:ptCount val="13"/>
                <c:pt idx="0">
                  <c:v>616.45971512332005</c:v>
                </c:pt>
                <c:pt idx="1">
                  <c:v>668.29800022428719</c:v>
                </c:pt>
                <c:pt idx="2">
                  <c:v>407.93849596539877</c:v>
                </c:pt>
                <c:pt idx="3">
                  <c:v>514.75987799537029</c:v>
                </c:pt>
                <c:pt idx="4">
                  <c:v>566.8116890788516</c:v>
                </c:pt>
                <c:pt idx="5">
                  <c:v>587.0969665813559</c:v>
                </c:pt>
                <c:pt idx="6">
                  <c:v>557.03563864642786</c:v>
                </c:pt>
                <c:pt idx="7">
                  <c:v>636.11559461635613</c:v>
                </c:pt>
                <c:pt idx="8">
                  <c:v>609.07678308435186</c:v>
                </c:pt>
                <c:pt idx="9">
                  <c:v>663.88388986292159</c:v>
                </c:pt>
                <c:pt idx="10">
                  <c:v>702.5286163654846</c:v>
                </c:pt>
                <c:pt idx="11">
                  <c:v>668.29800022428719</c:v>
                </c:pt>
                <c:pt idx="12">
                  <c:v>616.45971512332005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F-4315-B176-4B609B373388}"/>
            </c:ext>
          </c:extLst>
        </c:ser>
        <c:ser>
          <c:idx val="0"/>
          <c:order val="6"/>
          <c:tx>
            <c:strRef>
              <c:f>'Figures MATLAB'!$I$50</c:f>
              <c:strCache>
                <c:ptCount val="1"/>
                <c:pt idx="0">
                  <c:v>HVAC Heating and Cooling</c:v>
                </c:pt>
              </c:strCache>
            </c:strRef>
          </c:tx>
          <c:spPr>
            <a:solidFill>
              <a:srgbClr val="E2F1F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MATLAB'!$J$50:$V$50</c:f>
              <c:numCache>
                <c:formatCode>General</c:formatCode>
                <c:ptCount val="13"/>
                <c:pt idx="0">
                  <c:v>1672.5372855917024</c:v>
                </c:pt>
                <c:pt idx="1">
                  <c:v>1712.0069263344308</c:v>
                </c:pt>
                <c:pt idx="2">
                  <c:v>1292.9687448411896</c:v>
                </c:pt>
                <c:pt idx="3">
                  <c:v>1345.1916208721077</c:v>
                </c:pt>
                <c:pt idx="4">
                  <c:v>1429.4068741663498</c:v>
                </c:pt>
                <c:pt idx="5">
                  <c:v>1647.2446392897839</c:v>
                </c:pt>
                <c:pt idx="6">
                  <c:v>1649.0635674811645</c:v>
                </c:pt>
                <c:pt idx="7">
                  <c:v>1890.6977263673368</c:v>
                </c:pt>
                <c:pt idx="8">
                  <c:v>1375.9512266974614</c:v>
                </c:pt>
                <c:pt idx="9">
                  <c:v>1950.8469750546994</c:v>
                </c:pt>
                <c:pt idx="10">
                  <c:v>1232.7708965248141</c:v>
                </c:pt>
                <c:pt idx="11">
                  <c:v>1712.0069263344308</c:v>
                </c:pt>
                <c:pt idx="12">
                  <c:v>1672.5372855917024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F-4315-B176-4B609B373388}"/>
            </c:ext>
          </c:extLst>
        </c:ser>
        <c:ser>
          <c:idx val="6"/>
          <c:order val="11"/>
          <c:tx>
            <c:strRef>
              <c:f>'Figures MATLAB'!$I$56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56509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MATLAB'!$J$56:$V$56</c:f>
              <c:numCache>
                <c:formatCode>General</c:formatCode>
                <c:ptCount val="13"/>
                <c:pt idx="0">
                  <c:v>520.18551404120535</c:v>
                </c:pt>
                <c:pt idx="1">
                  <c:v>483.30116723785198</c:v>
                </c:pt>
                <c:pt idx="2">
                  <c:v>187.09018666885581</c:v>
                </c:pt>
                <c:pt idx="3">
                  <c:v>167.03265322725991</c:v>
                </c:pt>
                <c:pt idx="4">
                  <c:v>188.59793492974828</c:v>
                </c:pt>
                <c:pt idx="5">
                  <c:v>165.41650254305085</c:v>
                </c:pt>
                <c:pt idx="6">
                  <c:v>195.82878034778176</c:v>
                </c:pt>
                <c:pt idx="7">
                  <c:v>181.775571256885</c:v>
                </c:pt>
                <c:pt idx="8">
                  <c:v>326.81025488775674</c:v>
                </c:pt>
                <c:pt idx="9">
                  <c:v>224.3912289240711</c:v>
                </c:pt>
                <c:pt idx="10">
                  <c:v>586.35869088045524</c:v>
                </c:pt>
                <c:pt idx="11">
                  <c:v>483.30116723785198</c:v>
                </c:pt>
                <c:pt idx="12">
                  <c:v>520.18551404120535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F-4315-B176-4B609B37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31721872"/>
        <c:axId val="2031728112"/>
        <c:extLst>
          <c:ext xmlns:c15="http://schemas.microsoft.com/office/drawing/2012/chart" uri="{02D57815-91ED-43cb-92C2-25804820EDAC}">
            <c15:filteredBarSeries>
              <c15:ser>
                <c:idx val="3"/>
                <c:order val="7"/>
                <c:tx>
                  <c:strRef>
                    <c:extLst>
                      <c:ext uri="{02D57815-91ED-43cb-92C2-25804820EDAC}">
                        <c15:formulaRef>
                          <c15:sqref>'Figures MATLAB'!$I$53</c15:sqref>
                        </c15:formulaRef>
                      </c:ext>
                    </c:extLst>
                    <c:strCache>
                      <c:ptCount val="1"/>
                      <c:pt idx="0">
                        <c:v>Transportation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'Figures MATLAB'!$J$49:$V$49</c15:sqref>
                        </c15:formulaRef>
                      </c:ext>
                    </c:extLst>
                    <c:strCache>
                      <c:ptCount val="13"/>
                      <c:pt idx="0">
                        <c:v>FORMULA OUTPUT (CO2) EXAMPLE WITH AB</c:v>
                      </c:pt>
                      <c:pt idx="1">
                        <c:v>SK MATLAB</c:v>
                      </c:pt>
                      <c:pt idx="2">
                        <c:v>BC MATLAB</c:v>
                      </c:pt>
                      <c:pt idx="3">
                        <c:v>PE MATLAB</c:v>
                      </c:pt>
                      <c:pt idx="4">
                        <c:v>ON MATLAB</c:v>
                      </c:pt>
                      <c:pt idx="5">
                        <c:v>QC MATLAB</c:v>
                      </c:pt>
                      <c:pt idx="6">
                        <c:v>NL MATLAB</c:v>
                      </c:pt>
                      <c:pt idx="7">
                        <c:v>MB MATLAB</c:v>
                      </c:pt>
                      <c:pt idx="8">
                        <c:v>NB MATLAB</c:v>
                      </c:pt>
                      <c:pt idx="9">
                        <c:v>YU MATLAB</c:v>
                      </c:pt>
                      <c:pt idx="10">
                        <c:v>NS MATLAB</c:v>
                      </c:pt>
                      <c:pt idx="11">
                        <c:v>SK MATLAB</c:v>
                      </c:pt>
                      <c:pt idx="12">
                        <c:v>AB MATLAB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MATLAB'!$J$53:$S$53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265.21758314412523</c:v>
                      </c:pt>
                      <c:pt idx="1">
                        <c:v>265.21758314412529</c:v>
                      </c:pt>
                      <c:pt idx="2">
                        <c:v>265.21758314412529</c:v>
                      </c:pt>
                      <c:pt idx="3">
                        <c:v>265.21758314412529</c:v>
                      </c:pt>
                      <c:pt idx="4">
                        <c:v>265.21758314412523</c:v>
                      </c:pt>
                      <c:pt idx="5">
                        <c:v>265.21758314412523</c:v>
                      </c:pt>
                      <c:pt idx="6">
                        <c:v>265.21758314412523</c:v>
                      </c:pt>
                      <c:pt idx="7">
                        <c:v>265.21758314412523</c:v>
                      </c:pt>
                      <c:pt idx="8">
                        <c:v>265.21758314412529</c:v>
                      </c:pt>
                      <c:pt idx="9">
                        <c:v>265.21758314412529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C5F-4315-B176-4B609B373388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MATLAB'!$I$57</c15:sqref>
                        </c15:formulaRef>
                      </c:ext>
                    </c:extLst>
                    <c:strCache>
                      <c:ptCount val="1"/>
                      <c:pt idx="0">
                        <c:v>Sequestered CO2</c:v>
                      </c:pt>
                    </c:strCache>
                  </c:strRef>
                </c:tx>
                <c:spPr>
                  <a:solidFill>
                    <a:schemeClr val="accent2">
                      <a:lumMod val="75000"/>
                    </a:schemeClr>
                  </a:solidFill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MATLAB'!$J$49:$V$49</c15:sqref>
                        </c15:formulaRef>
                      </c:ext>
                    </c:extLst>
                    <c:strCache>
                      <c:ptCount val="13"/>
                      <c:pt idx="0">
                        <c:v>FORMULA OUTPUT (CO2) EXAMPLE WITH AB</c:v>
                      </c:pt>
                      <c:pt idx="1">
                        <c:v>SK MATLAB</c:v>
                      </c:pt>
                      <c:pt idx="2">
                        <c:v>BC MATLAB</c:v>
                      </c:pt>
                      <c:pt idx="3">
                        <c:v>PE MATLAB</c:v>
                      </c:pt>
                      <c:pt idx="4">
                        <c:v>ON MATLAB</c:v>
                      </c:pt>
                      <c:pt idx="5">
                        <c:v>QC MATLAB</c:v>
                      </c:pt>
                      <c:pt idx="6">
                        <c:v>NL MATLAB</c:v>
                      </c:pt>
                      <c:pt idx="7">
                        <c:v>MB MATLAB</c:v>
                      </c:pt>
                      <c:pt idx="8">
                        <c:v>NB MATLAB</c:v>
                      </c:pt>
                      <c:pt idx="9">
                        <c:v>YU MATLAB</c:v>
                      </c:pt>
                      <c:pt idx="10">
                        <c:v>NS MATLAB</c:v>
                      </c:pt>
                      <c:pt idx="11">
                        <c:v>SK MATLAB</c:v>
                      </c:pt>
                      <c:pt idx="12">
                        <c:v>AB MATLAB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MATLAB'!$J$57:$S$57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-205.10399767898235</c:v>
                      </c:pt>
                      <c:pt idx="1">
                        <c:v>-205.10399767898235</c:v>
                      </c:pt>
                      <c:pt idx="2">
                        <c:v>-205.10399767898235</c:v>
                      </c:pt>
                      <c:pt idx="3">
                        <c:v>-205.10399767898235</c:v>
                      </c:pt>
                      <c:pt idx="4">
                        <c:v>-205.10399767898235</c:v>
                      </c:pt>
                      <c:pt idx="5">
                        <c:v>-205.10399767898235</c:v>
                      </c:pt>
                      <c:pt idx="6">
                        <c:v>-205.10399767898235</c:v>
                      </c:pt>
                      <c:pt idx="7">
                        <c:v>-205.10399767898235</c:v>
                      </c:pt>
                      <c:pt idx="8">
                        <c:v>-205.10399767898235</c:v>
                      </c:pt>
                      <c:pt idx="9">
                        <c:v>-205.10399767898235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F-4315-B176-4B609B373388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MATLAB'!$I$58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4BACC6">
                      <a:lumMod val="20000"/>
                      <a:lumOff val="80000"/>
                    </a:srgbClr>
                  </a:solidFill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MATLAB'!$J$49:$V$49</c15:sqref>
                        </c15:formulaRef>
                      </c:ext>
                    </c:extLst>
                    <c:strCache>
                      <c:ptCount val="13"/>
                      <c:pt idx="0">
                        <c:v>FORMULA OUTPUT (CO2) EXAMPLE WITH AB</c:v>
                      </c:pt>
                      <c:pt idx="1">
                        <c:v>SK MATLAB</c:v>
                      </c:pt>
                      <c:pt idx="2">
                        <c:v>BC MATLAB</c:v>
                      </c:pt>
                      <c:pt idx="3">
                        <c:v>PE MATLAB</c:v>
                      </c:pt>
                      <c:pt idx="4">
                        <c:v>ON MATLAB</c:v>
                      </c:pt>
                      <c:pt idx="5">
                        <c:v>QC MATLAB</c:v>
                      </c:pt>
                      <c:pt idx="6">
                        <c:v>NL MATLAB</c:v>
                      </c:pt>
                      <c:pt idx="7">
                        <c:v>MB MATLAB</c:v>
                      </c:pt>
                      <c:pt idx="8">
                        <c:v>NB MATLAB</c:v>
                      </c:pt>
                      <c:pt idx="9">
                        <c:v>YU MATLAB</c:v>
                      </c:pt>
                      <c:pt idx="10">
                        <c:v>NS MATLAB</c:v>
                      </c:pt>
                      <c:pt idx="11">
                        <c:v>SK MATLAB</c:v>
                      </c:pt>
                      <c:pt idx="12">
                        <c:v>AB MATLAB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MATLAB'!$J$58:$V$58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F-4315-B176-4B609B373388}"/>
                  </c:ext>
                </c:extLst>
              </c15:ser>
            </c15:filteredBarSeries>
            <c15:filteredBarSeries>
              <c15:ser>
                <c:idx val="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MATLAB'!$I$55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E5F3F7"/>
                  </a:solidFill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MATLAB'!$J$49:$V$49</c15:sqref>
                        </c15:formulaRef>
                      </c:ext>
                    </c:extLst>
                    <c:strCache>
                      <c:ptCount val="13"/>
                      <c:pt idx="0">
                        <c:v>FORMULA OUTPUT (CO2) EXAMPLE WITH AB</c:v>
                      </c:pt>
                      <c:pt idx="1">
                        <c:v>SK MATLAB</c:v>
                      </c:pt>
                      <c:pt idx="2">
                        <c:v>BC MATLAB</c:v>
                      </c:pt>
                      <c:pt idx="3">
                        <c:v>PE MATLAB</c:v>
                      </c:pt>
                      <c:pt idx="4">
                        <c:v>ON MATLAB</c:v>
                      </c:pt>
                      <c:pt idx="5">
                        <c:v>QC MATLAB</c:v>
                      </c:pt>
                      <c:pt idx="6">
                        <c:v>NL MATLAB</c:v>
                      </c:pt>
                      <c:pt idx="7">
                        <c:v>MB MATLAB</c:v>
                      </c:pt>
                      <c:pt idx="8">
                        <c:v>NB MATLAB</c:v>
                      </c:pt>
                      <c:pt idx="9">
                        <c:v>YU MATLAB</c:v>
                      </c:pt>
                      <c:pt idx="10">
                        <c:v>NS MATLAB</c:v>
                      </c:pt>
                      <c:pt idx="11">
                        <c:v>SK MATLAB</c:v>
                      </c:pt>
                      <c:pt idx="12">
                        <c:v>AB MATLAB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MATLAB'!$J$55:$V$55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F-4315-B176-4B609B373388}"/>
                  </c:ext>
                </c:extLst>
              </c15:ser>
            </c15:filteredBarSeries>
            <c15:filteredBa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MATLAB'!$I$59</c15:sqref>
                        </c15:formulaRef>
                      </c:ext>
                    </c:extLst>
                    <c:strCache>
                      <c:ptCount val="1"/>
                      <c:pt idx="0">
                        <c:v>Waste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MATLAB'!$J$49:$V$49</c15:sqref>
                        </c15:formulaRef>
                      </c:ext>
                    </c:extLst>
                    <c:strCache>
                      <c:ptCount val="13"/>
                      <c:pt idx="0">
                        <c:v>FORMULA OUTPUT (CO2) EXAMPLE WITH AB</c:v>
                      </c:pt>
                      <c:pt idx="1">
                        <c:v>SK MATLAB</c:v>
                      </c:pt>
                      <c:pt idx="2">
                        <c:v>BC MATLAB</c:v>
                      </c:pt>
                      <c:pt idx="3">
                        <c:v>PE MATLAB</c:v>
                      </c:pt>
                      <c:pt idx="4">
                        <c:v>ON MATLAB</c:v>
                      </c:pt>
                      <c:pt idx="5">
                        <c:v>QC MATLAB</c:v>
                      </c:pt>
                      <c:pt idx="6">
                        <c:v>NL MATLAB</c:v>
                      </c:pt>
                      <c:pt idx="7">
                        <c:v>MB MATLAB</c:v>
                      </c:pt>
                      <c:pt idx="8">
                        <c:v>NB MATLAB</c:v>
                      </c:pt>
                      <c:pt idx="9">
                        <c:v>YU MATLAB</c:v>
                      </c:pt>
                      <c:pt idx="10">
                        <c:v>NS MATLAB</c:v>
                      </c:pt>
                      <c:pt idx="11">
                        <c:v>SK MATLAB</c:v>
                      </c:pt>
                      <c:pt idx="12">
                        <c:v>AB MATLAB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MATLAB'!$J$59:$S$59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442.98417043108617</c:v>
                      </c:pt>
                      <c:pt idx="1">
                        <c:v>442.98417043108617</c:v>
                      </c:pt>
                      <c:pt idx="2">
                        <c:v>442.98417043108623</c:v>
                      </c:pt>
                      <c:pt idx="3">
                        <c:v>442.98417043108617</c:v>
                      </c:pt>
                      <c:pt idx="4">
                        <c:v>442.98417043108623</c:v>
                      </c:pt>
                      <c:pt idx="5">
                        <c:v>442.98417043108623</c:v>
                      </c:pt>
                      <c:pt idx="6">
                        <c:v>442.98417043108623</c:v>
                      </c:pt>
                      <c:pt idx="7">
                        <c:v>442.98417043108623</c:v>
                      </c:pt>
                      <c:pt idx="8">
                        <c:v>442.98417043108611</c:v>
                      </c:pt>
                      <c:pt idx="9">
                        <c:v>442.98417043108611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F-4315-B176-4B609B373388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13"/>
          <c:order val="13"/>
          <c:tx>
            <c:strRef>
              <c:f>'Figures MATLAB'!$I$60</c:f>
              <c:strCache>
                <c:ptCount val="1"/>
                <c:pt idx="0">
                  <c:v>Net GHGs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ysClr val="windowText" lastClr="000000"/>
              </a:solidFill>
              <a:ln w="19050">
                <a:solidFill>
                  <a:sysClr val="windowText" lastClr="000000"/>
                </a:solidFill>
              </a:ln>
              <a:effectLst/>
            </c:spPr>
          </c:marker>
          <c:yVal>
            <c:numRef>
              <c:f>'Figures MATLAB'!$J$60:$V$60</c:f>
              <c:numCache>
                <c:formatCode>0</c:formatCode>
                <c:ptCount val="13"/>
                <c:pt idx="0">
                  <c:v>4988.2554184809505</c:v>
                </c:pt>
                <c:pt idx="1">
                  <c:v>4938.5789063334169</c:v>
                </c:pt>
                <c:pt idx="2">
                  <c:v>3053.9672169598525</c:v>
                </c:pt>
                <c:pt idx="3">
                  <c:v>3132.5042466962441</c:v>
                </c:pt>
                <c:pt idx="4">
                  <c:v>3355.881187228073</c:v>
                </c:pt>
                <c:pt idx="5">
                  <c:v>3500.665303406181</c:v>
                </c:pt>
                <c:pt idx="6">
                  <c:v>3595.175873650679</c:v>
                </c:pt>
                <c:pt idx="7">
                  <c:v>3860.2242829384013</c:v>
                </c:pt>
                <c:pt idx="8">
                  <c:v>3899.5373184543855</c:v>
                </c:pt>
                <c:pt idx="9">
                  <c:v>4121.9841734311121</c:v>
                </c:pt>
                <c:pt idx="10">
                  <c:v>4888.7721915777038</c:v>
                </c:pt>
                <c:pt idx="11">
                  <c:v>4938.5789063334169</c:v>
                </c:pt>
                <c:pt idx="12">
                  <c:v>4988.2554184809505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7-4A1D-A192-6D3A584D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95727"/>
        <c:axId val="1988810287"/>
      </c:scatterChart>
      <c:catAx>
        <c:axId val="2031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2031728112"/>
        <c:crosses val="autoZero"/>
        <c:auto val="1"/>
        <c:lblAlgn val="ctr"/>
        <c:lblOffset val="100"/>
        <c:noMultiLvlLbl val="0"/>
      </c:catAx>
      <c:valAx>
        <c:axId val="2031728112"/>
        <c:scaling>
          <c:orientation val="minMax"/>
          <c:max val="6000"/>
          <c:min val="-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2000"/>
                  <a:t>Greenhouse Gas Emissions </a:t>
                </a:r>
              </a:p>
              <a:p>
                <a:pPr>
                  <a:defRPr sz="2000"/>
                </a:pPr>
                <a:r>
                  <a:rPr lang="en-US" sz="2000"/>
                  <a:t>(kg CO</a:t>
                </a:r>
                <a:r>
                  <a:rPr lang="en-US" sz="2000" baseline="-25000"/>
                  <a:t>2</a:t>
                </a:r>
                <a:r>
                  <a:rPr lang="en-US" sz="2000" baseline="0"/>
                  <a:t>-</a:t>
                </a:r>
                <a:r>
                  <a:rPr lang="en-US" sz="2000"/>
                  <a:t>eq per kg-dried flower)</a:t>
                </a:r>
              </a:p>
            </c:rich>
          </c:tx>
          <c:layout>
            <c:manualLayout>
              <c:xMode val="edge"/>
              <c:yMode val="edge"/>
              <c:x val="7.5394137440347323E-4"/>
              <c:y val="0.2155260313851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2031721872"/>
        <c:crosses val="autoZero"/>
        <c:crossBetween val="between"/>
        <c:majorUnit val="500"/>
      </c:valAx>
      <c:valAx>
        <c:axId val="198881028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1988795727"/>
        <c:crosses val="max"/>
        <c:crossBetween val="midCat"/>
      </c:valAx>
      <c:valAx>
        <c:axId val="1988795727"/>
        <c:scaling>
          <c:orientation val="minMax"/>
        </c:scaling>
        <c:delete val="1"/>
        <c:axPos val="b"/>
        <c:majorTickMark val="out"/>
        <c:minorTickMark val="none"/>
        <c:tickLblPos val="nextTo"/>
        <c:crossAx val="198881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63431866079910892"/>
          <c:y val="0.36527728458005926"/>
          <c:w val="0.36568133920089108"/>
          <c:h val="0.40716333878624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Gill Sans MT" panose="020B0502020104020203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279812088982"/>
          <c:y val="4.0243222315428505E-2"/>
          <c:w val="0.51674803166041239"/>
          <c:h val="0.7364028608696453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'Figures MATLAB'!$I$67</c:f>
              <c:strCache>
                <c:ptCount val="1"/>
                <c:pt idx="0">
                  <c:v>Soil</c:v>
                </c:pt>
              </c:strCache>
            </c:strRef>
          </c:tx>
          <c:spPr>
            <a:solidFill>
              <a:srgbClr val="49230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MATLAB'!$J$67:$V$67</c:f>
              <c:numCache>
                <c:formatCode>General</c:formatCode>
                <c:ptCount val="13"/>
                <c:pt idx="0">
                  <c:v>137.23311012077474</c:v>
                </c:pt>
                <c:pt idx="1">
                  <c:v>137.23311012077474</c:v>
                </c:pt>
                <c:pt idx="2">
                  <c:v>137.23311012077474</c:v>
                </c:pt>
                <c:pt idx="3">
                  <c:v>137.23311012077474</c:v>
                </c:pt>
                <c:pt idx="4">
                  <c:v>137.23311012077474</c:v>
                </c:pt>
                <c:pt idx="5">
                  <c:v>137.23311012077474</c:v>
                </c:pt>
                <c:pt idx="6">
                  <c:v>137.23311012077474</c:v>
                </c:pt>
                <c:pt idx="7">
                  <c:v>137.23311012077474</c:v>
                </c:pt>
                <c:pt idx="8">
                  <c:v>137.23311012077474</c:v>
                </c:pt>
                <c:pt idx="9">
                  <c:v>137.23311012077474</c:v>
                </c:pt>
                <c:pt idx="10">
                  <c:v>137.23311012077474</c:v>
                </c:pt>
                <c:pt idx="11">
                  <c:v>137.23311012077474</c:v>
                </c:pt>
                <c:pt idx="12">
                  <c:v>137.23311012077474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6-4887-AFAF-C89BA2F61B27}"/>
            </c:ext>
          </c:extLst>
        </c:ser>
        <c:ser>
          <c:idx val="2"/>
          <c:order val="1"/>
          <c:tx>
            <c:strRef>
              <c:f>'Figures MATLAB'!$I$70</c:f>
              <c:strCache>
                <c:ptCount val="1"/>
                <c:pt idx="0">
                  <c:v>Plant Protection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MATLAB'!$J$70:$V$70</c:f>
              <c:numCache>
                <c:formatCode>General</c:formatCode>
                <c:ptCount val="13"/>
                <c:pt idx="0">
                  <c:v>16.166942811456096</c:v>
                </c:pt>
                <c:pt idx="1">
                  <c:v>16.166942811456092</c:v>
                </c:pt>
                <c:pt idx="2">
                  <c:v>16.166942811456096</c:v>
                </c:pt>
                <c:pt idx="3">
                  <c:v>16.166942811456092</c:v>
                </c:pt>
                <c:pt idx="4">
                  <c:v>16.166942811456096</c:v>
                </c:pt>
                <c:pt idx="5">
                  <c:v>16.166942811456096</c:v>
                </c:pt>
                <c:pt idx="6">
                  <c:v>16.166942811456092</c:v>
                </c:pt>
                <c:pt idx="7">
                  <c:v>16.166942811456096</c:v>
                </c:pt>
                <c:pt idx="8">
                  <c:v>16.166942811456092</c:v>
                </c:pt>
                <c:pt idx="9">
                  <c:v>16.166942811456092</c:v>
                </c:pt>
                <c:pt idx="10">
                  <c:v>16.166942811456092</c:v>
                </c:pt>
                <c:pt idx="11">
                  <c:v>16.166942811456092</c:v>
                </c:pt>
                <c:pt idx="12">
                  <c:v>16.166942811456096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887-AFAF-C89BA2F61B27}"/>
            </c:ext>
          </c:extLst>
        </c:ser>
        <c:ser>
          <c:idx val="1"/>
          <c:order val="2"/>
          <c:tx>
            <c:strRef>
              <c:f>'Figures MATLAB'!$I$69</c:f>
              <c:strCache>
                <c:ptCount val="1"/>
                <c:pt idx="0">
                  <c:v>Nutrients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MATLAB'!$J$69:$V$69</c:f>
              <c:numCache>
                <c:formatCode>General</c:formatCode>
                <c:ptCount val="13"/>
                <c:pt idx="0">
                  <c:v>3.3122229604128841</c:v>
                </c:pt>
                <c:pt idx="1">
                  <c:v>3.3122229604128841</c:v>
                </c:pt>
                <c:pt idx="2">
                  <c:v>3.3122229604128841</c:v>
                </c:pt>
                <c:pt idx="3">
                  <c:v>3.3122229604128841</c:v>
                </c:pt>
                <c:pt idx="4">
                  <c:v>3.3122229604128841</c:v>
                </c:pt>
                <c:pt idx="5">
                  <c:v>3.3122229604128841</c:v>
                </c:pt>
                <c:pt idx="6">
                  <c:v>3.3122229604128841</c:v>
                </c:pt>
                <c:pt idx="7">
                  <c:v>3.3122229604128841</c:v>
                </c:pt>
                <c:pt idx="8">
                  <c:v>3.3122229604128837</c:v>
                </c:pt>
                <c:pt idx="9">
                  <c:v>3.3122229604128837</c:v>
                </c:pt>
                <c:pt idx="10">
                  <c:v>3.3122229604128841</c:v>
                </c:pt>
                <c:pt idx="11">
                  <c:v>3.3122229604128841</c:v>
                </c:pt>
                <c:pt idx="12">
                  <c:v>3.3122229604128841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887-AFAF-C89BA2F61B27}"/>
            </c:ext>
          </c:extLst>
        </c:ser>
        <c:ser>
          <c:idx val="4"/>
          <c:order val="3"/>
          <c:tx>
            <c:strRef>
              <c:f>'Figures MATLAB'!$I$72</c:f>
              <c:strCache>
                <c:ptCount val="1"/>
                <c:pt idx="0">
                  <c:v>Suppl. Air Conditioner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MATLAB'!$J$72:$V$72</c:f>
              <c:numCache>
                <c:formatCode>General</c:formatCode>
                <c:ptCount val="13"/>
                <c:pt idx="0">
                  <c:v>52.054653423412624</c:v>
                </c:pt>
                <c:pt idx="1">
                  <c:v>43.879264039277089</c:v>
                </c:pt>
                <c:pt idx="2">
                  <c:v>4.718348687370554</c:v>
                </c:pt>
                <c:pt idx="3">
                  <c:v>1.3952033080760751</c:v>
                </c:pt>
                <c:pt idx="4">
                  <c:v>4.6396443340931004</c:v>
                </c:pt>
                <c:pt idx="5">
                  <c:v>0.98573983722379599</c:v>
                </c:pt>
                <c:pt idx="6">
                  <c:v>5.5364845557708797</c:v>
                </c:pt>
                <c:pt idx="7">
                  <c:v>2.8418567381421971</c:v>
                </c:pt>
                <c:pt idx="8">
                  <c:v>27.391731613424948</c:v>
                </c:pt>
                <c:pt idx="9">
                  <c:v>8.0839858340811759</c:v>
                </c:pt>
                <c:pt idx="10">
                  <c:v>72.352571550489827</c:v>
                </c:pt>
                <c:pt idx="11">
                  <c:v>43.879264039277089</c:v>
                </c:pt>
                <c:pt idx="12">
                  <c:v>52.054653423412624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6-4887-AFAF-C89BA2F61B27}"/>
            </c:ext>
          </c:extLst>
        </c:ser>
        <c:ser>
          <c:idx val="6"/>
          <c:order val="4"/>
          <c:tx>
            <c:strRef>
              <c:f>'Figures MATLAB'!$I$74</c:f>
              <c:strCache>
                <c:ptCount val="1"/>
                <c:pt idx="0">
                  <c:v>Suppl. Heater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MATLAB'!$J$74:$V$74</c:f>
              <c:numCache>
                <c:formatCode>General</c:formatCode>
                <c:ptCount val="13"/>
                <c:pt idx="0">
                  <c:v>13.993059214227781</c:v>
                </c:pt>
                <c:pt idx="1">
                  <c:v>13.280290085532831</c:v>
                </c:pt>
                <c:pt idx="2">
                  <c:v>0.69252261939049964</c:v>
                </c:pt>
                <c:pt idx="3">
                  <c:v>0.21530275746116889</c:v>
                </c:pt>
                <c:pt idx="4">
                  <c:v>0.90884580658735215</c:v>
                </c:pt>
                <c:pt idx="5">
                  <c:v>0.24921902517254882</c:v>
                </c:pt>
                <c:pt idx="6">
                  <c:v>1.2770334982922729</c:v>
                </c:pt>
                <c:pt idx="7">
                  <c:v>1.1095875442268806</c:v>
                </c:pt>
                <c:pt idx="8">
                  <c:v>4.3217553503015962</c:v>
                </c:pt>
                <c:pt idx="9">
                  <c:v>3.1916408765121536</c:v>
                </c:pt>
                <c:pt idx="10">
                  <c:v>9.297639078264595</c:v>
                </c:pt>
                <c:pt idx="11">
                  <c:v>13.280290085532831</c:v>
                </c:pt>
                <c:pt idx="12">
                  <c:v>13.993059214227781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6-4887-AFAF-C89BA2F61B27}"/>
            </c:ext>
          </c:extLst>
        </c:ser>
        <c:ser>
          <c:idx val="5"/>
          <c:order val="5"/>
          <c:tx>
            <c:strRef>
              <c:f>'Figures MATLAB'!$I$73</c:f>
              <c:strCache>
                <c:ptCount val="1"/>
                <c:pt idx="0">
                  <c:v>Suppl. Dehumidifier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MATLAB'!$J$73:$V$73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6-4887-AFAF-C89BA2F61B27}"/>
            </c:ext>
          </c:extLst>
        </c:ser>
        <c:ser>
          <c:idx val="7"/>
          <c:order val="6"/>
          <c:tx>
            <c:strRef>
              <c:f>'Figures MATLAB'!$I$66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MATLAB'!$J$66:$V$66</c:f>
              <c:numCache>
                <c:formatCode>General</c:formatCode>
                <c:ptCount val="13"/>
                <c:pt idx="0">
                  <c:v>290.9288848562781</c:v>
                </c:pt>
                <c:pt idx="1">
                  <c:v>263.37059576331831</c:v>
                </c:pt>
                <c:pt idx="2">
                  <c:v>22.731991003188369</c:v>
                </c:pt>
                <c:pt idx="3">
                  <c:v>6.7290973367122993</c:v>
                </c:pt>
                <c:pt idx="4">
                  <c:v>24.080690469430891</c:v>
                </c:pt>
                <c:pt idx="5">
                  <c:v>5.5078978200748701</c:v>
                </c:pt>
                <c:pt idx="6">
                  <c:v>29.953188145137911</c:v>
                </c:pt>
                <c:pt idx="7">
                  <c:v>18.937092505083211</c:v>
                </c:pt>
                <c:pt idx="8">
                  <c:v>134.37544681696198</c:v>
                </c:pt>
                <c:pt idx="9">
                  <c:v>53.676578755894624</c:v>
                </c:pt>
                <c:pt idx="10">
                  <c:v>340.70856515450851</c:v>
                </c:pt>
                <c:pt idx="11">
                  <c:v>263.37059576331831</c:v>
                </c:pt>
                <c:pt idx="12">
                  <c:v>290.9288848562781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A-4126-8A40-11D365D5C8ED}"/>
            </c:ext>
          </c:extLst>
        </c:ser>
        <c:ser>
          <c:idx val="0"/>
          <c:order val="7"/>
          <c:tx>
            <c:strRef>
              <c:f>'Figures MATLAB'!$I$68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FFBF7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'Figures MATLAB'!$J$49:$V$49</c:f>
              <c:strCache>
                <c:ptCount val="13"/>
                <c:pt idx="0">
                  <c:v>FORMULA OUTPUT (CO2) EXAMPLE WITH AB</c:v>
                </c:pt>
                <c:pt idx="1">
                  <c:v>SK MATLAB</c:v>
                </c:pt>
                <c:pt idx="2">
                  <c:v>BC MATLAB</c:v>
                </c:pt>
                <c:pt idx="3">
                  <c:v>PE MATLAB</c:v>
                </c:pt>
                <c:pt idx="4">
                  <c:v>ON MATLAB</c:v>
                </c:pt>
                <c:pt idx="5">
                  <c:v>QC MATLAB</c:v>
                </c:pt>
                <c:pt idx="6">
                  <c:v>NL MATLAB</c:v>
                </c:pt>
                <c:pt idx="7">
                  <c:v>MB MATLAB</c:v>
                </c:pt>
                <c:pt idx="8">
                  <c:v>NB MATLAB</c:v>
                </c:pt>
                <c:pt idx="9">
                  <c:v>YU MATLAB</c:v>
                </c:pt>
                <c:pt idx="10">
                  <c:v>NS MATLAB</c:v>
                </c:pt>
                <c:pt idx="11">
                  <c:v>SK MATLAB</c:v>
                </c:pt>
                <c:pt idx="12">
                  <c:v>AB MATLAB</c:v>
                </c:pt>
              </c:strCache>
            </c:strRef>
          </c:cat>
          <c:val>
            <c:numRef>
              <c:f>'Figures MATLAB'!$J$68:$V$68</c:f>
              <c:numCache>
                <c:formatCode>General</c:formatCode>
                <c:ptCount val="13"/>
                <c:pt idx="0">
                  <c:v>6.4966406546430608</c:v>
                </c:pt>
                <c:pt idx="1">
                  <c:v>6.058741457079984</c:v>
                </c:pt>
                <c:pt idx="2">
                  <c:v>2.2350484662626466</c:v>
                </c:pt>
                <c:pt idx="3">
                  <c:v>1.9807739323666533</c:v>
                </c:pt>
                <c:pt idx="4">
                  <c:v>2.2564784269932114</c:v>
                </c:pt>
                <c:pt idx="5">
                  <c:v>1.9613699679359062</c:v>
                </c:pt>
                <c:pt idx="6">
                  <c:v>2.3497982559369643</c:v>
                </c:pt>
                <c:pt idx="7">
                  <c:v>2.1747585767889972</c:v>
                </c:pt>
                <c:pt idx="8">
                  <c:v>4.0090452144244511</c:v>
                </c:pt>
                <c:pt idx="9">
                  <c:v>2.7267475649394259</c:v>
                </c:pt>
                <c:pt idx="10">
                  <c:v>7.2876392045485892</c:v>
                </c:pt>
                <c:pt idx="11">
                  <c:v>6.058741457079984</c:v>
                </c:pt>
                <c:pt idx="12">
                  <c:v>6.4966406546430608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887-AFAF-C89BA2F6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48254880"/>
        <c:axId val="1948255296"/>
      </c:barChart>
      <c:catAx>
        <c:axId val="19482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1948255296"/>
        <c:crosses val="autoZero"/>
        <c:auto val="1"/>
        <c:lblAlgn val="ctr"/>
        <c:lblOffset val="100"/>
        <c:noMultiLvlLbl val="0"/>
      </c:catAx>
      <c:valAx>
        <c:axId val="19482552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19482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77041430175195"/>
          <c:y val="0.24782306348577174"/>
          <c:w val="0.35755721640032018"/>
          <c:h val="0.54093890865681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Gill Sans MT" panose="020B0502020104020203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'Figure OpenLCA'!$A$10</c:f>
              <c:strCache>
                <c:ptCount val="1"/>
                <c:pt idx="0">
                  <c:v>Sequestered CO2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  <a:effectLst>
              <a:softEdge rad="0"/>
            </a:effectLst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OpenLCA'!$B$10:$M$10</c:f>
              <c:numCache>
                <c:formatCode>General</c:formatCode>
                <c:ptCount val="12"/>
                <c:pt idx="0">
                  <c:v>136.04495981146655</c:v>
                </c:pt>
                <c:pt idx="1">
                  <c:v>-120.62785999994396</c:v>
                </c:pt>
                <c:pt idx="2">
                  <c:v>-120.62786</c:v>
                </c:pt>
                <c:pt idx="3">
                  <c:v>-120.62786</c:v>
                </c:pt>
                <c:pt idx="4">
                  <c:v>-120.62786</c:v>
                </c:pt>
                <c:pt idx="5">
                  <c:v>-120.62786</c:v>
                </c:pt>
                <c:pt idx="6">
                  <c:v>-120.62786</c:v>
                </c:pt>
                <c:pt idx="7">
                  <c:v>-120.62786</c:v>
                </c:pt>
                <c:pt idx="8">
                  <c:v>-120.62786</c:v>
                </c:pt>
                <c:pt idx="9">
                  <c:v>-120.62786</c:v>
                </c:pt>
                <c:pt idx="10">
                  <c:v>-120.62786</c:v>
                </c:pt>
                <c:pt idx="11">
                  <c:v>-120.627859999999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B9E-4CCF-9539-9CCE912B86E2}"/>
            </c:ext>
          </c:extLst>
        </c:ser>
        <c:ser>
          <c:idx val="4"/>
          <c:order val="1"/>
          <c:tx>
            <c:strRef>
              <c:f>'Figure OpenLCA'!$A$7</c:f>
              <c:strCache>
                <c:ptCount val="1"/>
                <c:pt idx="0">
                  <c:v>Growth CO2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58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1"/>
            <c:invertIfNegative val="0"/>
            <c:bubble3D val="0"/>
            <c:spPr>
              <a:solidFill>
                <a:srgbClr val="E46C0A"/>
              </a:solidFill>
              <a:ln w="15875"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897-4C4E-867A-426565AD134C}"/>
              </c:ext>
            </c:extLst>
          </c:dPt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OpenLCA'!$B$7:$M$7</c:f>
              <c:numCache>
                <c:formatCode>General</c:formatCode>
                <c:ptCount val="12"/>
                <c:pt idx="1">
                  <c:v>531.53414222574304</c:v>
                </c:pt>
                <c:pt idx="2">
                  <c:v>531.53414548404498</c:v>
                </c:pt>
                <c:pt idx="3">
                  <c:v>531.53414335033199</c:v>
                </c:pt>
                <c:pt idx="4">
                  <c:v>531.53414315013595</c:v>
                </c:pt>
                <c:pt idx="5">
                  <c:v>531.53414131282796</c:v>
                </c:pt>
                <c:pt idx="6">
                  <c:v>531.53414344067903</c:v>
                </c:pt>
                <c:pt idx="7">
                  <c:v>531.534142006651</c:v>
                </c:pt>
                <c:pt idx="8">
                  <c:v>531.53414319459705</c:v>
                </c:pt>
                <c:pt idx="9">
                  <c:v>531.53414396841697</c:v>
                </c:pt>
                <c:pt idx="10">
                  <c:v>531.53414404106297</c:v>
                </c:pt>
                <c:pt idx="11">
                  <c:v>531.53414298852397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CCF-9539-9CCE912B86E2}"/>
            </c:ext>
          </c:extLst>
        </c:ser>
        <c:ser>
          <c:idx val="12"/>
          <c:order val="2"/>
          <c:tx>
            <c:strRef>
              <c:f>'Figure OpenLCA'!$A$12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OpenLCA'!$B$12:$M$12</c:f>
              <c:numCache>
                <c:formatCode>General</c:formatCode>
                <c:ptCount val="12"/>
                <c:pt idx="0">
                  <c:v>-32.057267451158907</c:v>
                </c:pt>
                <c:pt idx="1">
                  <c:v>441.60871999999995</c:v>
                </c:pt>
                <c:pt idx="2">
                  <c:v>441.60871999999995</c:v>
                </c:pt>
                <c:pt idx="3">
                  <c:v>441.60871999999995</c:v>
                </c:pt>
                <c:pt idx="4">
                  <c:v>441.60871999999995</c:v>
                </c:pt>
                <c:pt idx="5">
                  <c:v>441.60871999999995</c:v>
                </c:pt>
                <c:pt idx="6">
                  <c:v>441.60871999999995</c:v>
                </c:pt>
                <c:pt idx="7">
                  <c:v>441.60871999999995</c:v>
                </c:pt>
                <c:pt idx="8">
                  <c:v>441.60871999999995</c:v>
                </c:pt>
                <c:pt idx="9">
                  <c:v>441.60871999999995</c:v>
                </c:pt>
                <c:pt idx="10">
                  <c:v>441.60871999999995</c:v>
                </c:pt>
                <c:pt idx="11">
                  <c:v>441.60871999999995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B9E-4CCF-9539-9CCE912B86E2}"/>
            </c:ext>
          </c:extLst>
        </c:ser>
        <c:ser>
          <c:idx val="1"/>
          <c:order val="3"/>
          <c:tx>
            <c:strRef>
              <c:f>'Figure OpenLCA'!$A$4</c:f>
              <c:strCache>
                <c:ptCount val="1"/>
                <c:pt idx="0">
                  <c:v>HVAC Humidity Mgmt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OpenLCA'!$B$4:$M$4</c:f>
              <c:numCache>
                <c:formatCode>General</c:formatCode>
                <c:ptCount val="12"/>
                <c:pt idx="0">
                  <c:v>89.331787137708375</c:v>
                </c:pt>
                <c:pt idx="1">
                  <c:v>520.31062670746269</c:v>
                </c:pt>
                <c:pt idx="2">
                  <c:v>656.31525612985092</c:v>
                </c:pt>
                <c:pt idx="3">
                  <c:v>719.35346076006215</c:v>
                </c:pt>
                <c:pt idx="4">
                  <c:v>749.46156844727318</c:v>
                </c:pt>
                <c:pt idx="5">
                  <c:v>709.67358686385501</c:v>
                </c:pt>
                <c:pt idx="6">
                  <c:v>754.61574828616972</c:v>
                </c:pt>
                <c:pt idx="7">
                  <c:v>811.22561792605211</c:v>
                </c:pt>
                <c:pt idx="8">
                  <c:v>819.52280808396245</c:v>
                </c:pt>
                <c:pt idx="9">
                  <c:v>827.83641844795864</c:v>
                </c:pt>
                <c:pt idx="10">
                  <c:v>834.22107279302827</c:v>
                </c:pt>
                <c:pt idx="11">
                  <c:v>766.68722570514785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E-4CCF-9539-9CCE912B86E2}"/>
            </c:ext>
          </c:extLst>
        </c:ser>
        <c:ser>
          <c:idx val="0"/>
          <c:order val="4"/>
          <c:tx>
            <c:strRef>
              <c:f>'Figure OpenLCA'!$A$3</c:f>
              <c:strCache>
                <c:ptCount val="1"/>
                <c:pt idx="0">
                  <c:v>HVAC Heating and Cooling</c:v>
                </c:pt>
              </c:strCache>
            </c:strRef>
          </c:tx>
          <c:spPr>
            <a:solidFill>
              <a:srgbClr val="7030A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OpenLCA'!$B$3:$M$3</c:f>
              <c:numCache>
                <c:formatCode>General</c:formatCode>
                <c:ptCount val="12"/>
                <c:pt idx="0">
                  <c:v>238.59000939738056</c:v>
                </c:pt>
                <c:pt idx="1">
                  <c:v>1651.7831446263779</c:v>
                </c:pt>
                <c:pt idx="2">
                  <c:v>1718.5805621143468</c:v>
                </c:pt>
                <c:pt idx="3">
                  <c:v>1826.1222738604281</c:v>
                </c:pt>
                <c:pt idx="4">
                  <c:v>2104.4843165273887</c:v>
                </c:pt>
                <c:pt idx="5">
                  <c:v>2106.7899884008229</c:v>
                </c:pt>
                <c:pt idx="6">
                  <c:v>1757.6820780869439</c:v>
                </c:pt>
                <c:pt idx="7">
                  <c:v>2415.4900577253693</c:v>
                </c:pt>
                <c:pt idx="8">
                  <c:v>2408.8814896506597</c:v>
                </c:pt>
                <c:pt idx="9">
                  <c:v>1574.6610351985316</c:v>
                </c:pt>
                <c:pt idx="10">
                  <c:v>2186.7233709126017</c:v>
                </c:pt>
                <c:pt idx="11">
                  <c:v>2146.6798842065841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E-4CCF-9539-9CCE912B86E2}"/>
            </c:ext>
          </c:extLst>
        </c:ser>
        <c:ser>
          <c:idx val="2"/>
          <c:order val="5"/>
          <c:tx>
            <c:strRef>
              <c:f>'Figure OpenLCA'!$A$5</c:f>
              <c:strCache>
                <c:ptCount val="1"/>
                <c:pt idx="0">
                  <c:v>Grow Lights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OpenLCA'!$B$5:$M$5</c:f>
              <c:numCache>
                <c:formatCode>General</c:formatCode>
                <c:ptCount val="12"/>
                <c:pt idx="0">
                  <c:v>53.600463660879328</c:v>
                </c:pt>
                <c:pt idx="1">
                  <c:v>98.662992169413471</c:v>
                </c:pt>
                <c:pt idx="2">
                  <c:v>38.940883486365252</c:v>
                </c:pt>
                <c:pt idx="3">
                  <c:v>103.21156789347376</c:v>
                </c:pt>
                <c:pt idx="4">
                  <c:v>34.683352800572798</c:v>
                </c:pt>
                <c:pt idx="5">
                  <c:v>123.98398056039342</c:v>
                </c:pt>
                <c:pt idx="6">
                  <c:v>516.802744386776</c:v>
                </c:pt>
                <c:pt idx="7">
                  <c:v>82.439390518508162</c:v>
                </c:pt>
                <c:pt idx="8">
                  <c:v>216.35610439683143</c:v>
                </c:pt>
                <c:pt idx="9">
                  <c:v>1280.7060950222483</c:v>
                </c:pt>
                <c:pt idx="10">
                  <c:v>1001.8730461221653</c:v>
                </c:pt>
                <c:pt idx="11">
                  <c:v>1108.1784676723694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E-4CCF-9539-9CCE912B86E2}"/>
            </c:ext>
          </c:extLst>
        </c:ser>
        <c:ser>
          <c:idx val="10"/>
          <c:order val="8"/>
          <c:tx>
            <c:strRef>
              <c:f>'Figure OpenLCA'!$A$6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OpenLCA'!$B$6:$M$6</c:f>
              <c:numCache>
                <c:formatCode>General</c:formatCode>
                <c:ptCount val="12"/>
                <c:pt idx="0">
                  <c:v>5.6041731114665616</c:v>
                </c:pt>
                <c:pt idx="1">
                  <c:v>50.672322156740499</c:v>
                </c:pt>
                <c:pt idx="2">
                  <c:v>50.672322172397799</c:v>
                </c:pt>
                <c:pt idx="3">
                  <c:v>50.6723222870706</c:v>
                </c:pt>
                <c:pt idx="4">
                  <c:v>50.672322214814997</c:v>
                </c:pt>
                <c:pt idx="5">
                  <c:v>50.672322119255298</c:v>
                </c:pt>
                <c:pt idx="6">
                  <c:v>50.672322054747902</c:v>
                </c:pt>
                <c:pt idx="7">
                  <c:v>50.672322039660699</c:v>
                </c:pt>
                <c:pt idx="8">
                  <c:v>50.6723222028658</c:v>
                </c:pt>
                <c:pt idx="9">
                  <c:v>50.6723224003211</c:v>
                </c:pt>
                <c:pt idx="10">
                  <c:v>50.672322261186501</c:v>
                </c:pt>
                <c:pt idx="11">
                  <c:v>50.672322353889797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B9E-4CCF-9539-9CCE912B86E2}"/>
            </c:ext>
          </c:extLst>
        </c:ser>
        <c:ser>
          <c:idx val="6"/>
          <c:order val="11"/>
          <c:tx>
            <c:strRef>
              <c:f>'Figure OpenLCA'!$A$9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58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'Figure OpenLCA'!$D$33:$D$44</c:f>
                <c:numCache>
                  <c:formatCode>General</c:formatCode>
                  <c:ptCount val="12"/>
                  <c:pt idx="0">
                    <c:v>88.2102</c:v>
                  </c:pt>
                  <c:pt idx="1">
                    <c:v>557.43222268684599</c:v>
                  </c:pt>
                  <c:pt idx="2">
                    <c:v>0</c:v>
                  </c:pt>
                  <c:pt idx="3">
                    <c:v>438.24067109460299</c:v>
                  </c:pt>
                  <c:pt idx="4">
                    <c:v>456.25141559500094</c:v>
                  </c:pt>
                  <c:pt idx="5">
                    <c:v>504.09580645196894</c:v>
                  </c:pt>
                  <c:pt idx="6">
                    <c:v>37.30392123256911</c:v>
                  </c:pt>
                  <c:pt idx="7">
                    <c:v>373.00332142452203</c:v>
                  </c:pt>
                  <c:pt idx="8">
                    <c:v>102.24105918542479</c:v>
                  </c:pt>
                  <c:pt idx="9">
                    <c:v>175.07988262302828</c:v>
                  </c:pt>
                  <c:pt idx="10">
                    <c:v>153.13865745785432</c:v>
                  </c:pt>
                  <c:pt idx="11">
                    <c:v>181.7677919974096</c:v>
                  </c:pt>
                </c:numCache>
              </c:numRef>
            </c:plus>
            <c:minus>
              <c:numRef>
                <c:f>'Figure OpenLCA'!$D$33:$D$44</c:f>
                <c:numCache>
                  <c:formatCode>General</c:formatCode>
                  <c:ptCount val="12"/>
                  <c:pt idx="0">
                    <c:v>88.2102</c:v>
                  </c:pt>
                  <c:pt idx="1">
                    <c:v>557.43222268684599</c:v>
                  </c:pt>
                  <c:pt idx="2">
                    <c:v>0</c:v>
                  </c:pt>
                  <c:pt idx="3">
                    <c:v>438.24067109460299</c:v>
                  </c:pt>
                  <c:pt idx="4">
                    <c:v>456.25141559500094</c:v>
                  </c:pt>
                  <c:pt idx="5">
                    <c:v>504.09580645196894</c:v>
                  </c:pt>
                  <c:pt idx="6">
                    <c:v>37.30392123256911</c:v>
                  </c:pt>
                  <c:pt idx="7">
                    <c:v>373.00332142452203</c:v>
                  </c:pt>
                  <c:pt idx="8">
                    <c:v>102.24105918542479</c:v>
                  </c:pt>
                  <c:pt idx="9">
                    <c:v>175.07988262302828</c:v>
                  </c:pt>
                  <c:pt idx="10">
                    <c:v>153.13865745785432</c:v>
                  </c:pt>
                  <c:pt idx="11">
                    <c:v>181.7677919974096</c:v>
                  </c:pt>
                </c:numCache>
              </c:numRef>
            </c:minus>
            <c:spPr>
              <a:noFill/>
              <a:ln w="31750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OpenLCA'!$B$9:$M$9</c:f>
              <c:numCache>
                <c:formatCode>General</c:formatCode>
                <c:ptCount val="12"/>
                <c:pt idx="0">
                  <c:v>35.235986133308906</c:v>
                </c:pt>
                <c:pt idx="1">
                  <c:v>85.268068924942199</c:v>
                </c:pt>
                <c:pt idx="2">
                  <c:v>65.397361675282781</c:v>
                </c:pt>
                <c:pt idx="3">
                  <c:v>86.631470903258588</c:v>
                </c:pt>
                <c:pt idx="4">
                  <c:v>63.902404265959035</c:v>
                </c:pt>
                <c:pt idx="5">
                  <c:v>93.452526949923083</c:v>
                </c:pt>
                <c:pt idx="6">
                  <c:v>229.75883573197524</c:v>
                </c:pt>
                <c:pt idx="7">
                  <c:v>79.324690343875801</c:v>
                </c:pt>
                <c:pt idx="8">
                  <c:v>123.43349832751436</c:v>
                </c:pt>
                <c:pt idx="9">
                  <c:v>520.62550683581594</c:v>
                </c:pt>
                <c:pt idx="10">
                  <c:v>402.62234894212611</c:v>
                </c:pt>
                <c:pt idx="11">
                  <c:v>444.14420296607688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E-4CCF-9539-9CCE912B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31721872"/>
        <c:axId val="2031728112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'Figure OpenLCA'!$A$6</c15:sqref>
                        </c15:formulaRef>
                      </c:ext>
                    </c:extLst>
                    <c:strCache>
                      <c:ptCount val="1"/>
                      <c:pt idx="0">
                        <c:v>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OpenLCA'!$B$2:$M$2</c15:sqref>
                        </c15:formulaRef>
                      </c:ext>
                    </c:extLst>
                    <c:strCache>
                      <c:ptCount val="12"/>
                      <c:pt idx="0">
                        <c:v>Avg Can Outdoor</c:v>
                      </c:pt>
                      <c:pt idx="1">
                        <c:v>BC</c:v>
                      </c:pt>
                      <c:pt idx="2">
                        <c:v>PE</c:v>
                      </c:pt>
                      <c:pt idx="3">
                        <c:v>ON</c:v>
                      </c:pt>
                      <c:pt idx="4">
                        <c:v>QC</c:v>
                      </c:pt>
                      <c:pt idx="5">
                        <c:v>NL</c:v>
                      </c:pt>
                      <c:pt idx="6">
                        <c:v>NB</c:v>
                      </c:pt>
                      <c:pt idx="7">
                        <c:v>MB</c:v>
                      </c:pt>
                      <c:pt idx="8">
                        <c:v>YU</c:v>
                      </c:pt>
                      <c:pt idx="9">
                        <c:v>NS</c:v>
                      </c:pt>
                      <c:pt idx="10">
                        <c:v>SK</c:v>
                      </c:pt>
                      <c:pt idx="11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OpenLCA'!$B$6:$J$6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5.6041731114665616</c:v>
                      </c:pt>
                      <c:pt idx="1">
                        <c:v>50.672322156740499</c:v>
                      </c:pt>
                      <c:pt idx="2">
                        <c:v>50.672322172397799</c:v>
                      </c:pt>
                      <c:pt idx="3">
                        <c:v>50.6723222870706</c:v>
                      </c:pt>
                      <c:pt idx="4">
                        <c:v>50.672322214814997</c:v>
                      </c:pt>
                      <c:pt idx="5">
                        <c:v>50.672322119255298</c:v>
                      </c:pt>
                      <c:pt idx="6">
                        <c:v>50.672322054747902</c:v>
                      </c:pt>
                      <c:pt idx="7">
                        <c:v>50.672322039660699</c:v>
                      </c:pt>
                      <c:pt idx="8">
                        <c:v>50.6723222028658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B9E-4CCF-9539-9CCE912B86E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OpenLCA'!$A$10</c15:sqref>
                        </c15:formulaRef>
                      </c:ext>
                    </c:extLst>
                    <c:strCache>
                      <c:ptCount val="1"/>
                      <c:pt idx="0">
                        <c:v>Sequestered CO2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OpenLCA'!$B$2:$M$2</c15:sqref>
                        </c15:formulaRef>
                      </c:ext>
                    </c:extLst>
                    <c:strCache>
                      <c:ptCount val="12"/>
                      <c:pt idx="0">
                        <c:v>Avg Can Outdoor</c:v>
                      </c:pt>
                      <c:pt idx="1">
                        <c:v>BC</c:v>
                      </c:pt>
                      <c:pt idx="2">
                        <c:v>PE</c:v>
                      </c:pt>
                      <c:pt idx="3">
                        <c:v>ON</c:v>
                      </c:pt>
                      <c:pt idx="4">
                        <c:v>QC</c:v>
                      </c:pt>
                      <c:pt idx="5">
                        <c:v>NL</c:v>
                      </c:pt>
                      <c:pt idx="6">
                        <c:v>NB</c:v>
                      </c:pt>
                      <c:pt idx="7">
                        <c:v>MB</c:v>
                      </c:pt>
                      <c:pt idx="8">
                        <c:v>YU</c:v>
                      </c:pt>
                      <c:pt idx="9">
                        <c:v>NS</c:v>
                      </c:pt>
                      <c:pt idx="10">
                        <c:v>SK</c:v>
                      </c:pt>
                      <c:pt idx="11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136.04495981146655</c:v>
                      </c:pt>
                      <c:pt idx="1">
                        <c:v>-120.62785999994396</c:v>
                      </c:pt>
                      <c:pt idx="2">
                        <c:v>-120.62786</c:v>
                      </c:pt>
                      <c:pt idx="3">
                        <c:v>-120.62786</c:v>
                      </c:pt>
                      <c:pt idx="4">
                        <c:v>-120.62786</c:v>
                      </c:pt>
                      <c:pt idx="5">
                        <c:v>-120.62786</c:v>
                      </c:pt>
                      <c:pt idx="6">
                        <c:v>-120.62786</c:v>
                      </c:pt>
                      <c:pt idx="7">
                        <c:v>-120.62786</c:v>
                      </c:pt>
                      <c:pt idx="8">
                        <c:v>-120.62786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9E-4CCF-9539-9CCE912B86E2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OpenLCA'!$B$2:$M$2</c15:sqref>
                        </c15:formulaRef>
                      </c:ext>
                    </c:extLst>
                    <c:strCache>
                      <c:ptCount val="12"/>
                      <c:pt idx="0">
                        <c:v>Avg Can Outdoor</c:v>
                      </c:pt>
                      <c:pt idx="1">
                        <c:v>BC</c:v>
                      </c:pt>
                      <c:pt idx="2">
                        <c:v>PE</c:v>
                      </c:pt>
                      <c:pt idx="3">
                        <c:v>ON</c:v>
                      </c:pt>
                      <c:pt idx="4">
                        <c:v>QC</c:v>
                      </c:pt>
                      <c:pt idx="5">
                        <c:v>NL</c:v>
                      </c:pt>
                      <c:pt idx="6">
                        <c:v>NB</c:v>
                      </c:pt>
                      <c:pt idx="7">
                        <c:v>MB</c:v>
                      </c:pt>
                      <c:pt idx="8">
                        <c:v>YU</c:v>
                      </c:pt>
                      <c:pt idx="9">
                        <c:v>NS</c:v>
                      </c:pt>
                      <c:pt idx="10">
                        <c:v>SK</c:v>
                      </c:pt>
                      <c:pt idx="11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9E-4CCF-9539-9CCE912B86E2}"/>
                  </c:ext>
                </c:extLst>
              </c15:ser>
            </c15:filteredBarSeries>
            <c15:filteredBarSeries>
              <c15:ser>
                <c:idx val="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OpenLCA'!$B$2:$M$2</c15:sqref>
                        </c15:formulaRef>
                      </c:ext>
                    </c:extLst>
                    <c:strCache>
                      <c:ptCount val="12"/>
                      <c:pt idx="0">
                        <c:v>Avg Can Outdoor</c:v>
                      </c:pt>
                      <c:pt idx="1">
                        <c:v>BC</c:v>
                      </c:pt>
                      <c:pt idx="2">
                        <c:v>PE</c:v>
                      </c:pt>
                      <c:pt idx="3">
                        <c:v>ON</c:v>
                      </c:pt>
                      <c:pt idx="4">
                        <c:v>QC</c:v>
                      </c:pt>
                      <c:pt idx="5">
                        <c:v>NL</c:v>
                      </c:pt>
                      <c:pt idx="6">
                        <c:v>NB</c:v>
                      </c:pt>
                      <c:pt idx="7">
                        <c:v>MB</c:v>
                      </c:pt>
                      <c:pt idx="8">
                        <c:v>YU</c:v>
                      </c:pt>
                      <c:pt idx="9">
                        <c:v>NS</c:v>
                      </c:pt>
                      <c:pt idx="10">
                        <c:v>SK</c:v>
                      </c:pt>
                      <c:pt idx="11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9E-4CCF-9539-9CCE912B86E2}"/>
                  </c:ext>
                </c:extLst>
              </c15:ser>
            </c15:filteredBarSeries>
            <c15:filteredBa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OpenLCA'!$A$12</c15:sqref>
                        </c15:formulaRef>
                      </c:ext>
                    </c:extLst>
                    <c:strCache>
                      <c:ptCount val="1"/>
                      <c:pt idx="0">
                        <c:v>Waste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OpenLCA'!$B$2:$M$2</c15:sqref>
                        </c15:formulaRef>
                      </c:ext>
                    </c:extLst>
                    <c:strCache>
                      <c:ptCount val="12"/>
                      <c:pt idx="0">
                        <c:v>Avg Can Outdoor</c:v>
                      </c:pt>
                      <c:pt idx="1">
                        <c:v>BC</c:v>
                      </c:pt>
                      <c:pt idx="2">
                        <c:v>PE</c:v>
                      </c:pt>
                      <c:pt idx="3">
                        <c:v>ON</c:v>
                      </c:pt>
                      <c:pt idx="4">
                        <c:v>QC</c:v>
                      </c:pt>
                      <c:pt idx="5">
                        <c:v>NL</c:v>
                      </c:pt>
                      <c:pt idx="6">
                        <c:v>NB</c:v>
                      </c:pt>
                      <c:pt idx="7">
                        <c:v>MB</c:v>
                      </c:pt>
                      <c:pt idx="8">
                        <c:v>YU</c:v>
                      </c:pt>
                      <c:pt idx="9">
                        <c:v>NS</c:v>
                      </c:pt>
                      <c:pt idx="10">
                        <c:v>SK</c:v>
                      </c:pt>
                      <c:pt idx="11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OpenLCA'!$B$12:$J$12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-32.057267451158907</c:v>
                      </c:pt>
                      <c:pt idx="1">
                        <c:v>441.60871999999995</c:v>
                      </c:pt>
                      <c:pt idx="2">
                        <c:v>441.60871999999995</c:v>
                      </c:pt>
                      <c:pt idx="3">
                        <c:v>441.60871999999995</c:v>
                      </c:pt>
                      <c:pt idx="4">
                        <c:v>441.60871999999995</c:v>
                      </c:pt>
                      <c:pt idx="5">
                        <c:v>441.60871999999995</c:v>
                      </c:pt>
                      <c:pt idx="6">
                        <c:v>441.60871999999995</c:v>
                      </c:pt>
                      <c:pt idx="7">
                        <c:v>441.60871999999995</c:v>
                      </c:pt>
                      <c:pt idx="8">
                        <c:v>441.60871999999995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9E-4CCF-9539-9CCE912B86E2}"/>
                  </c:ext>
                </c:extLst>
              </c15:ser>
            </c15:filteredBarSeries>
          </c:ext>
        </c:extLst>
      </c:barChart>
      <c:catAx>
        <c:axId val="2031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728112"/>
        <c:crosses val="autoZero"/>
        <c:auto val="1"/>
        <c:lblAlgn val="ctr"/>
        <c:lblOffset val="100"/>
        <c:noMultiLvlLbl val="0"/>
      </c:catAx>
      <c:valAx>
        <c:axId val="2031728112"/>
        <c:scaling>
          <c:orientation val="minMax"/>
          <c:max val="6000"/>
          <c:min val="-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Greenhouse Gas Emissions </a:t>
                </a:r>
              </a:p>
              <a:p>
                <a:pPr>
                  <a:defRPr sz="1600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(kg CO2-eq per kg-dried flower)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7218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7275178075979"/>
          <c:y val="7.6497246534299859E-2"/>
          <c:w val="0.51674803166041239"/>
          <c:h val="0.7364028608696453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'Figure OpenLCA'!$A$10</c:f>
              <c:strCache>
                <c:ptCount val="1"/>
                <c:pt idx="0">
                  <c:v>Sequestered CO2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OpenLCA'!$B$10</c:f>
              <c:numCache>
                <c:formatCode>General</c:formatCode>
                <c:ptCount val="1"/>
                <c:pt idx="0">
                  <c:v>136.04495981146655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5-4E1A-9DA0-0A6B0300510C}"/>
            </c:ext>
          </c:extLst>
        </c:ser>
        <c:ser>
          <c:idx val="1"/>
          <c:order val="1"/>
          <c:tx>
            <c:strRef>
              <c:f>'Figure OpenLCA'!$A$12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FFC0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OpenLCA'!$B$12</c:f>
              <c:numCache>
                <c:formatCode>General</c:formatCode>
                <c:ptCount val="1"/>
                <c:pt idx="0">
                  <c:v>-32.057267451158907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85-4E1A-9DA0-0A6B0300510C}"/>
            </c:ext>
          </c:extLst>
        </c:ser>
        <c:ser>
          <c:idx val="10"/>
          <c:order val="2"/>
          <c:tx>
            <c:strRef>
              <c:f>'Figure OpenLCA'!$A$5</c:f>
              <c:strCache>
                <c:ptCount val="1"/>
                <c:pt idx="0">
                  <c:v>Grow Lights</c:v>
                </c:pt>
              </c:strCache>
            </c:strRef>
          </c:tx>
          <c:spPr>
            <a:solidFill>
              <a:srgbClr val="FFFF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OpenLCA'!$B$5</c:f>
              <c:numCache>
                <c:formatCode>General</c:formatCode>
                <c:ptCount val="1"/>
                <c:pt idx="0">
                  <c:v>53.600463660879328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5-4E1A-9DA0-0A6B0300510C}"/>
            </c:ext>
          </c:extLst>
        </c:ser>
        <c:ser>
          <c:idx val="9"/>
          <c:order val="3"/>
          <c:tx>
            <c:strRef>
              <c:f>'Figure OpenLCA'!$A$4</c:f>
              <c:strCache>
                <c:ptCount val="1"/>
                <c:pt idx="0">
                  <c:v>HVAC Humidity Mgmt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3C6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2CF-4EE4-B007-AA31F7DB3611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OpenLCA'!$B$4</c:f>
              <c:numCache>
                <c:formatCode>General</c:formatCode>
                <c:ptCount val="1"/>
                <c:pt idx="0">
                  <c:v>89.331787137708375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5-4E1A-9DA0-0A6B0300510C}"/>
            </c:ext>
          </c:extLst>
        </c:ser>
        <c:ser>
          <c:idx val="8"/>
          <c:order val="4"/>
          <c:tx>
            <c:strRef>
              <c:f>'Figure OpenLCA'!$A$3</c:f>
              <c:strCache>
                <c:ptCount val="1"/>
                <c:pt idx="0">
                  <c:v>HVAC Heating and Cooling</c:v>
                </c:pt>
              </c:strCache>
            </c:strRef>
          </c:tx>
          <c:spPr>
            <a:solidFill>
              <a:srgbClr val="7030A0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OpenLCA'!$B$3</c:f>
              <c:numCache>
                <c:formatCode>General</c:formatCode>
                <c:ptCount val="1"/>
                <c:pt idx="0">
                  <c:v>238.59000939738056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E1A-9DA0-0A6B0300510C}"/>
            </c:ext>
          </c:extLst>
        </c:ser>
        <c:ser>
          <c:idx val="11"/>
          <c:order val="5"/>
          <c:tx>
            <c:strRef>
              <c:f>'Figure OpenLCA'!$A$6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OpenLCA'!$B$6</c:f>
              <c:numCache>
                <c:formatCode>General</c:formatCode>
                <c:ptCount val="1"/>
                <c:pt idx="0">
                  <c:v>5.6041731114665616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5-4E1A-9DA0-0A6B0300510C}"/>
            </c:ext>
          </c:extLst>
        </c:ser>
        <c:ser>
          <c:idx val="7"/>
          <c:order val="6"/>
          <c:tx>
            <c:strRef>
              <c:f>'Figure OpenLCA'!$A$21</c:f>
              <c:strCache>
                <c:ptCount val="1"/>
                <c:pt idx="0">
                  <c:v>Suppl. HVAC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OpenLCA'!$B$21:$M$21</c:f>
              <c:numCache>
                <c:formatCode>General</c:formatCode>
                <c:ptCount val="12"/>
                <c:pt idx="0">
                  <c:v>0.88913942754422881</c:v>
                </c:pt>
                <c:pt idx="1">
                  <c:v>27.664832316473174</c:v>
                </c:pt>
                <c:pt idx="2">
                  <c:v>8.0997847006286374</c:v>
                </c:pt>
                <c:pt idx="3">
                  <c:v>28.976141357071963</c:v>
                </c:pt>
                <c:pt idx="4">
                  <c:v>6.6211331848980945</c:v>
                </c:pt>
                <c:pt idx="5">
                  <c:v>35.656798086702963</c:v>
                </c:pt>
                <c:pt idx="6">
                  <c:v>164.43717851239896</c:v>
                </c:pt>
                <c:pt idx="7">
                  <c:v>21.817370468339934</c:v>
                </c:pt>
                <c:pt idx="8">
                  <c:v>64.741508832158516</c:v>
                </c:pt>
                <c:pt idx="9">
                  <c:v>415.61172033585791</c:v>
                </c:pt>
                <c:pt idx="10">
                  <c:v>318.193837338234</c:v>
                </c:pt>
                <c:pt idx="11">
                  <c:v>354.80293300705949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35-474D-A9D1-116726B8689F}"/>
            </c:ext>
          </c:extLst>
        </c:ser>
        <c:ser>
          <c:idx val="2"/>
          <c:order val="7"/>
          <c:tx>
            <c:strRef>
              <c:f>'Figure OpenLCA'!$A$19</c:f>
              <c:strCache>
                <c:ptCount val="1"/>
                <c:pt idx="0">
                  <c:v>Plant Protection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CF-4EE4-B007-AA31F7DB3611}"/>
              </c:ext>
            </c:extLst>
          </c:dPt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OpenLCA'!$B$19:$M$19</c:f>
              <c:numCache>
                <c:formatCode>General</c:formatCode>
                <c:ptCount val="12"/>
                <c:pt idx="0">
                  <c:v>13.761247500463112</c:v>
                </c:pt>
                <c:pt idx="1">
                  <c:v>27.565766956413089</c:v>
                </c:pt>
                <c:pt idx="2">
                  <c:v>27.565767101490255</c:v>
                </c:pt>
                <c:pt idx="3">
                  <c:v>27.565767025699223</c:v>
                </c:pt>
                <c:pt idx="4">
                  <c:v>27.565766962676257</c:v>
                </c:pt>
                <c:pt idx="5">
                  <c:v>27.565766905407408</c:v>
                </c:pt>
                <c:pt idx="6">
                  <c:v>27.565767013048607</c:v>
                </c:pt>
                <c:pt idx="7">
                  <c:v>27.565766913468167</c:v>
                </c:pt>
                <c:pt idx="8">
                  <c:v>27.565767050562641</c:v>
                </c:pt>
                <c:pt idx="9">
                  <c:v>27.565766940741838</c:v>
                </c:pt>
                <c:pt idx="10">
                  <c:v>27.565767009719409</c:v>
                </c:pt>
                <c:pt idx="11">
                  <c:v>27.565766949277005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5-474D-A9D1-116726B8689F}"/>
            </c:ext>
          </c:extLst>
        </c:ser>
        <c:ser>
          <c:idx val="3"/>
          <c:order val="8"/>
          <c:tx>
            <c:strRef>
              <c:f>'Figure OpenLCA'!$A$20</c:f>
              <c:strCache>
                <c:ptCount val="1"/>
                <c:pt idx="0">
                  <c:v>Soil, Nutrient &amp; Water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CF-4EE4-B007-AA31F7DB3611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OpenLCA'!$D$49:$D$60</c:f>
                <c:numCache>
                  <c:formatCode>General</c:formatCode>
                  <c:ptCount val="12"/>
                  <c:pt idx="0">
                    <c:v>88.2102</c:v>
                  </c:pt>
                  <c:pt idx="1">
                    <c:v>14.583637670140748</c:v>
                  </c:pt>
                  <c:pt idx="2">
                    <c:v>0</c:v>
                  </c:pt>
                  <c:pt idx="3">
                    <c:v>10.434346655739011</c:v>
                  </c:pt>
                  <c:pt idx="4">
                    <c:v>7.5616409423847699</c:v>
                  </c:pt>
                  <c:pt idx="5">
                    <c:v>11.965451126008874</c:v>
                  </c:pt>
                  <c:pt idx="6">
                    <c:v>2.0593006428209804</c:v>
                  </c:pt>
                  <c:pt idx="7">
                    <c:v>6.8943775026873055</c:v>
                  </c:pt>
                  <c:pt idx="8">
                    <c:v>2.8223877523550338</c:v>
                  </c:pt>
                  <c:pt idx="9">
                    <c:v>17.848200556179613</c:v>
                  </c:pt>
                  <c:pt idx="10">
                    <c:v>11.570906364714645</c:v>
                  </c:pt>
                  <c:pt idx="11">
                    <c:v>15.036870747700105</c:v>
                  </c:pt>
                </c:numCache>
              </c:numRef>
            </c:plus>
            <c:minus>
              <c:numRef>
                <c:f>'Figure OpenLCA'!$D$49:$D$60</c:f>
                <c:numCache>
                  <c:formatCode>General</c:formatCode>
                  <c:ptCount val="12"/>
                  <c:pt idx="0">
                    <c:v>88.2102</c:v>
                  </c:pt>
                  <c:pt idx="1">
                    <c:v>14.583637670140748</c:v>
                  </c:pt>
                  <c:pt idx="2">
                    <c:v>0</c:v>
                  </c:pt>
                  <c:pt idx="3">
                    <c:v>10.434346655739011</c:v>
                  </c:pt>
                  <c:pt idx="4">
                    <c:v>7.5616409423847699</c:v>
                  </c:pt>
                  <c:pt idx="5">
                    <c:v>11.965451126008874</c:v>
                  </c:pt>
                  <c:pt idx="6">
                    <c:v>2.0593006428209804</c:v>
                  </c:pt>
                  <c:pt idx="7">
                    <c:v>6.8943775026873055</c:v>
                  </c:pt>
                  <c:pt idx="8">
                    <c:v>2.8223877523550338</c:v>
                  </c:pt>
                  <c:pt idx="9">
                    <c:v>17.848200556179613</c:v>
                  </c:pt>
                  <c:pt idx="10">
                    <c:v>11.570906364714645</c:v>
                  </c:pt>
                  <c:pt idx="11">
                    <c:v>15.036870747700105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OpenLCA'!$B$2:$M$2</c:f>
              <c:strCache>
                <c:ptCount val="12"/>
                <c:pt idx="0">
                  <c:v>Avg Can Outdoor</c:v>
                </c:pt>
                <c:pt idx="1">
                  <c:v>BC</c:v>
                </c:pt>
                <c:pt idx="2">
                  <c:v>PE</c:v>
                </c:pt>
                <c:pt idx="3">
                  <c:v>ON</c:v>
                </c:pt>
                <c:pt idx="4">
                  <c:v>QC</c:v>
                </c:pt>
                <c:pt idx="5">
                  <c:v>NL</c:v>
                </c:pt>
                <c:pt idx="6">
                  <c:v>NB</c:v>
                </c:pt>
                <c:pt idx="7">
                  <c:v>MB</c:v>
                </c:pt>
                <c:pt idx="8">
                  <c:v>YU</c:v>
                </c:pt>
                <c:pt idx="9">
                  <c:v>NS</c:v>
                </c:pt>
                <c:pt idx="10">
                  <c:v>SK</c:v>
                </c:pt>
                <c:pt idx="11">
                  <c:v>AB</c:v>
                </c:pt>
              </c:strCache>
            </c:strRef>
          </c:cat>
          <c:val>
            <c:numRef>
              <c:f>'Figure OpenLCA'!$B$20:$M$20</c:f>
              <c:numCache>
                <c:formatCode>General</c:formatCode>
                <c:ptCount val="12"/>
                <c:pt idx="0">
                  <c:v>8.6485030552788285</c:v>
                </c:pt>
                <c:pt idx="1">
                  <c:v>30.037469652055947</c:v>
                </c:pt>
                <c:pt idx="2">
                  <c:v>29.731809873163893</c:v>
                </c:pt>
                <c:pt idx="3">
                  <c:v>30.089562520487398</c:v>
                </c:pt>
                <c:pt idx="4">
                  <c:v>29.715504118384679</c:v>
                </c:pt>
                <c:pt idx="5">
                  <c:v>30.229961957812709</c:v>
                </c:pt>
                <c:pt idx="6">
                  <c:v>37.755890206527681</c:v>
                </c:pt>
                <c:pt idx="7">
                  <c:v>29.941552962067682</c:v>
                </c:pt>
                <c:pt idx="8">
                  <c:v>31.126222444793203</c:v>
                </c:pt>
                <c:pt idx="9">
                  <c:v>77.448019559216263</c:v>
                </c:pt>
                <c:pt idx="10">
                  <c:v>56.862744594172675</c:v>
                </c:pt>
                <c:pt idx="11">
                  <c:v>61.775503009740369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5-474D-A9D1-116726B8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8254880"/>
        <c:axId val="1948255296"/>
      </c:barChart>
      <c:catAx>
        <c:axId val="19482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1948255296"/>
        <c:crosses val="autoZero"/>
        <c:auto val="1"/>
        <c:lblAlgn val="ctr"/>
        <c:lblOffset val="500"/>
        <c:tickLblSkip val="1"/>
        <c:noMultiLvlLbl val="0"/>
      </c:catAx>
      <c:valAx>
        <c:axId val="194825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</a:rPr>
                  <a:t>Greenhouse Gas Emissions </a:t>
                </a:r>
              </a:p>
              <a:p>
                <a:pPr>
                  <a:defRPr/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</a:rPr>
                  <a:t>(kg CO2-eq per kg-dried flower)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fr-FR"/>
          </a:p>
        </c:txPr>
        <c:crossAx val="19482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5711145981571117"/>
          <c:y val="0.47021846435869191"/>
          <c:w val="0.17914939214635514"/>
          <c:h val="0.13667075094814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Gill Sans MT" panose="020B0502020104020203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 Tax Revenue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 Tax'!$H$4</c:f>
              <c:strCache>
                <c:ptCount val="1"/>
                <c:pt idx="0">
                  <c:v>Total to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 Tax'!$A$5:$A$58</c:f>
              <c:strCache>
                <c:ptCount val="54"/>
                <c:pt idx="0">
                  <c:v>Feb 2014</c:v>
                </c:pt>
                <c:pt idx="1">
                  <c:v>Mar 2014</c:v>
                </c:pt>
                <c:pt idx="2">
                  <c:v>Apr 2014</c:v>
                </c:pt>
                <c:pt idx="3">
                  <c:v>May 2014</c:v>
                </c:pt>
                <c:pt idx="4">
                  <c:v>Jun 2014</c:v>
                </c:pt>
                <c:pt idx="5">
                  <c:v>Jul 2014</c:v>
                </c:pt>
                <c:pt idx="6">
                  <c:v>Aug 2014</c:v>
                </c:pt>
                <c:pt idx="7">
                  <c:v>Sep 2014</c:v>
                </c:pt>
                <c:pt idx="8">
                  <c:v>Oct 2014</c:v>
                </c:pt>
                <c:pt idx="9">
                  <c:v>Nov 2014</c:v>
                </c:pt>
                <c:pt idx="10">
                  <c:v>Dec 2014</c:v>
                </c:pt>
                <c:pt idx="11">
                  <c:v>Jan 2015</c:v>
                </c:pt>
                <c:pt idx="12">
                  <c:v>Feb 2015</c:v>
                </c:pt>
                <c:pt idx="13">
                  <c:v>Mar 2015</c:v>
                </c:pt>
                <c:pt idx="14">
                  <c:v>Apr 2015</c:v>
                </c:pt>
                <c:pt idx="15">
                  <c:v>May 2015</c:v>
                </c:pt>
                <c:pt idx="16">
                  <c:v>Jun 2015</c:v>
                </c:pt>
                <c:pt idx="17">
                  <c:v>Jul 2015</c:v>
                </c:pt>
                <c:pt idx="18">
                  <c:v>Aug 2015</c:v>
                </c:pt>
                <c:pt idx="19">
                  <c:v>Sep 2015</c:v>
                </c:pt>
                <c:pt idx="20">
                  <c:v>Oct 2015</c:v>
                </c:pt>
                <c:pt idx="21">
                  <c:v>Nov 2015</c:v>
                </c:pt>
                <c:pt idx="22">
                  <c:v>Dec 2015</c:v>
                </c:pt>
                <c:pt idx="23">
                  <c:v>Jan 2016</c:v>
                </c:pt>
                <c:pt idx="24">
                  <c:v>Feb 2016</c:v>
                </c:pt>
                <c:pt idx="25">
                  <c:v>Mar 2016</c:v>
                </c:pt>
                <c:pt idx="26">
                  <c:v>Apr 2016</c:v>
                </c:pt>
                <c:pt idx="27">
                  <c:v>May 2016</c:v>
                </c:pt>
                <c:pt idx="28">
                  <c:v>Jun 2016</c:v>
                </c:pt>
                <c:pt idx="29">
                  <c:v>Jul 2016</c:v>
                </c:pt>
                <c:pt idx="30">
                  <c:v>Aug 2016</c:v>
                </c:pt>
                <c:pt idx="31">
                  <c:v>Sep 2016</c:v>
                </c:pt>
                <c:pt idx="32">
                  <c:v>Oct 2016</c:v>
                </c:pt>
                <c:pt idx="33">
                  <c:v>Nov 2016</c:v>
                </c:pt>
                <c:pt idx="34">
                  <c:v>Dec 2016</c:v>
                </c:pt>
                <c:pt idx="35">
                  <c:v>Jan 2017</c:v>
                </c:pt>
                <c:pt idx="36">
                  <c:v>Feb 2017</c:v>
                </c:pt>
                <c:pt idx="37">
                  <c:v>Mar 2017</c:v>
                </c:pt>
                <c:pt idx="38">
                  <c:v>Apr 2017</c:v>
                </c:pt>
                <c:pt idx="39">
                  <c:v>May 2017</c:v>
                </c:pt>
                <c:pt idx="40">
                  <c:v>Jun 2017</c:v>
                </c:pt>
                <c:pt idx="41">
                  <c:v>Jul 2017</c:v>
                </c:pt>
                <c:pt idx="42">
                  <c:v>Aug 2017</c:v>
                </c:pt>
                <c:pt idx="43">
                  <c:v>Sep 2017</c:v>
                </c:pt>
                <c:pt idx="44">
                  <c:v>Oct 2017</c:v>
                </c:pt>
                <c:pt idx="45">
                  <c:v>Nov 2017</c:v>
                </c:pt>
                <c:pt idx="46">
                  <c:v>Dec 2017</c:v>
                </c:pt>
                <c:pt idx="47">
                  <c:v>Jan 2018</c:v>
                </c:pt>
                <c:pt idx="48">
                  <c:v>Feb 2018</c:v>
                </c:pt>
                <c:pt idx="49">
                  <c:v>Mar 2018</c:v>
                </c:pt>
                <c:pt idx="50">
                  <c:v>Apr 2018</c:v>
                </c:pt>
                <c:pt idx="51">
                  <c:v>May 2018</c:v>
                </c:pt>
                <c:pt idx="52">
                  <c:v>Jun 2018</c:v>
                </c:pt>
                <c:pt idx="53">
                  <c:v>Jul 2018</c:v>
                </c:pt>
              </c:strCache>
            </c:strRef>
          </c:xVal>
          <c:yVal>
            <c:numRef>
              <c:f>'CO Tax'!$H$5:$H$58</c:f>
              <c:numCache>
                <c:formatCode>"$"#\ ##0_);[Red]\("$"#\ ##0\)</c:formatCode>
                <c:ptCount val="54"/>
                <c:pt idx="0">
                  <c:v>3519756</c:v>
                </c:pt>
                <c:pt idx="1">
                  <c:v>7612330</c:v>
                </c:pt>
                <c:pt idx="2">
                  <c:v>12593322</c:v>
                </c:pt>
                <c:pt idx="3">
                  <c:v>17866677</c:v>
                </c:pt>
                <c:pt idx="4">
                  <c:v>23582384</c:v>
                </c:pt>
                <c:pt idx="5">
                  <c:v>30104468</c:v>
                </c:pt>
                <c:pt idx="6">
                  <c:v>37511919</c:v>
                </c:pt>
                <c:pt idx="7">
                  <c:v>45253086</c:v>
                </c:pt>
                <c:pt idx="8">
                  <c:v>52485956</c:v>
                </c:pt>
                <c:pt idx="9">
                  <c:v>60128755</c:v>
                </c:pt>
                <c:pt idx="10">
                  <c:v>67594323</c:v>
                </c:pt>
                <c:pt idx="11">
                  <c:v>76152465</c:v>
                </c:pt>
                <c:pt idx="12">
                  <c:v>84954760</c:v>
                </c:pt>
                <c:pt idx="13">
                  <c:v>94054154</c:v>
                </c:pt>
                <c:pt idx="14">
                  <c:v>104033797</c:v>
                </c:pt>
                <c:pt idx="15">
                  <c:v>114651108</c:v>
                </c:pt>
                <c:pt idx="16">
                  <c:v>125977560</c:v>
                </c:pt>
                <c:pt idx="17">
                  <c:v>136834144</c:v>
                </c:pt>
                <c:pt idx="18">
                  <c:v>149645581</c:v>
                </c:pt>
                <c:pt idx="19">
                  <c:v>162827339</c:v>
                </c:pt>
                <c:pt idx="20">
                  <c:v>174484075</c:v>
                </c:pt>
                <c:pt idx="21">
                  <c:v>185774087</c:v>
                </c:pt>
                <c:pt idx="22">
                  <c:v>198005496</c:v>
                </c:pt>
                <c:pt idx="23">
                  <c:v>211252931</c:v>
                </c:pt>
                <c:pt idx="24">
                  <c:v>223719547</c:v>
                </c:pt>
                <c:pt idx="25">
                  <c:v>237915471</c:v>
                </c:pt>
                <c:pt idx="26">
                  <c:v>251012768</c:v>
                </c:pt>
                <c:pt idx="27">
                  <c:v>268195930</c:v>
                </c:pt>
                <c:pt idx="28">
                  <c:v>282678578</c:v>
                </c:pt>
                <c:pt idx="29">
                  <c:v>299502427</c:v>
                </c:pt>
                <c:pt idx="30">
                  <c:v>317076575</c:v>
                </c:pt>
                <c:pt idx="31">
                  <c:v>336222567</c:v>
                </c:pt>
                <c:pt idx="32">
                  <c:v>355489488</c:v>
                </c:pt>
                <c:pt idx="33">
                  <c:v>373915353</c:v>
                </c:pt>
                <c:pt idx="34">
                  <c:v>391610306</c:v>
                </c:pt>
                <c:pt idx="35">
                  <c:v>409775094</c:v>
                </c:pt>
                <c:pt idx="36">
                  <c:v>427498951</c:v>
                </c:pt>
                <c:pt idx="37">
                  <c:v>445049643</c:v>
                </c:pt>
                <c:pt idx="38">
                  <c:v>467917230</c:v>
                </c:pt>
                <c:pt idx="39">
                  <c:v>486481169</c:v>
                </c:pt>
                <c:pt idx="40">
                  <c:v>506143632</c:v>
                </c:pt>
                <c:pt idx="41">
                  <c:v>526581383</c:v>
                </c:pt>
                <c:pt idx="42">
                  <c:v>550356427</c:v>
                </c:pt>
                <c:pt idx="43">
                  <c:v>573591933</c:v>
                </c:pt>
                <c:pt idx="44">
                  <c:v>596690341</c:v>
                </c:pt>
                <c:pt idx="45">
                  <c:v>617767334</c:v>
                </c:pt>
                <c:pt idx="46">
                  <c:v>638978779</c:v>
                </c:pt>
                <c:pt idx="47">
                  <c:v>660660217</c:v>
                </c:pt>
                <c:pt idx="48">
                  <c:v>681795081</c:v>
                </c:pt>
                <c:pt idx="49">
                  <c:v>702666901</c:v>
                </c:pt>
                <c:pt idx="50">
                  <c:v>725614042</c:v>
                </c:pt>
                <c:pt idx="51">
                  <c:v>747981749</c:v>
                </c:pt>
                <c:pt idx="52">
                  <c:v>769910441</c:v>
                </c:pt>
                <c:pt idx="53">
                  <c:v>792874219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3-48BE-B0C7-3A4E7FB98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21663"/>
        <c:axId val="1590015007"/>
      </c:scatterChart>
      <c:valAx>
        <c:axId val="15900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015007"/>
        <c:crosses val="autoZero"/>
        <c:crossBetween val="midCat"/>
      </c:valAx>
      <c:valAx>
        <c:axId val="15900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_);[Red]\(&quot;$&quot;#\ 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0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815716</xdr:colOff>
      <xdr:row>4</xdr:row>
      <xdr:rowOff>164847</xdr:rowOff>
    </xdr:from>
    <xdr:to>
      <xdr:col>34</xdr:col>
      <xdr:colOff>331643</xdr:colOff>
      <xdr:row>41</xdr:row>
      <xdr:rowOff>79038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162486</xdr:colOff>
      <xdr:row>33</xdr:row>
      <xdr:rowOff>70437</xdr:rowOff>
    </xdr:from>
    <xdr:to>
      <xdr:col>23</xdr:col>
      <xdr:colOff>1076886</xdr:colOff>
      <xdr:row>43</xdr:row>
      <xdr:rowOff>160084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22233272" y="41708294"/>
          <a:ext cx="914400" cy="66114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Gill Sans MT" panose="020B0502020104020203" pitchFamily="34" charset="0"/>
            </a:rPr>
            <a:t> </a:t>
          </a:r>
        </a:p>
      </xdr:txBody>
    </xdr:sp>
    <xdr:clientData/>
  </xdr:twoCellAnchor>
  <xdr:twoCellAnchor>
    <xdr:from>
      <xdr:col>22</xdr:col>
      <xdr:colOff>691522</xdr:colOff>
      <xdr:row>42</xdr:row>
      <xdr:rowOff>47254</xdr:rowOff>
    </xdr:from>
    <xdr:to>
      <xdr:col>35</xdr:col>
      <xdr:colOff>155863</xdr:colOff>
      <xdr:row>70</xdr:row>
      <xdr:rowOff>17318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258937</xdr:colOff>
      <xdr:row>4</xdr:row>
      <xdr:rowOff>221698</xdr:rowOff>
    </xdr:from>
    <xdr:to>
      <xdr:col>38</xdr:col>
      <xdr:colOff>621288</xdr:colOff>
      <xdr:row>47</xdr:row>
      <xdr:rowOff>36367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D81BE-1A05-4257-95B4-1940387E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162486</xdr:colOff>
      <xdr:row>33</xdr:row>
      <xdr:rowOff>70437</xdr:rowOff>
    </xdr:from>
    <xdr:to>
      <xdr:col>22</xdr:col>
      <xdr:colOff>1076886</xdr:colOff>
      <xdr:row>43</xdr:row>
      <xdr:rowOff>160084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8B28E8F2-8867-4642-B8E4-4052453525C7}"/>
            </a:ext>
          </a:extLst>
        </xdr:cNvPr>
        <xdr:cNvSpPr txBox="1"/>
      </xdr:nvSpPr>
      <xdr:spPr>
        <a:xfrm>
          <a:off x="30613911" y="9319212"/>
          <a:ext cx="914400" cy="20041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Gill Sans MT" panose="020B0502020104020203" pitchFamily="34" charset="0"/>
            </a:rPr>
            <a:t> </a:t>
          </a:r>
        </a:p>
      </xdr:txBody>
    </xdr:sp>
    <xdr:clientData/>
  </xdr:twoCellAnchor>
  <xdr:twoCellAnchor>
    <xdr:from>
      <xdr:col>20</xdr:col>
      <xdr:colOff>131618</xdr:colOff>
      <xdr:row>51</xdr:row>
      <xdr:rowOff>147205</xdr:rowOff>
    </xdr:from>
    <xdr:to>
      <xdr:col>45</xdr:col>
      <xdr:colOff>602892</xdr:colOff>
      <xdr:row>100</xdr:row>
      <xdr:rowOff>184871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CD817-5792-4E02-8579-3738539D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703489</xdr:colOff>
      <xdr:row>5</xdr:row>
      <xdr:rowOff>1367</xdr:rowOff>
    </xdr:from>
    <xdr:to>
      <xdr:col>15</xdr:col>
      <xdr:colOff>532039</xdr:colOff>
      <xdr:row>19</xdr:row>
      <xdr:rowOff>77567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BAR\Baseline%20Models\Integrated%20Models\Integrated%20Guar%20Model%20v2.9%209_5_19_H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 Out"/>
      <sheetName val="Intro"/>
      <sheetName val="Scenario Inputs"/>
      <sheetName val="Summarized Outputs"/>
      <sheetName val="Scenario Explanations"/>
      <sheetName val="Sensitivity Analysis"/>
      <sheetName val="Detailed Inputs"/>
      <sheetName val="Data Repository"/>
      <sheetName val="Ag LCI Calcs"/>
      <sheetName val="LCI Backup Calcs"/>
      <sheetName val="100-Economics"/>
      <sheetName val="100-&gt;200 Logistics"/>
      <sheetName val="LCI Master"/>
      <sheetName val="Guar Ag Ref"/>
      <sheetName val="100-LCIA"/>
      <sheetName val="200-LCIA"/>
      <sheetName val="Balance"/>
      <sheetName val="Economic - Backup Calcs"/>
      <sheetName val="200"/>
      <sheetName val="200b"/>
      <sheetName val="300"/>
      <sheetName val="300b"/>
      <sheetName val="500"/>
      <sheetName val="700"/>
      <sheetName val="900"/>
      <sheetName val="900b"/>
      <sheetName val="200-900 Economics"/>
      <sheetName val="Integrated LCA"/>
      <sheetName val="Figures"/>
      <sheetName val="Conversions"/>
      <sheetName val="Properties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112">
          <cell r="K112">
            <v>1</v>
          </cell>
        </row>
      </sheetData>
      <sheetData sheetId="7"/>
      <sheetData sheetId="8"/>
      <sheetData sheetId="9"/>
      <sheetData sheetId="10">
        <row r="47">
          <cell r="AE47" t="str">
            <v>Total Acres by Field Operations Equipment per year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F6">
            <v>1233.48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 tint="-0.249977111117893"/>
  </sheetPr>
  <dimension ref="B1:AG126"/>
  <sheetViews>
    <sheetView zoomScale="55" zoomScaleNormal="55" workbookViewId="0">
      <selection activeCell="R8" sqref="R8"/>
    </sheetView>
  </sheetViews>
  <sheetFormatPr defaultColWidth="9.140625" defaultRowHeight="15" x14ac:dyDescent="0.25"/>
  <cols>
    <col min="2" max="2" width="24.28515625" customWidth="1"/>
    <col min="3" max="4" width="12.85546875" customWidth="1"/>
    <col min="6" max="6" width="21.140625" customWidth="1"/>
    <col min="7" max="7" width="22.7109375" customWidth="1"/>
    <col min="8" max="8" width="18.140625" customWidth="1"/>
    <col min="9" max="9" width="21.28515625" customWidth="1"/>
    <col min="10" max="10" width="24.85546875" customWidth="1"/>
    <col min="18" max="22" width="18.140625" customWidth="1"/>
    <col min="25" max="33" width="15.140625" customWidth="1"/>
  </cols>
  <sheetData>
    <row r="1" spans="2:33" x14ac:dyDescent="0.25">
      <c r="B1" s="235"/>
      <c r="C1" s="235"/>
      <c r="D1" s="235"/>
      <c r="H1" s="235"/>
      <c r="I1" s="235"/>
      <c r="J1" s="235"/>
    </row>
    <row r="2" spans="2:33" x14ac:dyDescent="0.25">
      <c r="B2" s="66" t="s">
        <v>123</v>
      </c>
      <c r="C2" s="66" t="s">
        <v>106</v>
      </c>
      <c r="D2" s="66" t="s">
        <v>124</v>
      </c>
      <c r="E2" s="66" t="s">
        <v>125</v>
      </c>
      <c r="F2" s="66" t="s">
        <v>126</v>
      </c>
      <c r="G2" s="66" t="s">
        <v>127</v>
      </c>
      <c r="H2" s="66" t="s">
        <v>108</v>
      </c>
      <c r="I2" s="66" t="s">
        <v>104</v>
      </c>
      <c r="J2" s="243" t="s">
        <v>78</v>
      </c>
      <c r="K2" s="244"/>
      <c r="L2" s="244"/>
      <c r="M2" s="244"/>
      <c r="N2" s="244"/>
      <c r="O2" s="244"/>
      <c r="P2" s="245"/>
    </row>
    <row r="3" spans="2:33" x14ac:dyDescent="0.25">
      <c r="B3" s="29" t="s">
        <v>128</v>
      </c>
      <c r="C3" s="67" t="s">
        <v>97</v>
      </c>
      <c r="D3" s="29" t="s">
        <v>105</v>
      </c>
      <c r="E3" s="29" t="s">
        <v>79</v>
      </c>
      <c r="F3" s="68" t="s">
        <v>109</v>
      </c>
      <c r="G3" s="68"/>
      <c r="H3" s="69" t="e">
        <f>H27</f>
        <v>#REF!</v>
      </c>
      <c r="I3" s="68" t="s">
        <v>122</v>
      </c>
      <c r="J3" s="246"/>
      <c r="K3" s="246"/>
      <c r="L3" s="246"/>
      <c r="M3" s="246"/>
      <c r="N3" s="246"/>
      <c r="O3" s="246"/>
      <c r="P3" s="247"/>
    </row>
    <row r="4" spans="2:33" x14ac:dyDescent="0.25">
      <c r="B4" s="29" t="s">
        <v>129</v>
      </c>
      <c r="C4" s="67" t="s">
        <v>97</v>
      </c>
      <c r="D4" s="29" t="s">
        <v>105</v>
      </c>
      <c r="E4" s="29" t="s">
        <v>79</v>
      </c>
      <c r="F4" s="68" t="s">
        <v>109</v>
      </c>
      <c r="G4" s="70"/>
      <c r="H4" s="69" t="e">
        <f>H43</f>
        <v>#REF!</v>
      </c>
      <c r="I4" s="68" t="s">
        <v>122</v>
      </c>
      <c r="J4" s="248"/>
      <c r="K4" s="248"/>
      <c r="L4" s="248"/>
      <c r="M4" s="248"/>
      <c r="N4" s="248"/>
      <c r="O4" s="248"/>
      <c r="P4" s="249"/>
    </row>
    <row r="5" spans="2:33" x14ac:dyDescent="0.25">
      <c r="B5" s="29" t="s">
        <v>130</v>
      </c>
      <c r="C5" s="67" t="s">
        <v>97</v>
      </c>
      <c r="D5" s="29" t="s">
        <v>105</v>
      </c>
      <c r="E5" s="29" t="s">
        <v>79</v>
      </c>
      <c r="F5" s="68" t="s">
        <v>109</v>
      </c>
      <c r="G5" s="68"/>
      <c r="H5" s="71" t="e">
        <f>H59</f>
        <v>#REF!</v>
      </c>
      <c r="I5" s="68" t="s">
        <v>122</v>
      </c>
      <c r="J5" s="246"/>
      <c r="K5" s="246"/>
      <c r="L5" s="246"/>
      <c r="M5" s="246"/>
      <c r="N5" s="246"/>
      <c r="O5" s="246"/>
      <c r="P5" s="247"/>
    </row>
    <row r="6" spans="2:33" x14ac:dyDescent="0.25">
      <c r="B6" s="29" t="s">
        <v>131</v>
      </c>
      <c r="C6" s="67" t="s">
        <v>97</v>
      </c>
      <c r="D6" s="29" t="s">
        <v>105</v>
      </c>
      <c r="E6" s="29" t="s">
        <v>79</v>
      </c>
      <c r="F6" s="68" t="s">
        <v>109</v>
      </c>
      <c r="G6" s="68"/>
      <c r="H6" s="69" t="e">
        <f>H74</f>
        <v>#REF!</v>
      </c>
      <c r="I6" s="68" t="s">
        <v>122</v>
      </c>
      <c r="J6" s="248"/>
      <c r="K6" s="248"/>
      <c r="L6" s="248"/>
      <c r="M6" s="248"/>
      <c r="N6" s="248"/>
      <c r="O6" s="248"/>
      <c r="P6" s="249"/>
    </row>
    <row r="7" spans="2:33" x14ac:dyDescent="0.25">
      <c r="B7" s="29" t="s">
        <v>132</v>
      </c>
      <c r="C7" s="67" t="s">
        <v>97</v>
      </c>
      <c r="D7" s="29" t="s">
        <v>105</v>
      </c>
      <c r="E7" s="29" t="s">
        <v>79</v>
      </c>
      <c r="F7" s="68" t="s">
        <v>109</v>
      </c>
      <c r="G7" s="68"/>
      <c r="H7" s="69"/>
      <c r="I7" s="68" t="s">
        <v>122</v>
      </c>
      <c r="J7" s="248"/>
      <c r="K7" s="248"/>
      <c r="L7" s="248"/>
      <c r="M7" s="248"/>
      <c r="N7" s="248"/>
      <c r="O7" s="248"/>
      <c r="P7" s="249"/>
    </row>
    <row r="8" spans="2:33" x14ac:dyDescent="0.25">
      <c r="B8" s="68" t="s">
        <v>141</v>
      </c>
      <c r="C8" s="68" t="s">
        <v>97</v>
      </c>
      <c r="D8" s="68" t="s">
        <v>105</v>
      </c>
      <c r="E8" s="68" t="s">
        <v>79</v>
      </c>
      <c r="F8" s="68" t="s">
        <v>142</v>
      </c>
      <c r="G8" s="29"/>
      <c r="H8" s="68" t="e">
        <f>#REF!</f>
        <v>#REF!</v>
      </c>
      <c r="I8" s="74" t="s">
        <v>122</v>
      </c>
      <c r="J8" s="250"/>
      <c r="K8" s="248"/>
      <c r="L8" s="248"/>
      <c r="M8" s="248"/>
      <c r="N8" s="248"/>
      <c r="O8" s="248"/>
      <c r="P8" s="249"/>
    </row>
    <row r="9" spans="2:33" x14ac:dyDescent="0.25">
      <c r="B9" s="68" t="s">
        <v>141</v>
      </c>
      <c r="C9" s="68" t="s">
        <v>107</v>
      </c>
      <c r="D9" s="68" t="s">
        <v>105</v>
      </c>
      <c r="E9" s="68" t="s">
        <v>79</v>
      </c>
      <c r="F9" s="68" t="s">
        <v>142</v>
      </c>
      <c r="G9" s="29"/>
      <c r="H9" s="68" t="e">
        <f>#REF!</f>
        <v>#REF!</v>
      </c>
      <c r="I9" s="74" t="s">
        <v>122</v>
      </c>
      <c r="J9" s="250"/>
      <c r="K9" s="248"/>
      <c r="L9" s="248"/>
      <c r="M9" s="248"/>
      <c r="N9" s="248"/>
      <c r="O9" s="248"/>
      <c r="P9" s="249"/>
    </row>
    <row r="10" spans="2:33" x14ac:dyDescent="0.25">
      <c r="B10" s="68" t="s">
        <v>141</v>
      </c>
      <c r="C10" s="68" t="s">
        <v>97</v>
      </c>
      <c r="D10" s="68" t="s">
        <v>105</v>
      </c>
      <c r="E10" s="68" t="s">
        <v>79</v>
      </c>
      <c r="F10" s="68" t="s">
        <v>143</v>
      </c>
      <c r="G10" s="29"/>
      <c r="H10" s="68" t="e">
        <f>#REF!</f>
        <v>#REF!</v>
      </c>
      <c r="I10" s="74" t="s">
        <v>122</v>
      </c>
      <c r="J10" s="250"/>
      <c r="K10" s="248"/>
      <c r="L10" s="248"/>
      <c r="M10" s="248"/>
      <c r="N10" s="248"/>
      <c r="O10" s="248"/>
      <c r="P10" s="249"/>
    </row>
    <row r="11" spans="2:33" x14ac:dyDescent="0.25">
      <c r="B11" s="68" t="s">
        <v>141</v>
      </c>
      <c r="C11" s="68" t="s">
        <v>107</v>
      </c>
      <c r="D11" s="68" t="s">
        <v>105</v>
      </c>
      <c r="E11" s="68" t="s">
        <v>79</v>
      </c>
      <c r="F11" s="68" t="s">
        <v>143</v>
      </c>
      <c r="G11" s="29"/>
      <c r="H11" s="68" t="e">
        <f>#REF!</f>
        <v>#REF!</v>
      </c>
      <c r="I11" s="74" t="s">
        <v>122</v>
      </c>
      <c r="J11" s="250"/>
      <c r="K11" s="248"/>
      <c r="L11" s="248"/>
      <c r="M11" s="248"/>
      <c r="N11" s="248"/>
      <c r="O11" s="248"/>
      <c r="P11" s="249"/>
    </row>
    <row r="12" spans="2:33" x14ac:dyDescent="0.25">
      <c r="B12" s="73"/>
      <c r="C12" s="73"/>
      <c r="D12" s="73"/>
      <c r="E12" s="73"/>
      <c r="F12" s="73"/>
      <c r="H12" s="31"/>
      <c r="I12" s="31"/>
      <c r="J12" s="31"/>
    </row>
    <row r="13" spans="2:33" x14ac:dyDescent="0.25">
      <c r="B13" s="31"/>
      <c r="C13" s="31"/>
      <c r="D13" s="31"/>
      <c r="H13" s="31"/>
      <c r="I13" s="31"/>
      <c r="J13" s="31"/>
    </row>
    <row r="14" spans="2:33" ht="15.75" thickBot="1" x14ac:dyDescent="0.3"/>
    <row r="15" spans="2:33" x14ac:dyDescent="0.25">
      <c r="B15" s="236" t="s">
        <v>113</v>
      </c>
      <c r="C15" s="237"/>
      <c r="D15" s="237"/>
      <c r="E15" s="237"/>
      <c r="F15" s="237"/>
      <c r="G15" s="237"/>
      <c r="H15" s="237"/>
      <c r="I15" s="237"/>
      <c r="J15" s="238"/>
      <c r="N15" s="236" t="s">
        <v>110</v>
      </c>
      <c r="O15" s="237"/>
      <c r="P15" s="237"/>
      <c r="Q15" s="237"/>
      <c r="R15" s="237"/>
      <c r="S15" s="237"/>
      <c r="T15" s="237"/>
      <c r="U15" s="237"/>
      <c r="V15" s="238"/>
      <c r="Y15" s="242" t="s">
        <v>140</v>
      </c>
      <c r="Z15" s="242"/>
      <c r="AA15" s="242"/>
      <c r="AB15" s="242"/>
      <c r="AC15" s="242"/>
      <c r="AD15" s="242"/>
      <c r="AE15" s="242"/>
      <c r="AF15" s="242"/>
      <c r="AG15" s="242"/>
    </row>
    <row r="16" spans="2:33" ht="15.75" thickBot="1" x14ac:dyDescent="0.3">
      <c r="B16" s="239"/>
      <c r="C16" s="240"/>
      <c r="D16" s="240"/>
      <c r="E16" s="240"/>
      <c r="F16" s="240"/>
      <c r="G16" s="240"/>
      <c r="H16" s="240"/>
      <c r="I16" s="240"/>
      <c r="J16" s="241"/>
      <c r="N16" s="239"/>
      <c r="O16" s="240"/>
      <c r="P16" s="240"/>
      <c r="Q16" s="240"/>
      <c r="R16" s="240"/>
      <c r="S16" s="240"/>
      <c r="T16" s="240"/>
      <c r="U16" s="240"/>
      <c r="V16" s="241"/>
      <c r="Y16" s="242"/>
      <c r="Z16" s="242"/>
      <c r="AA16" s="242"/>
      <c r="AB16" s="242"/>
      <c r="AC16" s="242"/>
      <c r="AD16" s="242"/>
      <c r="AE16" s="242"/>
      <c r="AF16" s="242"/>
      <c r="AG16" s="242"/>
    </row>
    <row r="18" spans="2:33" ht="15.75" thickBot="1" x14ac:dyDescent="0.3"/>
    <row r="19" spans="2:33" ht="15.75" thickBot="1" x14ac:dyDescent="0.3">
      <c r="B19" s="32" t="s">
        <v>111</v>
      </c>
      <c r="C19" s="33"/>
      <c r="D19" s="33"/>
      <c r="E19" s="34"/>
      <c r="F19" s="64" t="s">
        <v>133</v>
      </c>
      <c r="G19" s="35"/>
      <c r="H19" s="36"/>
      <c r="I19" s="36"/>
      <c r="J19" s="37"/>
      <c r="N19" s="32" t="s">
        <v>111</v>
      </c>
      <c r="O19" s="33"/>
      <c r="P19" s="33"/>
      <c r="Q19" s="34"/>
      <c r="R19" s="64" t="s">
        <v>133</v>
      </c>
      <c r="S19" s="35"/>
      <c r="T19" s="36"/>
      <c r="U19" s="36"/>
      <c r="V19" s="37"/>
      <c r="Y19" s="32" t="s">
        <v>111</v>
      </c>
      <c r="Z19" s="33"/>
      <c r="AA19" s="33"/>
      <c r="AB19" s="34"/>
      <c r="AC19" s="64" t="s">
        <v>133</v>
      </c>
      <c r="AD19" s="35"/>
      <c r="AE19" s="36"/>
      <c r="AF19" s="36"/>
      <c r="AG19" s="37"/>
    </row>
    <row r="20" spans="2:33" ht="15.75" thickBot="1" x14ac:dyDescent="0.3">
      <c r="B20" s="38"/>
      <c r="C20" s="39"/>
      <c r="D20" s="39"/>
      <c r="E20" s="40"/>
      <c r="F20" s="51"/>
      <c r="G20" s="52"/>
      <c r="H20" s="52"/>
      <c r="I20" s="52"/>
      <c r="J20" s="53"/>
      <c r="N20" s="38"/>
      <c r="O20" s="39"/>
      <c r="P20" s="39"/>
      <c r="Q20" s="40"/>
      <c r="R20" s="51"/>
      <c r="S20" s="52"/>
      <c r="T20" s="52"/>
      <c r="U20" s="52"/>
      <c r="V20" s="53"/>
      <c r="Y20" s="38"/>
      <c r="Z20" s="39"/>
      <c r="AA20" s="39"/>
      <c r="AB20" s="40"/>
      <c r="AC20" s="51"/>
      <c r="AD20" s="52"/>
      <c r="AE20" s="52"/>
      <c r="AF20" s="52"/>
      <c r="AG20" s="53"/>
    </row>
    <row r="21" spans="2:33" ht="15.75" thickBot="1" x14ac:dyDescent="0.3">
      <c r="B21" s="41" t="s">
        <v>105</v>
      </c>
      <c r="C21" s="42"/>
      <c r="D21" s="42"/>
      <c r="E21" s="43"/>
      <c r="F21" s="41" t="s">
        <v>105</v>
      </c>
      <c r="G21" s="42" t="s">
        <v>118</v>
      </c>
      <c r="H21" s="42" t="s">
        <v>108</v>
      </c>
      <c r="I21" s="42" t="s">
        <v>104</v>
      </c>
      <c r="J21" s="43" t="s">
        <v>119</v>
      </c>
      <c r="N21" s="41" t="s">
        <v>105</v>
      </c>
      <c r="O21" s="42"/>
      <c r="P21" s="42"/>
      <c r="Q21" s="43"/>
      <c r="R21" s="41" t="s">
        <v>105</v>
      </c>
      <c r="S21" s="42"/>
      <c r="T21" s="42"/>
      <c r="U21" s="42"/>
      <c r="V21" s="43"/>
      <c r="Y21" s="41" t="s">
        <v>105</v>
      </c>
      <c r="Z21" s="42"/>
      <c r="AA21" s="42"/>
      <c r="AB21" s="43"/>
      <c r="AC21" s="41" t="s">
        <v>105</v>
      </c>
      <c r="AD21" s="42"/>
      <c r="AE21" s="42"/>
      <c r="AF21" s="42"/>
      <c r="AG21" s="43"/>
    </row>
    <row r="22" spans="2:33" x14ac:dyDescent="0.25">
      <c r="B22" s="38"/>
      <c r="C22" s="44"/>
      <c r="D22" s="39"/>
      <c r="E22" s="40"/>
      <c r="F22" s="38" t="s">
        <v>116</v>
      </c>
      <c r="G22" s="45"/>
      <c r="H22" s="39"/>
      <c r="I22" s="39"/>
      <c r="J22" s="40"/>
      <c r="N22" s="38"/>
      <c r="O22" s="44"/>
      <c r="P22" s="39"/>
      <c r="Q22" s="40"/>
      <c r="R22" s="38"/>
      <c r="S22" s="45"/>
      <c r="T22" s="39"/>
      <c r="U22" s="39"/>
      <c r="V22" s="40"/>
      <c r="Y22" s="38"/>
      <c r="Z22" s="44"/>
      <c r="AA22" s="39"/>
      <c r="AB22" s="40"/>
      <c r="AC22" s="38"/>
      <c r="AD22" s="45"/>
      <c r="AE22" s="39"/>
      <c r="AF22" s="39"/>
      <c r="AG22" s="40"/>
    </row>
    <row r="23" spans="2:33" x14ac:dyDescent="0.25">
      <c r="B23" s="38"/>
      <c r="C23" s="39"/>
      <c r="D23" s="39"/>
      <c r="E23" s="40"/>
      <c r="F23" s="38" t="s">
        <v>117</v>
      </c>
      <c r="G23" s="45"/>
      <c r="H23" s="39"/>
      <c r="I23" s="39"/>
      <c r="J23" s="40"/>
      <c r="N23" s="38"/>
      <c r="O23" s="39"/>
      <c r="P23" s="39"/>
      <c r="Q23" s="40"/>
      <c r="R23" s="38"/>
      <c r="S23" s="45"/>
      <c r="T23" s="39"/>
      <c r="U23" s="39"/>
      <c r="V23" s="40"/>
      <c r="Y23" s="38"/>
      <c r="Z23" s="39"/>
      <c r="AA23" s="39"/>
      <c r="AB23" s="40"/>
      <c r="AC23" s="38"/>
      <c r="AD23" s="45"/>
      <c r="AE23" s="39"/>
      <c r="AF23" s="39"/>
      <c r="AG23" s="40"/>
    </row>
    <row r="24" spans="2:33" x14ac:dyDescent="0.25">
      <c r="B24" s="38"/>
      <c r="C24" s="39"/>
      <c r="D24" s="39"/>
      <c r="E24" s="40"/>
      <c r="F24" s="38" t="s">
        <v>120</v>
      </c>
      <c r="G24" s="45"/>
      <c r="H24" s="39"/>
      <c r="I24" s="39"/>
      <c r="J24" s="40"/>
      <c r="N24" s="38"/>
      <c r="O24" s="39"/>
      <c r="P24" s="39"/>
      <c r="Q24" s="40"/>
      <c r="R24" s="38"/>
      <c r="S24" s="45"/>
      <c r="T24" s="39"/>
      <c r="U24" s="39"/>
      <c r="V24" s="40"/>
      <c r="Y24" s="38"/>
      <c r="Z24" s="39"/>
      <c r="AA24" s="39"/>
      <c r="AB24" s="40"/>
      <c r="AC24" s="38"/>
      <c r="AD24" s="45"/>
      <c r="AE24" s="39"/>
      <c r="AF24" s="39"/>
      <c r="AG24" s="40"/>
    </row>
    <row r="25" spans="2:33" ht="15.75" thickBot="1" x14ac:dyDescent="0.3">
      <c r="B25" s="38"/>
      <c r="C25" s="39"/>
      <c r="D25" s="39"/>
      <c r="E25" s="40"/>
      <c r="F25" s="38"/>
      <c r="G25" s="45"/>
      <c r="H25" s="39"/>
      <c r="I25" s="39"/>
      <c r="J25" s="40"/>
      <c r="N25" s="38"/>
      <c r="O25" s="39"/>
      <c r="P25" s="39"/>
      <c r="Q25" s="40"/>
      <c r="R25" s="38"/>
      <c r="S25" s="45"/>
      <c r="T25" s="39"/>
      <c r="U25" s="39"/>
      <c r="V25" s="40"/>
      <c r="Y25" s="38"/>
      <c r="Z25" s="39"/>
      <c r="AA25" s="39"/>
      <c r="AB25" s="40"/>
      <c r="AC25" s="38"/>
      <c r="AD25" s="45"/>
      <c r="AE25" s="39"/>
      <c r="AF25" s="39"/>
      <c r="AG25" s="40"/>
    </row>
    <row r="26" spans="2:33" ht="15.75" thickBot="1" x14ac:dyDescent="0.3">
      <c r="B26" s="41" t="s">
        <v>106</v>
      </c>
      <c r="C26" s="42"/>
      <c r="D26" s="42"/>
      <c r="E26" s="43"/>
      <c r="F26" s="41" t="s">
        <v>106</v>
      </c>
      <c r="G26" s="42"/>
      <c r="H26" s="42"/>
      <c r="I26" s="42"/>
      <c r="J26" s="43"/>
      <c r="N26" s="41" t="s">
        <v>106</v>
      </c>
      <c r="O26" s="42"/>
      <c r="P26" s="42"/>
      <c r="Q26" s="43"/>
      <c r="R26" s="41" t="s">
        <v>106</v>
      </c>
      <c r="S26" s="42"/>
      <c r="T26" s="42"/>
      <c r="U26" s="42"/>
      <c r="V26" s="43"/>
      <c r="Y26" s="41" t="s">
        <v>106</v>
      </c>
      <c r="Z26" s="42"/>
      <c r="AA26" s="42"/>
      <c r="AB26" s="43"/>
      <c r="AC26" s="41" t="s">
        <v>106</v>
      </c>
      <c r="AD26" s="42"/>
      <c r="AE26" s="42"/>
      <c r="AF26" s="42"/>
      <c r="AG26" s="43"/>
    </row>
    <row r="27" spans="2:33" x14ac:dyDescent="0.25">
      <c r="B27" s="38"/>
      <c r="C27" s="50"/>
      <c r="D27" s="39"/>
      <c r="E27" s="40"/>
      <c r="F27" s="38" t="s">
        <v>109</v>
      </c>
      <c r="G27" s="60"/>
      <c r="H27" s="39" t="e">
        <f>#REF!</f>
        <v>#REF!</v>
      </c>
      <c r="I27" s="39" t="s">
        <v>122</v>
      </c>
      <c r="J27" s="40"/>
      <c r="N27" s="38"/>
      <c r="O27" s="50"/>
      <c r="P27" s="39"/>
      <c r="Q27" s="40"/>
      <c r="R27" s="38"/>
      <c r="S27" s="60"/>
      <c r="T27" s="39"/>
      <c r="U27" s="39"/>
      <c r="V27" s="40"/>
      <c r="Y27" s="38"/>
      <c r="Z27" s="50"/>
      <c r="AA27" s="39"/>
      <c r="AB27" s="40"/>
      <c r="AC27" s="38"/>
      <c r="AD27" s="60"/>
      <c r="AE27" s="39"/>
      <c r="AF27" s="39"/>
      <c r="AG27" s="40"/>
    </row>
    <row r="28" spans="2:33" x14ac:dyDescent="0.25">
      <c r="B28" s="38"/>
      <c r="C28" s="50"/>
      <c r="D28" s="39"/>
      <c r="E28" s="40"/>
      <c r="F28" s="38" t="s">
        <v>115</v>
      </c>
      <c r="G28" s="60"/>
      <c r="H28" s="39"/>
      <c r="I28" s="39"/>
      <c r="J28" s="40"/>
      <c r="N28" s="38"/>
      <c r="O28" s="50"/>
      <c r="P28" s="39"/>
      <c r="Q28" s="40"/>
      <c r="R28" s="38"/>
      <c r="S28" s="60"/>
      <c r="T28" s="39"/>
      <c r="U28" s="39"/>
      <c r="V28" s="40"/>
      <c r="Y28" s="38"/>
      <c r="Z28" s="50"/>
      <c r="AA28" s="39"/>
      <c r="AB28" s="40"/>
      <c r="AC28" s="38"/>
      <c r="AD28" s="60"/>
      <c r="AE28" s="39"/>
      <c r="AF28" s="39"/>
      <c r="AG28" s="40"/>
    </row>
    <row r="29" spans="2:33" x14ac:dyDescent="0.25">
      <c r="B29" s="38"/>
      <c r="C29" s="54"/>
      <c r="D29" s="39"/>
      <c r="E29" s="40"/>
      <c r="F29" s="63"/>
      <c r="G29" s="61"/>
      <c r="H29" s="62"/>
      <c r="I29" s="61"/>
      <c r="J29" s="65"/>
      <c r="N29" s="38"/>
      <c r="O29" s="54"/>
      <c r="P29" s="39"/>
      <c r="Q29" s="40"/>
      <c r="R29" s="63"/>
      <c r="S29" s="61"/>
      <c r="T29" s="62"/>
      <c r="U29" s="61"/>
      <c r="V29" s="65"/>
      <c r="Y29" s="38"/>
      <c r="Z29" s="54"/>
      <c r="AA29" s="39"/>
      <c r="AB29" s="40"/>
      <c r="AC29" s="63"/>
      <c r="AD29" s="61"/>
      <c r="AE29" s="62"/>
      <c r="AF29" s="61"/>
      <c r="AG29" s="65"/>
    </row>
    <row r="30" spans="2:33" ht="15.75" thickBot="1" x14ac:dyDescent="0.3">
      <c r="B30" s="38"/>
      <c r="C30" s="39"/>
      <c r="D30" s="39"/>
      <c r="E30" s="40"/>
      <c r="F30" s="38"/>
      <c r="G30" s="39"/>
      <c r="H30" s="55"/>
      <c r="I30" s="39"/>
      <c r="J30" s="40"/>
      <c r="N30" s="38"/>
      <c r="O30" s="39"/>
      <c r="P30" s="39"/>
      <c r="Q30" s="40"/>
      <c r="R30" s="38"/>
      <c r="S30" s="39"/>
      <c r="T30" s="55"/>
      <c r="U30" s="39"/>
      <c r="V30" s="40"/>
      <c r="Y30" s="38"/>
      <c r="Z30" s="39"/>
      <c r="AA30" s="39"/>
      <c r="AB30" s="40"/>
      <c r="AC30" s="38"/>
      <c r="AD30" s="39"/>
      <c r="AE30" s="55"/>
      <c r="AF30" s="39"/>
      <c r="AG30" s="40"/>
    </row>
    <row r="31" spans="2:33" ht="15.75" thickBot="1" x14ac:dyDescent="0.3">
      <c r="B31" s="41" t="s">
        <v>112</v>
      </c>
      <c r="C31" s="42"/>
      <c r="D31" s="42"/>
      <c r="E31" s="43"/>
      <c r="F31" s="57" t="s">
        <v>112</v>
      </c>
      <c r="G31" s="56"/>
      <c r="H31" s="56"/>
      <c r="I31" s="56"/>
      <c r="J31" s="58"/>
      <c r="N31" s="41" t="s">
        <v>112</v>
      </c>
      <c r="O31" s="42"/>
      <c r="P31" s="42"/>
      <c r="Q31" s="43"/>
      <c r="R31" s="57" t="s">
        <v>112</v>
      </c>
      <c r="S31" s="56"/>
      <c r="T31" s="56"/>
      <c r="U31" s="56"/>
      <c r="V31" s="58"/>
      <c r="Y31" s="41" t="s">
        <v>112</v>
      </c>
      <c r="Z31" s="42"/>
      <c r="AA31" s="42"/>
      <c r="AB31" s="43"/>
      <c r="AC31" s="57" t="s">
        <v>112</v>
      </c>
      <c r="AD31" s="56"/>
      <c r="AE31" s="56"/>
      <c r="AF31" s="56"/>
      <c r="AG31" s="58"/>
    </row>
    <row r="32" spans="2:33" x14ac:dyDescent="0.25">
      <c r="B32" s="51"/>
      <c r="C32" s="59"/>
      <c r="D32" s="52"/>
      <c r="E32" s="53"/>
      <c r="F32" s="51"/>
      <c r="G32" s="52"/>
      <c r="H32" s="52"/>
      <c r="I32" s="52"/>
      <c r="J32" s="53"/>
      <c r="N32" s="51"/>
      <c r="O32" s="59"/>
      <c r="P32" s="52"/>
      <c r="Q32" s="53"/>
      <c r="R32" s="51"/>
      <c r="S32" s="52"/>
      <c r="T32" s="52"/>
      <c r="U32" s="52"/>
      <c r="V32" s="53"/>
      <c r="Y32" s="51"/>
      <c r="Z32" s="59"/>
      <c r="AA32" s="52"/>
      <c r="AB32" s="53"/>
      <c r="AC32" s="51"/>
      <c r="AD32" s="52"/>
      <c r="AE32" s="52"/>
      <c r="AF32" s="52"/>
      <c r="AG32" s="53"/>
    </row>
    <row r="33" spans="2:33" x14ac:dyDescent="0.25">
      <c r="B33" s="38"/>
      <c r="C33" s="39"/>
      <c r="D33" s="39"/>
      <c r="E33" s="40"/>
      <c r="F33" s="38"/>
      <c r="G33" s="45"/>
      <c r="H33" s="39"/>
      <c r="I33" s="39"/>
      <c r="J33" s="40"/>
      <c r="N33" s="38"/>
      <c r="O33" s="39"/>
      <c r="P33" s="39"/>
      <c r="Q33" s="40"/>
      <c r="R33" s="38"/>
      <c r="S33" s="45"/>
      <c r="T33" s="39"/>
      <c r="U33" s="39"/>
      <c r="V33" s="40"/>
      <c r="Y33" s="38"/>
      <c r="Z33" s="39"/>
      <c r="AA33" s="39"/>
      <c r="AB33" s="40"/>
      <c r="AC33" s="38"/>
      <c r="AD33" s="45"/>
      <c r="AE33" s="39"/>
      <c r="AF33" s="39"/>
      <c r="AG33" s="40"/>
    </row>
    <row r="34" spans="2:33" x14ac:dyDescent="0.25">
      <c r="B34" s="38"/>
      <c r="C34" s="39"/>
      <c r="D34" s="39"/>
      <c r="E34" s="40"/>
      <c r="F34" s="38"/>
      <c r="G34" s="45"/>
      <c r="H34" s="39"/>
      <c r="I34" s="39"/>
      <c r="J34" s="40"/>
      <c r="N34" s="38"/>
      <c r="O34" s="39"/>
      <c r="P34" s="39"/>
      <c r="Q34" s="40"/>
      <c r="R34" s="38"/>
      <c r="S34" s="45"/>
      <c r="T34" s="39"/>
      <c r="U34" s="39"/>
      <c r="V34" s="40"/>
      <c r="Y34" s="38"/>
      <c r="Z34" s="39"/>
      <c r="AA34" s="39"/>
      <c r="AB34" s="40"/>
      <c r="AC34" s="38"/>
      <c r="AD34" s="45"/>
      <c r="AE34" s="39"/>
      <c r="AF34" s="39"/>
      <c r="AG34" s="40"/>
    </row>
    <row r="35" spans="2:33" ht="15.75" thickBot="1" x14ac:dyDescent="0.3">
      <c r="B35" s="46"/>
      <c r="C35" s="48"/>
      <c r="D35" s="48"/>
      <c r="E35" s="49"/>
      <c r="F35" s="46"/>
      <c r="G35" s="47"/>
      <c r="H35" s="48"/>
      <c r="I35" s="48"/>
      <c r="J35" s="49"/>
      <c r="N35" s="46"/>
      <c r="O35" s="48"/>
      <c r="P35" s="48"/>
      <c r="Q35" s="49"/>
      <c r="R35" s="46"/>
      <c r="S35" s="47"/>
      <c r="T35" s="48"/>
      <c r="U35" s="48"/>
      <c r="V35" s="49"/>
      <c r="Y35" s="46"/>
      <c r="Z35" s="48"/>
      <c r="AA35" s="48"/>
      <c r="AB35" s="49"/>
      <c r="AC35" s="46"/>
      <c r="AD35" s="47"/>
      <c r="AE35" s="48"/>
      <c r="AF35" s="48"/>
      <c r="AG35" s="49"/>
    </row>
    <row r="36" spans="2:33" ht="15.75" thickBot="1" x14ac:dyDescent="0.3"/>
    <row r="37" spans="2:33" ht="15.75" thickBot="1" x14ac:dyDescent="0.3">
      <c r="B37" s="32" t="s">
        <v>111</v>
      </c>
      <c r="C37" s="33"/>
      <c r="D37" s="33"/>
      <c r="E37" s="34"/>
      <c r="F37" s="64" t="s">
        <v>134</v>
      </c>
      <c r="G37" s="35"/>
      <c r="H37" s="36"/>
      <c r="I37" s="36"/>
      <c r="J37" s="37"/>
      <c r="N37" s="32" t="s">
        <v>111</v>
      </c>
      <c r="O37" s="33"/>
      <c r="P37" s="33"/>
      <c r="Q37" s="34"/>
      <c r="R37" s="64" t="s">
        <v>134</v>
      </c>
      <c r="S37" s="35"/>
      <c r="T37" s="36"/>
      <c r="U37" s="36"/>
      <c r="V37" s="37"/>
      <c r="Y37" s="32" t="s">
        <v>111</v>
      </c>
      <c r="Z37" s="33"/>
      <c r="AA37" s="33"/>
      <c r="AB37" s="34"/>
      <c r="AC37" s="64" t="s">
        <v>134</v>
      </c>
      <c r="AD37" s="35"/>
      <c r="AE37" s="36"/>
      <c r="AF37" s="36"/>
      <c r="AG37" s="37"/>
    </row>
    <row r="38" spans="2:33" ht="15.75" thickBot="1" x14ac:dyDescent="0.3">
      <c r="B38" s="38"/>
      <c r="C38" s="39"/>
      <c r="D38" s="39"/>
      <c r="E38" s="40"/>
      <c r="F38" s="51"/>
      <c r="G38" s="52"/>
      <c r="H38" s="52"/>
      <c r="I38" s="52"/>
      <c r="J38" s="53"/>
      <c r="N38" s="38"/>
      <c r="O38" s="39"/>
      <c r="P38" s="39"/>
      <c r="Q38" s="40"/>
      <c r="R38" s="51"/>
      <c r="S38" s="52"/>
      <c r="T38" s="52"/>
      <c r="U38" s="52"/>
      <c r="V38" s="53"/>
      <c r="Y38" s="38"/>
      <c r="Z38" s="39"/>
      <c r="AA38" s="39"/>
      <c r="AB38" s="40"/>
      <c r="AC38" s="51"/>
      <c r="AD38" s="52"/>
      <c r="AE38" s="52"/>
      <c r="AF38" s="52"/>
      <c r="AG38" s="53"/>
    </row>
    <row r="39" spans="2:33" ht="15.75" thickBot="1" x14ac:dyDescent="0.3">
      <c r="B39" s="41" t="s">
        <v>105</v>
      </c>
      <c r="C39" s="42"/>
      <c r="D39" s="42"/>
      <c r="E39" s="43"/>
      <c r="F39" s="41" t="s">
        <v>105</v>
      </c>
      <c r="G39" s="42"/>
      <c r="H39" s="42"/>
      <c r="I39" s="42"/>
      <c r="J39" s="43"/>
      <c r="N39" s="41" t="s">
        <v>105</v>
      </c>
      <c r="O39" s="42"/>
      <c r="P39" s="42"/>
      <c r="Q39" s="43"/>
      <c r="R39" s="41" t="s">
        <v>105</v>
      </c>
      <c r="S39" s="42"/>
      <c r="T39" s="42"/>
      <c r="U39" s="42"/>
      <c r="V39" s="43"/>
      <c r="Y39" s="41" t="s">
        <v>105</v>
      </c>
      <c r="Z39" s="42"/>
      <c r="AA39" s="42"/>
      <c r="AB39" s="43"/>
      <c r="AC39" s="41" t="s">
        <v>105</v>
      </c>
      <c r="AD39" s="42"/>
      <c r="AE39" s="42"/>
      <c r="AF39" s="42"/>
      <c r="AG39" s="43"/>
    </row>
    <row r="40" spans="2:33" x14ac:dyDescent="0.25">
      <c r="B40" s="38"/>
      <c r="C40" s="44"/>
      <c r="D40" s="39"/>
      <c r="E40" s="40"/>
      <c r="F40" s="38"/>
      <c r="G40" s="45"/>
      <c r="H40" s="39"/>
      <c r="I40" s="39"/>
      <c r="J40" s="40"/>
      <c r="N40" s="38"/>
      <c r="O40" s="44"/>
      <c r="P40" s="39"/>
      <c r="Q40" s="40"/>
      <c r="R40" s="38"/>
      <c r="S40" s="45"/>
      <c r="T40" s="39"/>
      <c r="U40" s="39"/>
      <c r="V40" s="40"/>
      <c r="Y40" s="38"/>
      <c r="Z40" s="44"/>
      <c r="AA40" s="39"/>
      <c r="AB40" s="40"/>
      <c r="AC40" s="38"/>
      <c r="AD40" s="45"/>
      <c r="AE40" s="39"/>
      <c r="AF40" s="39"/>
      <c r="AG40" s="40"/>
    </row>
    <row r="41" spans="2:33" ht="15.75" thickBot="1" x14ac:dyDescent="0.3">
      <c r="B41" s="38"/>
      <c r="C41" s="39"/>
      <c r="D41" s="39"/>
      <c r="E41" s="40"/>
      <c r="F41" s="38"/>
      <c r="G41" s="45"/>
      <c r="H41" s="39"/>
      <c r="I41" s="39"/>
      <c r="J41" s="40"/>
      <c r="N41" s="38"/>
      <c r="O41" s="39"/>
      <c r="P41" s="39"/>
      <c r="Q41" s="40"/>
      <c r="R41" s="38"/>
      <c r="S41" s="45"/>
      <c r="T41" s="39"/>
      <c r="U41" s="39"/>
      <c r="V41" s="40"/>
      <c r="Y41" s="38"/>
      <c r="Z41" s="39"/>
      <c r="AA41" s="39"/>
      <c r="AB41" s="40"/>
      <c r="AC41" s="38"/>
      <c r="AD41" s="45"/>
      <c r="AE41" s="39"/>
      <c r="AF41" s="39"/>
      <c r="AG41" s="40"/>
    </row>
    <row r="42" spans="2:33" ht="15.75" thickBot="1" x14ac:dyDescent="0.3">
      <c r="B42" s="41" t="s">
        <v>106</v>
      </c>
      <c r="C42" s="42"/>
      <c r="D42" s="42"/>
      <c r="E42" s="43"/>
      <c r="F42" s="41" t="s">
        <v>106</v>
      </c>
      <c r="G42" s="42"/>
      <c r="H42" s="42"/>
      <c r="I42" s="42"/>
      <c r="J42" s="43"/>
      <c r="N42" s="41" t="s">
        <v>106</v>
      </c>
      <c r="O42" s="42"/>
      <c r="P42" s="42"/>
      <c r="Q42" s="43"/>
      <c r="R42" s="41" t="s">
        <v>106</v>
      </c>
      <c r="S42" s="42"/>
      <c r="T42" s="42"/>
      <c r="U42" s="42"/>
      <c r="V42" s="43"/>
      <c r="Y42" s="41" t="s">
        <v>106</v>
      </c>
      <c r="Z42" s="42"/>
      <c r="AA42" s="42"/>
      <c r="AB42" s="43"/>
      <c r="AC42" s="41" t="s">
        <v>106</v>
      </c>
      <c r="AD42" s="42"/>
      <c r="AE42" s="42"/>
      <c r="AF42" s="42"/>
      <c r="AG42" s="43"/>
    </row>
    <row r="43" spans="2:33" x14ac:dyDescent="0.25">
      <c r="B43" s="38"/>
      <c r="C43" s="50"/>
      <c r="D43" s="39"/>
      <c r="E43" s="40"/>
      <c r="F43" s="38" t="s">
        <v>109</v>
      </c>
      <c r="G43" s="60"/>
      <c r="H43" s="39" t="e">
        <f>#REF!</f>
        <v>#REF!</v>
      </c>
      <c r="I43" s="39" t="s">
        <v>122</v>
      </c>
      <c r="J43" s="40"/>
      <c r="N43" s="38"/>
      <c r="O43" s="50"/>
      <c r="P43" s="39"/>
      <c r="Q43" s="40"/>
      <c r="R43" s="38"/>
      <c r="S43" s="60"/>
      <c r="T43" s="39"/>
      <c r="U43" s="39"/>
      <c r="V43" s="40"/>
      <c r="Y43" s="38"/>
      <c r="Z43" s="50"/>
      <c r="AA43" s="39"/>
      <c r="AB43" s="40"/>
      <c r="AC43" s="38"/>
      <c r="AD43" s="60"/>
      <c r="AE43" s="39"/>
      <c r="AF43" s="39"/>
      <c r="AG43" s="40"/>
    </row>
    <row r="44" spans="2:33" x14ac:dyDescent="0.25">
      <c r="B44" s="38"/>
      <c r="C44" s="54"/>
      <c r="D44" s="39"/>
      <c r="E44" s="40"/>
      <c r="F44" s="63"/>
      <c r="G44" s="61"/>
      <c r="H44" s="62"/>
      <c r="I44" s="61"/>
      <c r="J44" s="65"/>
      <c r="N44" s="38"/>
      <c r="O44" s="54"/>
      <c r="P44" s="39"/>
      <c r="Q44" s="40"/>
      <c r="R44" s="63"/>
      <c r="S44" s="61"/>
      <c r="T44" s="62"/>
      <c r="U44" s="61"/>
      <c r="V44" s="65"/>
      <c r="Y44" s="38"/>
      <c r="Z44" s="54"/>
      <c r="AA44" s="39"/>
      <c r="AB44" s="40"/>
      <c r="AC44" s="63"/>
      <c r="AD44" s="61"/>
      <c r="AE44" s="62"/>
      <c r="AF44" s="61"/>
      <c r="AG44" s="65"/>
    </row>
    <row r="45" spans="2:33" x14ac:dyDescent="0.25">
      <c r="B45" s="38"/>
      <c r="C45" s="54"/>
      <c r="D45" s="39"/>
      <c r="E45" s="40"/>
      <c r="F45" s="63"/>
      <c r="G45" s="61"/>
      <c r="H45" s="62"/>
      <c r="I45" s="61"/>
      <c r="J45" s="65"/>
      <c r="N45" s="38"/>
      <c r="O45" s="54"/>
      <c r="P45" s="39"/>
      <c r="Q45" s="40"/>
      <c r="R45" s="63"/>
      <c r="S45" s="61"/>
      <c r="T45" s="62"/>
      <c r="U45" s="61"/>
      <c r="V45" s="65"/>
      <c r="Y45" s="38"/>
      <c r="Z45" s="54"/>
      <c r="AA45" s="39"/>
      <c r="AB45" s="40"/>
      <c r="AC45" s="63"/>
      <c r="AD45" s="61"/>
      <c r="AE45" s="62"/>
      <c r="AF45" s="61"/>
      <c r="AG45" s="65"/>
    </row>
    <row r="46" spans="2:33" ht="15.75" thickBot="1" x14ac:dyDescent="0.3">
      <c r="B46" s="38"/>
      <c r="C46" s="39"/>
      <c r="D46" s="39"/>
      <c r="E46" s="40"/>
      <c r="F46" s="38"/>
      <c r="G46" s="39"/>
      <c r="H46" s="55"/>
      <c r="I46" s="39"/>
      <c r="J46" s="40"/>
      <c r="N46" s="38"/>
      <c r="O46" s="39"/>
      <c r="P46" s="39"/>
      <c r="Q46" s="40"/>
      <c r="R46" s="38"/>
      <c r="S46" s="39"/>
      <c r="T46" s="55"/>
      <c r="U46" s="39"/>
      <c r="V46" s="40"/>
      <c r="Y46" s="38"/>
      <c r="Z46" s="39"/>
      <c r="AA46" s="39"/>
      <c r="AB46" s="40"/>
      <c r="AC46" s="38"/>
      <c r="AD46" s="39"/>
      <c r="AE46" s="55"/>
      <c r="AF46" s="39"/>
      <c r="AG46" s="40"/>
    </row>
    <row r="47" spans="2:33" ht="15.75" thickBot="1" x14ac:dyDescent="0.3">
      <c r="B47" s="41" t="s">
        <v>112</v>
      </c>
      <c r="C47" s="42"/>
      <c r="D47" s="42"/>
      <c r="E47" s="43"/>
      <c r="F47" s="57" t="s">
        <v>112</v>
      </c>
      <c r="G47" s="56"/>
      <c r="H47" s="56"/>
      <c r="I47" s="56"/>
      <c r="J47" s="58"/>
      <c r="N47" s="41" t="s">
        <v>112</v>
      </c>
      <c r="O47" s="42"/>
      <c r="P47" s="42"/>
      <c r="Q47" s="43"/>
      <c r="R47" s="57" t="s">
        <v>112</v>
      </c>
      <c r="S47" s="56"/>
      <c r="T47" s="56"/>
      <c r="U47" s="56"/>
      <c r="V47" s="58"/>
      <c r="Y47" s="41" t="s">
        <v>112</v>
      </c>
      <c r="Z47" s="42"/>
      <c r="AA47" s="42"/>
      <c r="AB47" s="43"/>
      <c r="AC47" s="57" t="s">
        <v>112</v>
      </c>
      <c r="AD47" s="56"/>
      <c r="AE47" s="56"/>
      <c r="AF47" s="56"/>
      <c r="AG47" s="58"/>
    </row>
    <row r="48" spans="2:33" x14ac:dyDescent="0.25">
      <c r="B48" s="51"/>
      <c r="C48" s="59"/>
      <c r="D48" s="52"/>
      <c r="E48" s="53"/>
      <c r="F48" s="51"/>
      <c r="G48" s="52"/>
      <c r="H48" s="52"/>
      <c r="I48" s="52"/>
      <c r="J48" s="53"/>
      <c r="N48" s="51"/>
      <c r="O48" s="59"/>
      <c r="P48" s="52"/>
      <c r="Q48" s="53"/>
      <c r="R48" s="51"/>
      <c r="S48" s="52"/>
      <c r="T48" s="52"/>
      <c r="U48" s="52"/>
      <c r="V48" s="53"/>
      <c r="Y48" s="51"/>
      <c r="Z48" s="59"/>
      <c r="AA48" s="52"/>
      <c r="AB48" s="53"/>
      <c r="AC48" s="51"/>
      <c r="AD48" s="52"/>
      <c r="AE48" s="52"/>
      <c r="AF48" s="52"/>
      <c r="AG48" s="53"/>
    </row>
    <row r="49" spans="2:33" x14ac:dyDescent="0.25">
      <c r="B49" s="38"/>
      <c r="C49" s="39"/>
      <c r="D49" s="39"/>
      <c r="E49" s="40"/>
      <c r="F49" s="38"/>
      <c r="G49" s="45"/>
      <c r="H49" s="39"/>
      <c r="I49" s="39"/>
      <c r="J49" s="40"/>
      <c r="N49" s="38"/>
      <c r="O49" s="39"/>
      <c r="P49" s="39"/>
      <c r="Q49" s="40"/>
      <c r="R49" s="38"/>
      <c r="S49" s="45"/>
      <c r="T49" s="39"/>
      <c r="U49" s="39"/>
      <c r="V49" s="40"/>
      <c r="Y49" s="38"/>
      <c r="Z49" s="39"/>
      <c r="AA49" s="39"/>
      <c r="AB49" s="40"/>
      <c r="AC49" s="38"/>
      <c r="AD49" s="45"/>
      <c r="AE49" s="39"/>
      <c r="AF49" s="39"/>
      <c r="AG49" s="40"/>
    </row>
    <row r="50" spans="2:33" x14ac:dyDescent="0.25">
      <c r="B50" s="38"/>
      <c r="C50" s="39"/>
      <c r="D50" s="39"/>
      <c r="E50" s="40"/>
      <c r="F50" s="38"/>
      <c r="G50" s="45"/>
      <c r="H50" s="39"/>
      <c r="I50" s="39"/>
      <c r="J50" s="40"/>
      <c r="N50" s="38"/>
      <c r="O50" s="39"/>
      <c r="P50" s="39"/>
      <c r="Q50" s="40"/>
      <c r="R50" s="38"/>
      <c r="S50" s="45"/>
      <c r="T50" s="39"/>
      <c r="U50" s="39"/>
      <c r="V50" s="40"/>
      <c r="Y50" s="38"/>
      <c r="Z50" s="39"/>
      <c r="AA50" s="39"/>
      <c r="AB50" s="40"/>
      <c r="AC50" s="38"/>
      <c r="AD50" s="45"/>
      <c r="AE50" s="39"/>
      <c r="AF50" s="39"/>
      <c r="AG50" s="40"/>
    </row>
    <row r="51" spans="2:33" ht="15.75" thickBot="1" x14ac:dyDescent="0.3">
      <c r="B51" s="46"/>
      <c r="C51" s="48"/>
      <c r="D51" s="48"/>
      <c r="E51" s="49"/>
      <c r="F51" s="46"/>
      <c r="G51" s="47"/>
      <c r="H51" s="48"/>
      <c r="I51" s="48"/>
      <c r="J51" s="49"/>
      <c r="N51" s="46"/>
      <c r="O51" s="48"/>
      <c r="P51" s="48"/>
      <c r="Q51" s="49"/>
      <c r="R51" s="46"/>
      <c r="S51" s="47"/>
      <c r="T51" s="48"/>
      <c r="U51" s="48"/>
      <c r="V51" s="49"/>
      <c r="Y51" s="46"/>
      <c r="Z51" s="48"/>
      <c r="AA51" s="48"/>
      <c r="AB51" s="49"/>
      <c r="AC51" s="46"/>
      <c r="AD51" s="47"/>
      <c r="AE51" s="48"/>
      <c r="AF51" s="48"/>
      <c r="AG51" s="49"/>
    </row>
    <row r="52" spans="2:33" ht="15.75" thickBot="1" x14ac:dyDescent="0.3"/>
    <row r="53" spans="2:33" ht="15.75" thickBot="1" x14ac:dyDescent="0.3">
      <c r="B53" s="32" t="s">
        <v>111</v>
      </c>
      <c r="C53" s="33"/>
      <c r="D53" s="33"/>
      <c r="E53" s="34"/>
      <c r="F53" s="64" t="s">
        <v>135</v>
      </c>
      <c r="G53" s="35"/>
      <c r="H53" s="36"/>
      <c r="I53" s="36"/>
      <c r="J53" s="37"/>
      <c r="N53" s="32" t="s">
        <v>111</v>
      </c>
      <c r="O53" s="33"/>
      <c r="P53" s="33"/>
      <c r="Q53" s="34"/>
      <c r="R53" s="64" t="s">
        <v>135</v>
      </c>
      <c r="S53" s="35"/>
      <c r="T53" s="36"/>
      <c r="U53" s="36"/>
      <c r="V53" s="37"/>
      <c r="Y53" s="32" t="s">
        <v>111</v>
      </c>
      <c r="Z53" s="33"/>
      <c r="AA53" s="33"/>
      <c r="AB53" s="34"/>
      <c r="AC53" s="64" t="s">
        <v>135</v>
      </c>
      <c r="AD53" s="35"/>
      <c r="AE53" s="36"/>
      <c r="AF53" s="36"/>
      <c r="AG53" s="37"/>
    </row>
    <row r="54" spans="2:33" ht="15.75" thickBot="1" x14ac:dyDescent="0.3">
      <c r="B54" s="38"/>
      <c r="C54" s="39"/>
      <c r="D54" s="39"/>
      <c r="E54" s="40"/>
      <c r="F54" s="51"/>
      <c r="G54" s="52"/>
      <c r="H54" s="52"/>
      <c r="I54" s="52"/>
      <c r="J54" s="53"/>
      <c r="N54" s="38"/>
      <c r="O54" s="39"/>
      <c r="P54" s="39"/>
      <c r="Q54" s="40"/>
      <c r="R54" s="51"/>
      <c r="S54" s="52"/>
      <c r="T54" s="52"/>
      <c r="U54" s="52"/>
      <c r="V54" s="53"/>
      <c r="Y54" s="38"/>
      <c r="Z54" s="39"/>
      <c r="AA54" s="39"/>
      <c r="AB54" s="40"/>
      <c r="AC54" s="51"/>
      <c r="AD54" s="52"/>
      <c r="AE54" s="52"/>
      <c r="AF54" s="52"/>
      <c r="AG54" s="53"/>
    </row>
    <row r="55" spans="2:33" ht="15.75" thickBot="1" x14ac:dyDescent="0.3">
      <c r="B55" s="41" t="s">
        <v>105</v>
      </c>
      <c r="C55" s="42"/>
      <c r="D55" s="42"/>
      <c r="E55" s="43"/>
      <c r="F55" s="41" t="s">
        <v>105</v>
      </c>
      <c r="G55" s="42"/>
      <c r="H55" s="42"/>
      <c r="I55" s="42"/>
      <c r="J55" s="43"/>
      <c r="N55" s="41" t="s">
        <v>105</v>
      </c>
      <c r="O55" s="42"/>
      <c r="P55" s="42"/>
      <c r="Q55" s="43"/>
      <c r="R55" s="41" t="s">
        <v>105</v>
      </c>
      <c r="S55" s="42"/>
      <c r="T55" s="42"/>
      <c r="U55" s="42"/>
      <c r="V55" s="43"/>
      <c r="Y55" s="41" t="s">
        <v>105</v>
      </c>
      <c r="Z55" s="42"/>
      <c r="AA55" s="42"/>
      <c r="AB55" s="43"/>
      <c r="AC55" s="41" t="s">
        <v>105</v>
      </c>
      <c r="AD55" s="42"/>
      <c r="AE55" s="42"/>
      <c r="AF55" s="42"/>
      <c r="AG55" s="43"/>
    </row>
    <row r="56" spans="2:33" x14ac:dyDescent="0.25">
      <c r="B56" s="38"/>
      <c r="C56" s="44"/>
      <c r="D56" s="39"/>
      <c r="E56" s="40"/>
      <c r="F56" s="38"/>
      <c r="G56" s="45"/>
      <c r="H56" s="39"/>
      <c r="I56" s="39"/>
      <c r="J56" s="40"/>
      <c r="N56" s="38"/>
      <c r="O56" s="44"/>
      <c r="P56" s="39"/>
      <c r="Q56" s="40"/>
      <c r="R56" s="38"/>
      <c r="S56" s="45"/>
      <c r="T56" s="39"/>
      <c r="U56" s="39"/>
      <c r="V56" s="40"/>
      <c r="Y56" s="38"/>
      <c r="Z56" s="44"/>
      <c r="AA56" s="39"/>
      <c r="AB56" s="40"/>
      <c r="AC56" s="38"/>
      <c r="AD56" s="45"/>
      <c r="AE56" s="39"/>
      <c r="AF56" s="39"/>
      <c r="AG56" s="40"/>
    </row>
    <row r="57" spans="2:33" ht="15.75" thickBot="1" x14ac:dyDescent="0.3">
      <c r="B57" s="38"/>
      <c r="C57" s="39"/>
      <c r="D57" s="39"/>
      <c r="E57" s="40"/>
      <c r="F57" s="38"/>
      <c r="G57" s="45"/>
      <c r="H57" s="39"/>
      <c r="I57" s="39"/>
      <c r="J57" s="40"/>
      <c r="N57" s="38"/>
      <c r="O57" s="39"/>
      <c r="P57" s="39"/>
      <c r="Q57" s="40"/>
      <c r="R57" s="38"/>
      <c r="S57" s="45"/>
      <c r="T57" s="39"/>
      <c r="U57" s="39"/>
      <c r="V57" s="40"/>
      <c r="Y57" s="38"/>
      <c r="Z57" s="39"/>
      <c r="AA57" s="39"/>
      <c r="AB57" s="40"/>
      <c r="AC57" s="38"/>
      <c r="AD57" s="45"/>
      <c r="AE57" s="39"/>
      <c r="AF57" s="39"/>
      <c r="AG57" s="40"/>
    </row>
    <row r="58" spans="2:33" ht="15.75" thickBot="1" x14ac:dyDescent="0.3">
      <c r="B58" s="41" t="s">
        <v>106</v>
      </c>
      <c r="C58" s="42"/>
      <c r="D58" s="42"/>
      <c r="E58" s="43"/>
      <c r="F58" s="41" t="s">
        <v>106</v>
      </c>
      <c r="G58" s="42"/>
      <c r="H58" s="42"/>
      <c r="I58" s="42"/>
      <c r="J58" s="43"/>
      <c r="N58" s="41" t="s">
        <v>106</v>
      </c>
      <c r="O58" s="42"/>
      <c r="P58" s="42"/>
      <c r="Q58" s="43"/>
      <c r="R58" s="41" t="s">
        <v>106</v>
      </c>
      <c r="S58" s="42"/>
      <c r="T58" s="42"/>
      <c r="U58" s="42"/>
      <c r="V58" s="43"/>
      <c r="Y58" s="41" t="s">
        <v>106</v>
      </c>
      <c r="Z58" s="42"/>
      <c r="AA58" s="42"/>
      <c r="AB58" s="43"/>
      <c r="AC58" s="41" t="s">
        <v>106</v>
      </c>
      <c r="AD58" s="42"/>
      <c r="AE58" s="42"/>
      <c r="AF58" s="42"/>
      <c r="AG58" s="43"/>
    </row>
    <row r="59" spans="2:33" x14ac:dyDescent="0.25">
      <c r="B59" s="38"/>
      <c r="C59" s="50"/>
      <c r="D59" s="39"/>
      <c r="E59" s="40"/>
      <c r="F59" s="38" t="s">
        <v>109</v>
      </c>
      <c r="G59" s="60"/>
      <c r="H59" s="39" t="e">
        <f>#REF!</f>
        <v>#REF!</v>
      </c>
      <c r="I59" s="39" t="s">
        <v>122</v>
      </c>
      <c r="J59" s="40"/>
      <c r="N59" s="38"/>
      <c r="O59" s="50"/>
      <c r="P59" s="39"/>
      <c r="Q59" s="40"/>
      <c r="R59" s="38"/>
      <c r="S59" s="60"/>
      <c r="T59" s="39"/>
      <c r="U59" s="39"/>
      <c r="V59" s="40"/>
      <c r="Y59" s="38"/>
      <c r="Z59" s="50"/>
      <c r="AA59" s="39"/>
      <c r="AB59" s="40"/>
      <c r="AC59" s="38"/>
      <c r="AD59" s="60"/>
      <c r="AE59" s="39"/>
      <c r="AF59" s="39"/>
      <c r="AG59" s="40"/>
    </row>
    <row r="60" spans="2:33" x14ac:dyDescent="0.25">
      <c r="B60" s="38"/>
      <c r="C60" s="50"/>
      <c r="D60" s="39"/>
      <c r="E60" s="40"/>
      <c r="F60" s="38"/>
      <c r="G60" s="60"/>
      <c r="H60" s="39"/>
      <c r="I60" s="39"/>
      <c r="J60" s="40"/>
      <c r="N60" s="38"/>
      <c r="O60" s="50"/>
      <c r="P60" s="39"/>
      <c r="Q60" s="40"/>
      <c r="R60" s="38"/>
      <c r="S60" s="60"/>
      <c r="T60" s="39"/>
      <c r="U60" s="39"/>
      <c r="V60" s="40"/>
      <c r="Y60" s="38"/>
      <c r="Z60" s="50"/>
      <c r="AA60" s="39"/>
      <c r="AB60" s="40"/>
      <c r="AC60" s="38"/>
      <c r="AD60" s="60"/>
      <c r="AE60" s="39"/>
      <c r="AF60" s="39"/>
      <c r="AG60" s="40"/>
    </row>
    <row r="61" spans="2:33" x14ac:dyDescent="0.25">
      <c r="B61" s="38"/>
      <c r="C61" s="54"/>
      <c r="D61" s="39"/>
      <c r="E61" s="40"/>
      <c r="F61" s="63"/>
      <c r="G61" s="61"/>
      <c r="H61" s="62"/>
      <c r="I61" s="61"/>
      <c r="J61" s="65"/>
      <c r="N61" s="38"/>
      <c r="O61" s="54"/>
      <c r="P61" s="39"/>
      <c r="Q61" s="40"/>
      <c r="R61" s="63"/>
      <c r="S61" s="61"/>
      <c r="T61" s="62"/>
      <c r="U61" s="61"/>
      <c r="V61" s="65"/>
      <c r="Y61" s="38"/>
      <c r="Z61" s="54"/>
      <c r="AA61" s="39"/>
      <c r="AB61" s="40"/>
      <c r="AC61" s="63"/>
      <c r="AD61" s="61"/>
      <c r="AE61" s="62"/>
      <c r="AF61" s="61"/>
      <c r="AG61" s="65"/>
    </row>
    <row r="62" spans="2:33" ht="15.75" thickBot="1" x14ac:dyDescent="0.3">
      <c r="B62" s="38"/>
      <c r="C62" s="39"/>
      <c r="D62" s="39"/>
      <c r="E62" s="40"/>
      <c r="F62" s="38"/>
      <c r="G62" s="39"/>
      <c r="H62" s="55"/>
      <c r="I62" s="39"/>
      <c r="J62" s="40"/>
      <c r="N62" s="38"/>
      <c r="O62" s="39"/>
      <c r="P62" s="39"/>
      <c r="Q62" s="40"/>
      <c r="R62" s="38"/>
      <c r="S62" s="39"/>
      <c r="T62" s="55"/>
      <c r="U62" s="39"/>
      <c r="V62" s="40"/>
      <c r="Y62" s="38"/>
      <c r="Z62" s="39"/>
      <c r="AA62" s="39"/>
      <c r="AB62" s="40"/>
      <c r="AC62" s="38"/>
      <c r="AD62" s="39"/>
      <c r="AE62" s="55"/>
      <c r="AF62" s="39"/>
      <c r="AG62" s="40"/>
    </row>
    <row r="63" spans="2:33" ht="15.75" thickBot="1" x14ac:dyDescent="0.3">
      <c r="B63" s="41" t="s">
        <v>112</v>
      </c>
      <c r="C63" s="42"/>
      <c r="D63" s="42"/>
      <c r="E63" s="43"/>
      <c r="F63" s="57" t="s">
        <v>112</v>
      </c>
      <c r="G63" s="56"/>
      <c r="H63" s="56"/>
      <c r="I63" s="56"/>
      <c r="J63" s="58"/>
      <c r="N63" s="41" t="s">
        <v>112</v>
      </c>
      <c r="O63" s="42"/>
      <c r="P63" s="42"/>
      <c r="Q63" s="43"/>
      <c r="R63" s="57" t="s">
        <v>112</v>
      </c>
      <c r="S63" s="56"/>
      <c r="T63" s="56"/>
      <c r="U63" s="56"/>
      <c r="V63" s="58"/>
      <c r="Y63" s="41" t="s">
        <v>112</v>
      </c>
      <c r="Z63" s="42"/>
      <c r="AA63" s="42"/>
      <c r="AB63" s="43"/>
      <c r="AC63" s="57" t="s">
        <v>112</v>
      </c>
      <c r="AD63" s="56"/>
      <c r="AE63" s="56"/>
      <c r="AF63" s="56"/>
      <c r="AG63" s="58"/>
    </row>
    <row r="64" spans="2:33" x14ac:dyDescent="0.25">
      <c r="B64" s="51"/>
      <c r="C64" s="59"/>
      <c r="D64" s="52"/>
      <c r="E64" s="53"/>
      <c r="F64" s="51"/>
      <c r="G64" s="52"/>
      <c r="H64" s="52"/>
      <c r="I64" s="52"/>
      <c r="J64" s="53"/>
      <c r="N64" s="51"/>
      <c r="O64" s="59"/>
      <c r="P64" s="52"/>
      <c r="Q64" s="53"/>
      <c r="R64" s="51"/>
      <c r="S64" s="52"/>
      <c r="T64" s="52"/>
      <c r="U64" s="52"/>
      <c r="V64" s="53"/>
      <c r="Y64" s="51"/>
      <c r="Z64" s="59"/>
      <c r="AA64" s="52"/>
      <c r="AB64" s="53"/>
      <c r="AC64" s="51"/>
      <c r="AD64" s="52"/>
      <c r="AE64" s="52"/>
      <c r="AF64" s="52"/>
      <c r="AG64" s="53"/>
    </row>
    <row r="65" spans="2:33" x14ac:dyDescent="0.25">
      <c r="B65" s="38"/>
      <c r="C65" s="39"/>
      <c r="D65" s="39"/>
      <c r="E65" s="40"/>
      <c r="F65" s="38"/>
      <c r="G65" s="45"/>
      <c r="H65" s="39"/>
      <c r="I65" s="39"/>
      <c r="J65" s="40"/>
      <c r="N65" s="38"/>
      <c r="O65" s="39"/>
      <c r="P65" s="39"/>
      <c r="Q65" s="40"/>
      <c r="R65" s="38"/>
      <c r="S65" s="45"/>
      <c r="T65" s="39"/>
      <c r="U65" s="39"/>
      <c r="V65" s="40"/>
      <c r="Y65" s="38"/>
      <c r="Z65" s="39"/>
      <c r="AA65" s="39"/>
      <c r="AB65" s="40"/>
      <c r="AC65" s="38"/>
      <c r="AD65" s="45"/>
      <c r="AE65" s="39"/>
      <c r="AF65" s="39"/>
      <c r="AG65" s="40"/>
    </row>
    <row r="66" spans="2:33" x14ac:dyDescent="0.25">
      <c r="B66" s="38"/>
      <c r="C66" s="39"/>
      <c r="D66" s="39"/>
      <c r="E66" s="40"/>
      <c r="F66" s="38"/>
      <c r="G66" s="45"/>
      <c r="H66" s="39"/>
      <c r="I66" s="39"/>
      <c r="J66" s="40"/>
      <c r="N66" s="38"/>
      <c r="O66" s="39"/>
      <c r="P66" s="39"/>
      <c r="Q66" s="40"/>
      <c r="R66" s="38"/>
      <c r="S66" s="45"/>
      <c r="T66" s="39"/>
      <c r="U66" s="39"/>
      <c r="V66" s="40"/>
      <c r="Y66" s="38"/>
      <c r="Z66" s="39"/>
      <c r="AA66" s="39"/>
      <c r="AB66" s="40"/>
      <c r="AC66" s="38"/>
      <c r="AD66" s="45"/>
      <c r="AE66" s="39"/>
      <c r="AF66" s="39"/>
      <c r="AG66" s="40"/>
    </row>
    <row r="67" spans="2:33" ht="15.75" thickBot="1" x14ac:dyDescent="0.3">
      <c r="B67" s="46"/>
      <c r="C67" s="48"/>
      <c r="D67" s="48"/>
      <c r="E67" s="49"/>
      <c r="F67" s="46"/>
      <c r="G67" s="47"/>
      <c r="H67" s="48"/>
      <c r="I67" s="48"/>
      <c r="J67" s="49"/>
      <c r="N67" s="46"/>
      <c r="O67" s="48"/>
      <c r="P67" s="48"/>
      <c r="Q67" s="49"/>
      <c r="R67" s="46"/>
      <c r="S67" s="47"/>
      <c r="T67" s="48"/>
      <c r="U67" s="48"/>
      <c r="V67" s="49"/>
      <c r="Y67" s="46"/>
      <c r="Z67" s="48"/>
      <c r="AA67" s="48"/>
      <c r="AB67" s="49"/>
      <c r="AC67" s="46"/>
      <c r="AD67" s="47"/>
      <c r="AE67" s="48"/>
      <c r="AF67" s="48"/>
      <c r="AG67" s="49"/>
    </row>
    <row r="68" spans="2:33" ht="15.75" thickBot="1" x14ac:dyDescent="0.3">
      <c r="B68" s="32" t="s">
        <v>111</v>
      </c>
      <c r="C68" s="33"/>
      <c r="D68" s="33"/>
      <c r="E68" s="34"/>
      <c r="F68" s="64" t="s">
        <v>136</v>
      </c>
      <c r="G68" s="35"/>
      <c r="H68" s="36"/>
      <c r="I68" s="36"/>
      <c r="J68" s="37"/>
      <c r="N68" s="32" t="s">
        <v>111</v>
      </c>
      <c r="O68" s="33"/>
      <c r="P68" s="33"/>
      <c r="Q68" s="34"/>
      <c r="R68" s="64" t="s">
        <v>136</v>
      </c>
      <c r="S68" s="35"/>
      <c r="T68" s="36"/>
      <c r="U68" s="36"/>
      <c r="V68" s="37"/>
      <c r="Y68" s="32" t="s">
        <v>111</v>
      </c>
      <c r="Z68" s="33"/>
      <c r="AA68" s="33"/>
      <c r="AB68" s="34"/>
      <c r="AC68" s="64" t="s">
        <v>136</v>
      </c>
      <c r="AD68" s="35"/>
      <c r="AE68" s="36"/>
      <c r="AF68" s="36"/>
      <c r="AG68" s="37"/>
    </row>
    <row r="69" spans="2:33" ht="15.75" thickBot="1" x14ac:dyDescent="0.3">
      <c r="B69" s="38"/>
      <c r="C69" s="39"/>
      <c r="D69" s="39"/>
      <c r="E69" s="40"/>
      <c r="F69" s="51"/>
      <c r="G69" s="52"/>
      <c r="H69" s="52"/>
      <c r="I69" s="52"/>
      <c r="J69" s="53"/>
      <c r="N69" s="38"/>
      <c r="O69" s="39"/>
      <c r="P69" s="39"/>
      <c r="Q69" s="40"/>
      <c r="R69" s="51"/>
      <c r="S69" s="52"/>
      <c r="T69" s="52"/>
      <c r="U69" s="52"/>
      <c r="V69" s="53"/>
      <c r="Y69" s="38"/>
      <c r="Z69" s="39"/>
      <c r="AA69" s="39"/>
      <c r="AB69" s="40"/>
      <c r="AC69" s="51"/>
      <c r="AD69" s="52"/>
      <c r="AE69" s="52"/>
      <c r="AF69" s="52"/>
      <c r="AG69" s="53"/>
    </row>
    <row r="70" spans="2:33" ht="15.75" thickBot="1" x14ac:dyDescent="0.3">
      <c r="B70" s="41" t="s">
        <v>105</v>
      </c>
      <c r="C70" s="42"/>
      <c r="D70" s="42"/>
      <c r="E70" s="43"/>
      <c r="F70" s="41" t="s">
        <v>105</v>
      </c>
      <c r="G70" s="42"/>
      <c r="H70" s="42"/>
      <c r="I70" s="42"/>
      <c r="J70" s="43"/>
      <c r="N70" s="41" t="s">
        <v>105</v>
      </c>
      <c r="O70" s="42"/>
      <c r="P70" s="42"/>
      <c r="Q70" s="43"/>
      <c r="R70" s="41" t="s">
        <v>105</v>
      </c>
      <c r="S70" s="42"/>
      <c r="T70" s="42"/>
      <c r="U70" s="42"/>
      <c r="V70" s="43"/>
      <c r="Y70" s="41" t="s">
        <v>105</v>
      </c>
      <c r="Z70" s="42"/>
      <c r="AA70" s="42"/>
      <c r="AB70" s="43"/>
      <c r="AC70" s="41" t="s">
        <v>105</v>
      </c>
      <c r="AD70" s="42"/>
      <c r="AE70" s="42"/>
      <c r="AF70" s="42"/>
      <c r="AG70" s="43"/>
    </row>
    <row r="71" spans="2:33" x14ac:dyDescent="0.25">
      <c r="B71" s="38"/>
      <c r="C71" s="44"/>
      <c r="D71" s="39"/>
      <c r="E71" s="40"/>
      <c r="F71" s="38"/>
      <c r="G71" s="45"/>
      <c r="H71" s="39"/>
      <c r="I71" s="39"/>
      <c r="J71" s="40"/>
      <c r="N71" s="38"/>
      <c r="O71" s="44"/>
      <c r="P71" s="39"/>
      <c r="Q71" s="40"/>
      <c r="R71" s="38"/>
      <c r="S71" s="45"/>
      <c r="T71" s="39"/>
      <c r="U71" s="39"/>
      <c r="V71" s="40"/>
      <c r="Y71" s="38"/>
      <c r="Z71" s="44"/>
      <c r="AA71" s="39"/>
      <c r="AB71" s="40"/>
      <c r="AC71" s="38"/>
      <c r="AD71" s="45"/>
      <c r="AE71" s="39"/>
      <c r="AF71" s="39"/>
      <c r="AG71" s="40"/>
    </row>
    <row r="72" spans="2:33" ht="15.75" thickBot="1" x14ac:dyDescent="0.3">
      <c r="B72" s="38"/>
      <c r="C72" s="39"/>
      <c r="D72" s="39"/>
      <c r="E72" s="40"/>
      <c r="F72" s="38"/>
      <c r="G72" s="45"/>
      <c r="H72" s="39"/>
      <c r="I72" s="39"/>
      <c r="J72" s="40"/>
      <c r="N72" s="38"/>
      <c r="O72" s="39"/>
      <c r="P72" s="39"/>
      <c r="Q72" s="40"/>
      <c r="R72" s="38"/>
      <c r="S72" s="45"/>
      <c r="T72" s="39"/>
      <c r="U72" s="39"/>
      <c r="V72" s="40"/>
      <c r="Y72" s="38"/>
      <c r="Z72" s="39"/>
      <c r="AA72" s="39"/>
      <c r="AB72" s="40"/>
      <c r="AC72" s="38"/>
      <c r="AD72" s="45"/>
      <c r="AE72" s="39"/>
      <c r="AF72" s="39"/>
      <c r="AG72" s="40"/>
    </row>
    <row r="73" spans="2:33" ht="15.75" thickBot="1" x14ac:dyDescent="0.3">
      <c r="B73" s="41" t="s">
        <v>106</v>
      </c>
      <c r="C73" s="42"/>
      <c r="D73" s="42"/>
      <c r="E73" s="43"/>
      <c r="F73" s="41" t="s">
        <v>106</v>
      </c>
      <c r="G73" s="42"/>
      <c r="H73" s="42"/>
      <c r="I73" s="42"/>
      <c r="J73" s="43"/>
      <c r="N73" s="41" t="s">
        <v>106</v>
      </c>
      <c r="O73" s="42"/>
      <c r="P73" s="42"/>
      <c r="Q73" s="43"/>
      <c r="R73" s="41" t="s">
        <v>106</v>
      </c>
      <c r="S73" s="42"/>
      <c r="T73" s="42"/>
      <c r="U73" s="42"/>
      <c r="V73" s="43"/>
      <c r="Y73" s="41" t="s">
        <v>106</v>
      </c>
      <c r="Z73" s="42"/>
      <c r="AA73" s="42"/>
      <c r="AB73" s="43"/>
      <c r="AC73" s="41" t="s">
        <v>106</v>
      </c>
      <c r="AD73" s="42"/>
      <c r="AE73" s="42"/>
      <c r="AF73" s="42"/>
      <c r="AG73" s="43"/>
    </row>
    <row r="74" spans="2:33" x14ac:dyDescent="0.25">
      <c r="B74" s="38"/>
      <c r="C74" s="50"/>
      <c r="D74" s="39"/>
      <c r="E74" s="40"/>
      <c r="F74" s="38" t="s">
        <v>109</v>
      </c>
      <c r="G74" s="60"/>
      <c r="H74" s="39" t="e">
        <f>#REF!</f>
        <v>#REF!</v>
      </c>
      <c r="I74" s="39" t="s">
        <v>122</v>
      </c>
      <c r="J74" s="40"/>
      <c r="N74" s="38"/>
      <c r="O74" s="50"/>
      <c r="P74" s="39"/>
      <c r="Q74" s="40"/>
      <c r="R74" s="38"/>
      <c r="S74" s="60"/>
      <c r="T74" s="39"/>
      <c r="U74" s="39"/>
      <c r="V74" s="40"/>
      <c r="Y74" s="38"/>
      <c r="Z74" s="50"/>
      <c r="AA74" s="39"/>
      <c r="AB74" s="40"/>
      <c r="AC74" s="38"/>
      <c r="AD74" s="60"/>
      <c r="AE74" s="39"/>
      <c r="AF74" s="39"/>
      <c r="AG74" s="40"/>
    </row>
    <row r="75" spans="2:33" x14ac:dyDescent="0.25">
      <c r="B75" s="38"/>
      <c r="C75" s="54"/>
      <c r="D75" s="39"/>
      <c r="E75" s="40"/>
      <c r="F75" s="63"/>
      <c r="G75" s="61"/>
      <c r="H75" s="62"/>
      <c r="I75" s="61"/>
      <c r="J75" s="65"/>
      <c r="N75" s="38"/>
      <c r="O75" s="54"/>
      <c r="P75" s="39"/>
      <c r="Q75" s="40"/>
      <c r="R75" s="63"/>
      <c r="S75" s="61"/>
      <c r="T75" s="62"/>
      <c r="U75" s="61"/>
      <c r="V75" s="65"/>
      <c r="Y75" s="38"/>
      <c r="Z75" s="54"/>
      <c r="AA75" s="39"/>
      <c r="AB75" s="40"/>
      <c r="AC75" s="63"/>
      <c r="AD75" s="61"/>
      <c r="AE75" s="62"/>
      <c r="AF75" s="61"/>
      <c r="AG75" s="65"/>
    </row>
    <row r="76" spans="2:33" ht="15.75" thickBot="1" x14ac:dyDescent="0.3">
      <c r="B76" s="38"/>
      <c r="C76" s="39"/>
      <c r="D76" s="39"/>
      <c r="E76" s="40"/>
      <c r="F76" s="38"/>
      <c r="G76" s="39"/>
      <c r="H76" s="55"/>
      <c r="I76" s="39"/>
      <c r="J76" s="40"/>
      <c r="N76" s="38"/>
      <c r="O76" s="39"/>
      <c r="P76" s="39"/>
      <c r="Q76" s="40"/>
      <c r="R76" s="38"/>
      <c r="S76" s="39"/>
      <c r="T76" s="55"/>
      <c r="U76" s="39"/>
      <c r="V76" s="40"/>
      <c r="Y76" s="38"/>
      <c r="Z76" s="39"/>
      <c r="AA76" s="39"/>
      <c r="AB76" s="40"/>
      <c r="AC76" s="38"/>
      <c r="AD76" s="39"/>
      <c r="AE76" s="55"/>
      <c r="AF76" s="39"/>
      <c r="AG76" s="40"/>
    </row>
    <row r="77" spans="2:33" ht="15.75" thickBot="1" x14ac:dyDescent="0.3">
      <c r="B77" s="41" t="s">
        <v>112</v>
      </c>
      <c r="C77" s="42"/>
      <c r="D77" s="42"/>
      <c r="E77" s="43"/>
      <c r="F77" s="57" t="s">
        <v>112</v>
      </c>
      <c r="G77" s="56"/>
      <c r="H77" s="56"/>
      <c r="I77" s="56"/>
      <c r="J77" s="58"/>
      <c r="N77" s="41" t="s">
        <v>112</v>
      </c>
      <c r="O77" s="42"/>
      <c r="P77" s="42"/>
      <c r="Q77" s="43"/>
      <c r="R77" s="57" t="s">
        <v>112</v>
      </c>
      <c r="S77" s="56"/>
      <c r="T77" s="56"/>
      <c r="U77" s="56"/>
      <c r="V77" s="58"/>
      <c r="Y77" s="41" t="s">
        <v>112</v>
      </c>
      <c r="Z77" s="42"/>
      <c r="AA77" s="42"/>
      <c r="AB77" s="43"/>
      <c r="AC77" s="57" t="s">
        <v>112</v>
      </c>
      <c r="AD77" s="56"/>
      <c r="AE77" s="56"/>
      <c r="AF77" s="56"/>
      <c r="AG77" s="58"/>
    </row>
    <row r="78" spans="2:33" x14ac:dyDescent="0.25">
      <c r="B78" s="51"/>
      <c r="C78" s="59"/>
      <c r="D78" s="52"/>
      <c r="E78" s="53"/>
      <c r="F78" s="51"/>
      <c r="G78" s="52"/>
      <c r="H78" s="52"/>
      <c r="I78" s="52"/>
      <c r="J78" s="53"/>
      <c r="N78" s="51"/>
      <c r="O78" s="59"/>
      <c r="P78" s="52"/>
      <c r="Q78" s="53"/>
      <c r="R78" s="51"/>
      <c r="S78" s="52"/>
      <c r="T78" s="52"/>
      <c r="U78" s="52"/>
      <c r="V78" s="53"/>
      <c r="Y78" s="51"/>
      <c r="Z78" s="59"/>
      <c r="AA78" s="52"/>
      <c r="AB78" s="53"/>
      <c r="AC78" s="51"/>
      <c r="AD78" s="52"/>
      <c r="AE78" s="52"/>
      <c r="AF78" s="52"/>
      <c r="AG78" s="53"/>
    </row>
    <row r="79" spans="2:33" x14ac:dyDescent="0.25">
      <c r="B79" s="38"/>
      <c r="C79" s="39"/>
      <c r="D79" s="39"/>
      <c r="E79" s="40"/>
      <c r="F79" s="38"/>
      <c r="G79" s="45"/>
      <c r="H79" s="39"/>
      <c r="I79" s="39"/>
      <c r="J79" s="40"/>
      <c r="N79" s="38"/>
      <c r="O79" s="39"/>
      <c r="P79" s="39"/>
      <c r="Q79" s="40"/>
      <c r="R79" s="38"/>
      <c r="S79" s="45"/>
      <c r="T79" s="39"/>
      <c r="U79" s="39"/>
      <c r="V79" s="40"/>
      <c r="Y79" s="38"/>
      <c r="Z79" s="39"/>
      <c r="AA79" s="39"/>
      <c r="AB79" s="40"/>
      <c r="AC79" s="38"/>
      <c r="AD79" s="45"/>
      <c r="AE79" s="39"/>
      <c r="AF79" s="39"/>
      <c r="AG79" s="40"/>
    </row>
    <row r="80" spans="2:33" x14ac:dyDescent="0.25">
      <c r="B80" s="38"/>
      <c r="C80" s="39"/>
      <c r="D80" s="39"/>
      <c r="E80" s="40"/>
      <c r="F80" s="38"/>
      <c r="G80" s="45"/>
      <c r="H80" s="39"/>
      <c r="I80" s="39"/>
      <c r="J80" s="40"/>
      <c r="N80" s="38"/>
      <c r="O80" s="39"/>
      <c r="P80" s="39"/>
      <c r="Q80" s="40"/>
      <c r="R80" s="38"/>
      <c r="S80" s="45"/>
      <c r="T80" s="39"/>
      <c r="U80" s="39"/>
      <c r="V80" s="40"/>
      <c r="Y80" s="38"/>
      <c r="Z80" s="39"/>
      <c r="AA80" s="39"/>
      <c r="AB80" s="40"/>
      <c r="AC80" s="38"/>
      <c r="AD80" s="45"/>
      <c r="AE80" s="39"/>
      <c r="AF80" s="39"/>
      <c r="AG80" s="40"/>
    </row>
    <row r="81" spans="2:33" ht="15.75" thickBot="1" x14ac:dyDescent="0.3">
      <c r="B81" s="46"/>
      <c r="C81" s="48"/>
      <c r="D81" s="48"/>
      <c r="E81" s="49"/>
      <c r="F81" s="46"/>
      <c r="G81" s="47"/>
      <c r="H81" s="48"/>
      <c r="I81" s="48"/>
      <c r="J81" s="49"/>
      <c r="N81" s="46"/>
      <c r="O81" s="48"/>
      <c r="P81" s="48"/>
      <c r="Q81" s="49"/>
      <c r="R81" s="46"/>
      <c r="S81" s="47"/>
      <c r="T81" s="48"/>
      <c r="U81" s="48"/>
      <c r="V81" s="49"/>
      <c r="Y81" s="46"/>
      <c r="Z81" s="48"/>
      <c r="AA81" s="48"/>
      <c r="AB81" s="49"/>
      <c r="AC81" s="46"/>
      <c r="AD81" s="47"/>
      <c r="AE81" s="48"/>
      <c r="AF81" s="48"/>
      <c r="AG81" s="49"/>
    </row>
    <row r="82" spans="2:33" ht="15.75" thickBot="1" x14ac:dyDescent="0.3"/>
    <row r="83" spans="2:33" ht="15.75" thickBot="1" x14ac:dyDescent="0.3">
      <c r="B83" s="32" t="s">
        <v>111</v>
      </c>
      <c r="C83" s="33"/>
      <c r="D83" s="33"/>
      <c r="E83" s="34"/>
      <c r="F83" s="64" t="s">
        <v>137</v>
      </c>
      <c r="G83" s="35"/>
      <c r="H83" s="36"/>
      <c r="I83" s="36"/>
      <c r="J83" s="37"/>
      <c r="N83" s="32" t="s">
        <v>111</v>
      </c>
      <c r="O83" s="33"/>
      <c r="P83" s="33"/>
      <c r="Q83" s="34"/>
      <c r="R83" s="64" t="s">
        <v>137</v>
      </c>
      <c r="S83" s="35"/>
      <c r="T83" s="36"/>
      <c r="U83" s="36"/>
      <c r="V83" s="37"/>
      <c r="Y83" s="32" t="s">
        <v>111</v>
      </c>
      <c r="Z83" s="33"/>
      <c r="AA83" s="33"/>
      <c r="AB83" s="34"/>
      <c r="AC83" s="64" t="s">
        <v>137</v>
      </c>
      <c r="AD83" s="35"/>
      <c r="AE83" s="36"/>
      <c r="AF83" s="36"/>
      <c r="AG83" s="37"/>
    </row>
    <row r="84" spans="2:33" ht="15.75" thickBot="1" x14ac:dyDescent="0.3">
      <c r="B84" s="38"/>
      <c r="C84" s="39"/>
      <c r="D84" s="39"/>
      <c r="E84" s="40"/>
      <c r="F84" s="51"/>
      <c r="G84" s="52"/>
      <c r="H84" s="52"/>
      <c r="I84" s="52"/>
      <c r="J84" s="53"/>
      <c r="N84" s="38"/>
      <c r="O84" s="39"/>
      <c r="P84" s="39"/>
      <c r="Q84" s="40"/>
      <c r="R84" s="51"/>
      <c r="S84" s="52"/>
      <c r="T84" s="52"/>
      <c r="U84" s="52"/>
      <c r="V84" s="53"/>
      <c r="Y84" s="38"/>
      <c r="Z84" s="39"/>
      <c r="AA84" s="39"/>
      <c r="AB84" s="40"/>
      <c r="AC84" s="51"/>
      <c r="AD84" s="52"/>
      <c r="AE84" s="52"/>
      <c r="AF84" s="52"/>
      <c r="AG84" s="53"/>
    </row>
    <row r="85" spans="2:33" ht="15.75" thickBot="1" x14ac:dyDescent="0.3">
      <c r="B85" s="41" t="s">
        <v>105</v>
      </c>
      <c r="C85" s="42"/>
      <c r="D85" s="42"/>
      <c r="E85" s="43"/>
      <c r="F85" s="41" t="s">
        <v>105</v>
      </c>
      <c r="G85" s="42"/>
      <c r="H85" s="42"/>
      <c r="I85" s="42"/>
      <c r="J85" s="43"/>
      <c r="N85" s="41" t="s">
        <v>105</v>
      </c>
      <c r="O85" s="42"/>
      <c r="P85" s="42"/>
      <c r="Q85" s="43"/>
      <c r="R85" s="41" t="s">
        <v>105</v>
      </c>
      <c r="S85" s="42"/>
      <c r="T85" s="42"/>
      <c r="U85" s="42"/>
      <c r="V85" s="43"/>
      <c r="Y85" s="41" t="s">
        <v>105</v>
      </c>
      <c r="Z85" s="42"/>
      <c r="AA85" s="42"/>
      <c r="AB85" s="43"/>
      <c r="AC85" s="41" t="s">
        <v>105</v>
      </c>
      <c r="AD85" s="42"/>
      <c r="AE85" s="42"/>
      <c r="AF85" s="42"/>
      <c r="AG85" s="43"/>
    </row>
    <row r="86" spans="2:33" x14ac:dyDescent="0.25">
      <c r="B86" s="38"/>
      <c r="C86" s="44"/>
      <c r="D86" s="39"/>
      <c r="E86" s="40"/>
      <c r="F86" s="38"/>
      <c r="G86" s="45"/>
      <c r="H86" s="39"/>
      <c r="I86" s="39"/>
      <c r="J86" s="40"/>
      <c r="N86" s="38"/>
      <c r="O86" s="44"/>
      <c r="P86" s="39"/>
      <c r="Q86" s="40"/>
      <c r="R86" s="38"/>
      <c r="S86" s="45"/>
      <c r="T86" s="39"/>
      <c r="U86" s="39"/>
      <c r="V86" s="40"/>
      <c r="Y86" s="38"/>
      <c r="Z86" s="44"/>
      <c r="AA86" s="39"/>
      <c r="AB86" s="40"/>
      <c r="AC86" s="38"/>
      <c r="AD86" s="45"/>
      <c r="AE86" s="39"/>
      <c r="AF86" s="39"/>
      <c r="AG86" s="40"/>
    </row>
    <row r="87" spans="2:33" ht="15.75" thickBot="1" x14ac:dyDescent="0.3">
      <c r="B87" s="38"/>
      <c r="C87" s="39"/>
      <c r="D87" s="39"/>
      <c r="E87" s="40"/>
      <c r="F87" s="38"/>
      <c r="G87" s="45"/>
      <c r="H87" s="39"/>
      <c r="I87" s="39"/>
      <c r="J87" s="40"/>
      <c r="N87" s="38"/>
      <c r="O87" s="39"/>
      <c r="P87" s="39"/>
      <c r="Q87" s="40"/>
      <c r="R87" s="38"/>
      <c r="S87" s="45"/>
      <c r="T87" s="39"/>
      <c r="U87" s="39"/>
      <c r="V87" s="40"/>
      <c r="Y87" s="38"/>
      <c r="Z87" s="39"/>
      <c r="AA87" s="39"/>
      <c r="AB87" s="40"/>
      <c r="AC87" s="38"/>
      <c r="AD87" s="45"/>
      <c r="AE87" s="39"/>
      <c r="AF87" s="39"/>
      <c r="AG87" s="40"/>
    </row>
    <row r="88" spans="2:33" ht="15.75" thickBot="1" x14ac:dyDescent="0.3">
      <c r="B88" s="41" t="s">
        <v>106</v>
      </c>
      <c r="C88" s="42"/>
      <c r="D88" s="42"/>
      <c r="E88" s="43"/>
      <c r="F88" s="41" t="s">
        <v>106</v>
      </c>
      <c r="G88" s="42"/>
      <c r="H88" s="42"/>
      <c r="I88" s="42"/>
      <c r="J88" s="43"/>
      <c r="N88" s="41" t="s">
        <v>106</v>
      </c>
      <c r="O88" s="42"/>
      <c r="P88" s="42"/>
      <c r="Q88" s="43"/>
      <c r="R88" s="41" t="s">
        <v>106</v>
      </c>
      <c r="S88" s="42"/>
      <c r="T88" s="42"/>
      <c r="U88" s="42"/>
      <c r="V88" s="43"/>
      <c r="Y88" s="41" t="s">
        <v>106</v>
      </c>
      <c r="Z88" s="42"/>
      <c r="AA88" s="42"/>
      <c r="AB88" s="43"/>
      <c r="AC88" s="41" t="s">
        <v>106</v>
      </c>
      <c r="AD88" s="42"/>
      <c r="AE88" s="42"/>
      <c r="AF88" s="42"/>
      <c r="AG88" s="43"/>
    </row>
    <row r="89" spans="2:33" x14ac:dyDescent="0.25">
      <c r="B89" s="38"/>
      <c r="C89" s="50"/>
      <c r="D89" s="39"/>
      <c r="E89" s="40"/>
      <c r="F89" s="38"/>
      <c r="G89" s="60"/>
      <c r="H89" s="39"/>
      <c r="I89" s="39"/>
      <c r="J89" s="40"/>
      <c r="N89" s="38"/>
      <c r="O89" s="50"/>
      <c r="P89" s="39"/>
      <c r="Q89" s="40"/>
      <c r="R89" s="38"/>
      <c r="S89" s="60"/>
      <c r="T89" s="39"/>
      <c r="U89" s="39"/>
      <c r="V89" s="40"/>
      <c r="Y89" s="38"/>
      <c r="Z89" s="50"/>
      <c r="AA89" s="39"/>
      <c r="AB89" s="40"/>
      <c r="AC89" s="38"/>
      <c r="AD89" s="60"/>
      <c r="AE89" s="39"/>
      <c r="AF89" s="39"/>
      <c r="AG89" s="40"/>
    </row>
    <row r="90" spans="2:33" x14ac:dyDescent="0.25">
      <c r="B90" s="38"/>
      <c r="C90" s="54"/>
      <c r="D90" s="39"/>
      <c r="E90" s="40"/>
      <c r="F90" s="63"/>
      <c r="G90" s="61"/>
      <c r="H90" s="62"/>
      <c r="I90" s="61"/>
      <c r="J90" s="65"/>
      <c r="N90" s="38"/>
      <c r="O90" s="54"/>
      <c r="P90" s="39"/>
      <c r="Q90" s="40"/>
      <c r="R90" s="63"/>
      <c r="S90" s="61"/>
      <c r="T90" s="62"/>
      <c r="U90" s="61"/>
      <c r="V90" s="65"/>
      <c r="Y90" s="38"/>
      <c r="Z90" s="54"/>
      <c r="AA90" s="39"/>
      <c r="AB90" s="40"/>
      <c r="AC90" s="63"/>
      <c r="AD90" s="61"/>
      <c r="AE90" s="62"/>
      <c r="AF90" s="61"/>
      <c r="AG90" s="65"/>
    </row>
    <row r="91" spans="2:33" ht="15.75" thickBot="1" x14ac:dyDescent="0.3">
      <c r="B91" s="38"/>
      <c r="C91" s="39"/>
      <c r="D91" s="39"/>
      <c r="E91" s="40"/>
      <c r="F91" s="38"/>
      <c r="G91" s="39"/>
      <c r="H91" s="55"/>
      <c r="I91" s="39"/>
      <c r="J91" s="40"/>
      <c r="N91" s="38"/>
      <c r="O91" s="39"/>
      <c r="P91" s="39"/>
      <c r="Q91" s="40"/>
      <c r="R91" s="38"/>
      <c r="S91" s="39"/>
      <c r="T91" s="55"/>
      <c r="U91" s="39"/>
      <c r="V91" s="40"/>
      <c r="Y91" s="38"/>
      <c r="Z91" s="39"/>
      <c r="AA91" s="39"/>
      <c r="AB91" s="40"/>
      <c r="AC91" s="38"/>
      <c r="AD91" s="39"/>
      <c r="AE91" s="55"/>
      <c r="AF91" s="39"/>
      <c r="AG91" s="40"/>
    </row>
    <row r="92" spans="2:33" ht="15.75" thickBot="1" x14ac:dyDescent="0.3">
      <c r="B92" s="41" t="s">
        <v>112</v>
      </c>
      <c r="C92" s="42"/>
      <c r="D92" s="42"/>
      <c r="E92" s="43"/>
      <c r="F92" s="57" t="s">
        <v>112</v>
      </c>
      <c r="G92" s="56"/>
      <c r="H92" s="56"/>
      <c r="I92" s="56"/>
      <c r="J92" s="58"/>
      <c r="N92" s="41" t="s">
        <v>112</v>
      </c>
      <c r="O92" s="42"/>
      <c r="P92" s="42"/>
      <c r="Q92" s="43"/>
      <c r="R92" s="57" t="s">
        <v>112</v>
      </c>
      <c r="S92" s="56"/>
      <c r="T92" s="56"/>
      <c r="U92" s="56"/>
      <c r="V92" s="58"/>
      <c r="Y92" s="41" t="s">
        <v>112</v>
      </c>
      <c r="Z92" s="42"/>
      <c r="AA92" s="42"/>
      <c r="AB92" s="43"/>
      <c r="AC92" s="57" t="s">
        <v>112</v>
      </c>
      <c r="AD92" s="56"/>
      <c r="AE92" s="56"/>
      <c r="AF92" s="56"/>
      <c r="AG92" s="58"/>
    </row>
    <row r="93" spans="2:33" x14ac:dyDescent="0.25">
      <c r="B93" s="51"/>
      <c r="C93" s="59"/>
      <c r="D93" s="52"/>
      <c r="E93" s="53"/>
      <c r="F93" s="51"/>
      <c r="G93" s="52"/>
      <c r="H93" s="52"/>
      <c r="I93" s="52"/>
      <c r="J93" s="53"/>
      <c r="N93" s="51"/>
      <c r="O93" s="59"/>
      <c r="P93" s="52"/>
      <c r="Q93" s="53"/>
      <c r="R93" s="51"/>
      <c r="S93" s="52"/>
      <c r="T93" s="52"/>
      <c r="U93" s="52"/>
      <c r="V93" s="53"/>
      <c r="Y93" s="51"/>
      <c r="Z93" s="59"/>
      <c r="AA93" s="52"/>
      <c r="AB93" s="53"/>
      <c r="AC93" s="51"/>
      <c r="AD93" s="52"/>
      <c r="AE93" s="52"/>
      <c r="AF93" s="52"/>
      <c r="AG93" s="53"/>
    </row>
    <row r="94" spans="2:33" x14ac:dyDescent="0.25">
      <c r="B94" s="38"/>
      <c r="C94" s="39"/>
      <c r="D94" s="39"/>
      <c r="E94" s="40"/>
      <c r="F94" s="38"/>
      <c r="G94" s="45"/>
      <c r="H94" s="39"/>
      <c r="I94" s="39"/>
      <c r="J94" s="40"/>
      <c r="N94" s="38"/>
      <c r="O94" s="39"/>
      <c r="P94" s="39"/>
      <c r="Q94" s="40"/>
      <c r="R94" s="38"/>
      <c r="S94" s="45"/>
      <c r="T94" s="39"/>
      <c r="U94" s="39"/>
      <c r="V94" s="40"/>
      <c r="Y94" s="38"/>
      <c r="Z94" s="39"/>
      <c r="AA94" s="39"/>
      <c r="AB94" s="40"/>
      <c r="AC94" s="38"/>
      <c r="AD94" s="45"/>
      <c r="AE94" s="39"/>
      <c r="AF94" s="39"/>
      <c r="AG94" s="40"/>
    </row>
    <row r="95" spans="2:33" x14ac:dyDescent="0.25">
      <c r="B95" s="38"/>
      <c r="C95" s="39"/>
      <c r="D95" s="39"/>
      <c r="E95" s="40"/>
      <c r="F95" s="38"/>
      <c r="G95" s="45"/>
      <c r="H95" s="39"/>
      <c r="I95" s="39"/>
      <c r="J95" s="40"/>
      <c r="N95" s="38"/>
      <c r="O95" s="39"/>
      <c r="P95" s="39"/>
      <c r="Q95" s="40"/>
      <c r="R95" s="38"/>
      <c r="S95" s="45"/>
      <c r="T95" s="39"/>
      <c r="U95" s="39"/>
      <c r="V95" s="40"/>
      <c r="Y95" s="38"/>
      <c r="Z95" s="39"/>
      <c r="AA95" s="39"/>
      <c r="AB95" s="40"/>
      <c r="AC95" s="38"/>
      <c r="AD95" s="45"/>
      <c r="AE95" s="39"/>
      <c r="AF95" s="39"/>
      <c r="AG95" s="40"/>
    </row>
    <row r="96" spans="2:33" ht="15.75" thickBot="1" x14ac:dyDescent="0.3">
      <c r="B96" s="46"/>
      <c r="C96" s="48"/>
      <c r="D96" s="48"/>
      <c r="E96" s="49"/>
      <c r="F96" s="46"/>
      <c r="G96" s="47"/>
      <c r="H96" s="48"/>
      <c r="I96" s="48"/>
      <c r="J96" s="49"/>
      <c r="N96" s="46"/>
      <c r="O96" s="48"/>
      <c r="P96" s="48"/>
      <c r="Q96" s="49"/>
      <c r="R96" s="46"/>
      <c r="S96" s="47"/>
      <c r="T96" s="48"/>
      <c r="U96" s="48"/>
      <c r="V96" s="49"/>
      <c r="Y96" s="46"/>
      <c r="Z96" s="48"/>
      <c r="AA96" s="48"/>
      <c r="AB96" s="49"/>
      <c r="AC96" s="46"/>
      <c r="AD96" s="47"/>
      <c r="AE96" s="48"/>
      <c r="AF96" s="48"/>
      <c r="AG96" s="49"/>
    </row>
    <row r="97" spans="2:33" ht="15.75" thickBot="1" x14ac:dyDescent="0.3"/>
    <row r="98" spans="2:33" ht="15.75" thickBot="1" x14ac:dyDescent="0.3">
      <c r="B98" s="32" t="s">
        <v>111</v>
      </c>
      <c r="C98" s="33"/>
      <c r="D98" s="33"/>
      <c r="E98" s="34"/>
      <c r="F98" s="64" t="s">
        <v>138</v>
      </c>
      <c r="G98" s="35"/>
      <c r="H98" s="36"/>
      <c r="I98" s="36"/>
      <c r="J98" s="37"/>
      <c r="N98" s="32" t="s">
        <v>111</v>
      </c>
      <c r="O98" s="33"/>
      <c r="P98" s="33"/>
      <c r="Q98" s="34"/>
      <c r="R98" s="64" t="s">
        <v>138</v>
      </c>
      <c r="S98" s="35"/>
      <c r="T98" s="36"/>
      <c r="U98" s="36"/>
      <c r="V98" s="37"/>
      <c r="Y98" s="32" t="s">
        <v>111</v>
      </c>
      <c r="Z98" s="33"/>
      <c r="AA98" s="33"/>
      <c r="AB98" s="34"/>
      <c r="AC98" s="64" t="s">
        <v>138</v>
      </c>
      <c r="AD98" s="35"/>
      <c r="AE98" s="36"/>
      <c r="AF98" s="36"/>
      <c r="AG98" s="37"/>
    </row>
    <row r="99" spans="2:33" ht="15.75" thickBot="1" x14ac:dyDescent="0.3">
      <c r="B99" s="38"/>
      <c r="C99" s="39"/>
      <c r="D99" s="39"/>
      <c r="E99" s="40"/>
      <c r="F99" s="51"/>
      <c r="G99" s="52"/>
      <c r="H99" s="52"/>
      <c r="I99" s="52"/>
      <c r="J99" s="53"/>
      <c r="N99" s="38"/>
      <c r="O99" s="39"/>
      <c r="P99" s="39"/>
      <c r="Q99" s="40"/>
      <c r="R99" s="51"/>
      <c r="S99" s="52"/>
      <c r="T99" s="52"/>
      <c r="U99" s="52"/>
      <c r="V99" s="53"/>
      <c r="Y99" s="38"/>
      <c r="Z99" s="39"/>
      <c r="AA99" s="39"/>
      <c r="AB99" s="40"/>
      <c r="AC99" s="51"/>
      <c r="AD99" s="52"/>
      <c r="AE99" s="52"/>
      <c r="AF99" s="52"/>
      <c r="AG99" s="53"/>
    </row>
    <row r="100" spans="2:33" ht="15.75" thickBot="1" x14ac:dyDescent="0.3">
      <c r="B100" s="41" t="s">
        <v>105</v>
      </c>
      <c r="C100" s="42"/>
      <c r="D100" s="42"/>
      <c r="E100" s="43"/>
      <c r="F100" s="41" t="s">
        <v>105</v>
      </c>
      <c r="G100" s="42"/>
      <c r="H100" s="42"/>
      <c r="I100" s="42"/>
      <c r="J100" s="43"/>
      <c r="N100" s="41" t="s">
        <v>105</v>
      </c>
      <c r="O100" s="42"/>
      <c r="P100" s="42"/>
      <c r="Q100" s="43"/>
      <c r="R100" s="41" t="s">
        <v>105</v>
      </c>
      <c r="S100" s="42"/>
      <c r="T100" s="42"/>
      <c r="U100" s="42"/>
      <c r="V100" s="43"/>
      <c r="Y100" s="41" t="s">
        <v>105</v>
      </c>
      <c r="Z100" s="42"/>
      <c r="AA100" s="42"/>
      <c r="AB100" s="43"/>
      <c r="AC100" s="41" t="s">
        <v>105</v>
      </c>
      <c r="AD100" s="42"/>
      <c r="AE100" s="42"/>
      <c r="AF100" s="42"/>
      <c r="AG100" s="43"/>
    </row>
    <row r="101" spans="2:33" x14ac:dyDescent="0.25">
      <c r="B101" s="38"/>
      <c r="C101" s="44"/>
      <c r="D101" s="39"/>
      <c r="E101" s="40"/>
      <c r="F101" s="38"/>
      <c r="G101" s="45"/>
      <c r="H101" s="39"/>
      <c r="I101" s="39"/>
      <c r="J101" s="40"/>
      <c r="N101" s="38"/>
      <c r="O101" s="44"/>
      <c r="P101" s="39"/>
      <c r="Q101" s="40"/>
      <c r="R101" s="38"/>
      <c r="S101" s="45"/>
      <c r="T101" s="39"/>
      <c r="U101" s="39"/>
      <c r="V101" s="40"/>
      <c r="Y101" s="38"/>
      <c r="Z101" s="44"/>
      <c r="AA101" s="39"/>
      <c r="AB101" s="40"/>
      <c r="AC101" s="38"/>
      <c r="AD101" s="45"/>
      <c r="AE101" s="39"/>
      <c r="AF101" s="39"/>
      <c r="AG101" s="40"/>
    </row>
    <row r="102" spans="2:33" ht="15.75" thickBot="1" x14ac:dyDescent="0.3">
      <c r="B102" s="38"/>
      <c r="C102" s="39"/>
      <c r="D102" s="39"/>
      <c r="E102" s="40"/>
      <c r="F102" s="38"/>
      <c r="G102" s="45"/>
      <c r="H102" s="39"/>
      <c r="I102" s="39"/>
      <c r="J102" s="40"/>
      <c r="N102" s="38"/>
      <c r="O102" s="39"/>
      <c r="P102" s="39"/>
      <c r="Q102" s="40"/>
      <c r="R102" s="38"/>
      <c r="S102" s="45"/>
      <c r="T102" s="39"/>
      <c r="U102" s="39"/>
      <c r="V102" s="40"/>
      <c r="Y102" s="38"/>
      <c r="Z102" s="39"/>
      <c r="AA102" s="39"/>
      <c r="AB102" s="40"/>
      <c r="AC102" s="38"/>
      <c r="AD102" s="45"/>
      <c r="AE102" s="39"/>
      <c r="AF102" s="39"/>
      <c r="AG102" s="40"/>
    </row>
    <row r="103" spans="2:33" ht="15.75" thickBot="1" x14ac:dyDescent="0.3">
      <c r="B103" s="41" t="s">
        <v>106</v>
      </c>
      <c r="C103" s="42"/>
      <c r="D103" s="42"/>
      <c r="E103" s="43"/>
      <c r="F103" s="41" t="s">
        <v>106</v>
      </c>
      <c r="G103" s="42"/>
      <c r="H103" s="42"/>
      <c r="I103" s="42"/>
      <c r="J103" s="43"/>
      <c r="N103" s="41" t="s">
        <v>106</v>
      </c>
      <c r="O103" s="42"/>
      <c r="P103" s="42"/>
      <c r="Q103" s="43"/>
      <c r="R103" s="41" t="s">
        <v>106</v>
      </c>
      <c r="S103" s="42"/>
      <c r="T103" s="42"/>
      <c r="U103" s="42"/>
      <c r="V103" s="43"/>
      <c r="Y103" s="41" t="s">
        <v>106</v>
      </c>
      <c r="Z103" s="42"/>
      <c r="AA103" s="42"/>
      <c r="AB103" s="43"/>
      <c r="AC103" s="41" t="s">
        <v>106</v>
      </c>
      <c r="AD103" s="42"/>
      <c r="AE103" s="42"/>
      <c r="AF103" s="42"/>
      <c r="AG103" s="43"/>
    </row>
    <row r="104" spans="2:33" x14ac:dyDescent="0.25">
      <c r="B104" s="38"/>
      <c r="C104" s="50"/>
      <c r="D104" s="39"/>
      <c r="E104" s="40"/>
      <c r="F104" s="38"/>
      <c r="G104" s="60"/>
      <c r="H104" s="39"/>
      <c r="I104" s="39"/>
      <c r="J104" s="40"/>
      <c r="N104" s="38"/>
      <c r="O104" s="50"/>
      <c r="P104" s="39"/>
      <c r="Q104" s="40"/>
      <c r="R104" s="38"/>
      <c r="S104" s="60"/>
      <c r="T104" s="39"/>
      <c r="U104" s="39"/>
      <c r="V104" s="40"/>
      <c r="Y104" s="38"/>
      <c r="Z104" s="50"/>
      <c r="AA104" s="39"/>
      <c r="AB104" s="40"/>
      <c r="AC104" s="38"/>
      <c r="AD104" s="60"/>
      <c r="AE104" s="39"/>
      <c r="AF104" s="39"/>
      <c r="AG104" s="40"/>
    </row>
    <row r="105" spans="2:33" x14ac:dyDescent="0.25">
      <c r="B105" s="38"/>
      <c r="C105" s="54"/>
      <c r="D105" s="39"/>
      <c r="E105" s="40"/>
      <c r="F105" s="63"/>
      <c r="G105" s="61"/>
      <c r="H105" s="62"/>
      <c r="I105" s="61"/>
      <c r="J105" s="65"/>
      <c r="N105" s="38"/>
      <c r="O105" s="54"/>
      <c r="P105" s="39"/>
      <c r="Q105" s="40"/>
      <c r="R105" s="63"/>
      <c r="S105" s="61"/>
      <c r="T105" s="62"/>
      <c r="U105" s="61"/>
      <c r="V105" s="65"/>
      <c r="Y105" s="38"/>
      <c r="Z105" s="54"/>
      <c r="AA105" s="39"/>
      <c r="AB105" s="40"/>
      <c r="AC105" s="63"/>
      <c r="AD105" s="61"/>
      <c r="AE105" s="62"/>
      <c r="AF105" s="61"/>
      <c r="AG105" s="65"/>
    </row>
    <row r="106" spans="2:33" ht="15.75" thickBot="1" x14ac:dyDescent="0.3">
      <c r="B106" s="38"/>
      <c r="C106" s="39"/>
      <c r="D106" s="39"/>
      <c r="E106" s="40"/>
      <c r="F106" s="38"/>
      <c r="G106" s="39"/>
      <c r="H106" s="55"/>
      <c r="I106" s="39"/>
      <c r="J106" s="40"/>
      <c r="N106" s="38"/>
      <c r="O106" s="39"/>
      <c r="P106" s="39"/>
      <c r="Q106" s="40"/>
      <c r="R106" s="38"/>
      <c r="S106" s="39"/>
      <c r="T106" s="55"/>
      <c r="U106" s="39"/>
      <c r="V106" s="40"/>
      <c r="Y106" s="38"/>
      <c r="Z106" s="39"/>
      <c r="AA106" s="39"/>
      <c r="AB106" s="40"/>
      <c r="AC106" s="38"/>
      <c r="AD106" s="39"/>
      <c r="AE106" s="55"/>
      <c r="AF106" s="39"/>
      <c r="AG106" s="40"/>
    </row>
    <row r="107" spans="2:33" ht="15.75" thickBot="1" x14ac:dyDescent="0.3">
      <c r="B107" s="41" t="s">
        <v>112</v>
      </c>
      <c r="C107" s="42"/>
      <c r="D107" s="42"/>
      <c r="E107" s="43"/>
      <c r="F107" s="57" t="s">
        <v>112</v>
      </c>
      <c r="G107" s="56"/>
      <c r="H107" s="56"/>
      <c r="I107" s="56"/>
      <c r="J107" s="58"/>
      <c r="N107" s="41" t="s">
        <v>112</v>
      </c>
      <c r="O107" s="42"/>
      <c r="P107" s="42"/>
      <c r="Q107" s="43"/>
      <c r="R107" s="57" t="s">
        <v>112</v>
      </c>
      <c r="S107" s="56"/>
      <c r="T107" s="56"/>
      <c r="U107" s="56"/>
      <c r="V107" s="58"/>
      <c r="Y107" s="41" t="s">
        <v>112</v>
      </c>
      <c r="Z107" s="42"/>
      <c r="AA107" s="42"/>
      <c r="AB107" s="43"/>
      <c r="AC107" s="57" t="s">
        <v>112</v>
      </c>
      <c r="AD107" s="56"/>
      <c r="AE107" s="56"/>
      <c r="AF107" s="56"/>
      <c r="AG107" s="58"/>
    </row>
    <row r="108" spans="2:33" x14ac:dyDescent="0.25">
      <c r="B108" s="51"/>
      <c r="C108" s="59"/>
      <c r="D108" s="52"/>
      <c r="E108" s="53"/>
      <c r="F108" s="51"/>
      <c r="G108" s="52"/>
      <c r="H108" s="52"/>
      <c r="I108" s="52"/>
      <c r="J108" s="53"/>
      <c r="N108" s="51"/>
      <c r="O108" s="59"/>
      <c r="P108" s="52"/>
      <c r="Q108" s="53"/>
      <c r="R108" s="51"/>
      <c r="S108" s="52"/>
      <c r="T108" s="52"/>
      <c r="U108" s="52"/>
      <c r="V108" s="53"/>
      <c r="Y108" s="51"/>
      <c r="Z108" s="59"/>
      <c r="AA108" s="52"/>
      <c r="AB108" s="53"/>
      <c r="AC108" s="51"/>
      <c r="AD108" s="52"/>
      <c r="AE108" s="52"/>
      <c r="AF108" s="52"/>
      <c r="AG108" s="53"/>
    </row>
    <row r="109" spans="2:33" x14ac:dyDescent="0.25">
      <c r="B109" s="38"/>
      <c r="C109" s="39"/>
      <c r="D109" s="39"/>
      <c r="E109" s="40"/>
      <c r="F109" s="38"/>
      <c r="G109" s="45"/>
      <c r="H109" s="39"/>
      <c r="I109" s="39"/>
      <c r="J109" s="40"/>
      <c r="N109" s="38"/>
      <c r="O109" s="39"/>
      <c r="P109" s="39"/>
      <c r="Q109" s="40"/>
      <c r="R109" s="38"/>
      <c r="S109" s="45"/>
      <c r="T109" s="39"/>
      <c r="U109" s="39"/>
      <c r="V109" s="40"/>
      <c r="Y109" s="38"/>
      <c r="Z109" s="39"/>
      <c r="AA109" s="39"/>
      <c r="AB109" s="40"/>
      <c r="AC109" s="38"/>
      <c r="AD109" s="45"/>
      <c r="AE109" s="39"/>
      <c r="AF109" s="39"/>
      <c r="AG109" s="40"/>
    </row>
    <row r="110" spans="2:33" x14ac:dyDescent="0.25">
      <c r="B110" s="38"/>
      <c r="C110" s="39"/>
      <c r="D110" s="39"/>
      <c r="E110" s="40"/>
      <c r="F110" s="38"/>
      <c r="G110" s="45"/>
      <c r="H110" s="39"/>
      <c r="I110" s="39"/>
      <c r="J110" s="40"/>
      <c r="N110" s="38"/>
      <c r="O110" s="39"/>
      <c r="P110" s="39"/>
      <c r="Q110" s="40"/>
      <c r="R110" s="38"/>
      <c r="S110" s="45"/>
      <c r="T110" s="39"/>
      <c r="U110" s="39"/>
      <c r="V110" s="40"/>
      <c r="Y110" s="38"/>
      <c r="Z110" s="39"/>
      <c r="AA110" s="39"/>
      <c r="AB110" s="40"/>
      <c r="AC110" s="38"/>
      <c r="AD110" s="45"/>
      <c r="AE110" s="39"/>
      <c r="AF110" s="39"/>
      <c r="AG110" s="40"/>
    </row>
    <row r="111" spans="2:33" ht="15.75" thickBot="1" x14ac:dyDescent="0.3">
      <c r="B111" s="46"/>
      <c r="C111" s="48"/>
      <c r="D111" s="48"/>
      <c r="E111" s="49"/>
      <c r="F111" s="46"/>
      <c r="G111" s="47"/>
      <c r="H111" s="48"/>
      <c r="I111" s="48"/>
      <c r="J111" s="49"/>
      <c r="N111" s="46"/>
      <c r="O111" s="48"/>
      <c r="P111" s="48"/>
      <c r="Q111" s="49"/>
      <c r="R111" s="46"/>
      <c r="S111" s="47"/>
      <c r="T111" s="48"/>
      <c r="U111" s="48"/>
      <c r="V111" s="49"/>
      <c r="Y111" s="46"/>
      <c r="Z111" s="48"/>
      <c r="AA111" s="48"/>
      <c r="AB111" s="49"/>
      <c r="AC111" s="46"/>
      <c r="AD111" s="47"/>
      <c r="AE111" s="48"/>
      <c r="AF111" s="48"/>
      <c r="AG111" s="49"/>
    </row>
    <row r="112" spans="2:33" ht="15.75" thickBot="1" x14ac:dyDescent="0.3"/>
    <row r="113" spans="2:33" ht="15.75" thickBot="1" x14ac:dyDescent="0.3">
      <c r="B113" s="32" t="s">
        <v>111</v>
      </c>
      <c r="C113" s="33"/>
      <c r="D113" s="33"/>
      <c r="E113" s="34"/>
      <c r="F113" s="64" t="s">
        <v>139</v>
      </c>
      <c r="G113" s="35"/>
      <c r="H113" s="36"/>
      <c r="I113" s="36"/>
      <c r="J113" s="37"/>
      <c r="N113" s="32" t="s">
        <v>111</v>
      </c>
      <c r="O113" s="33"/>
      <c r="P113" s="33"/>
      <c r="Q113" s="34"/>
      <c r="R113" s="64" t="s">
        <v>139</v>
      </c>
      <c r="S113" s="35"/>
      <c r="T113" s="36"/>
      <c r="U113" s="36"/>
      <c r="V113" s="37"/>
      <c r="Y113" s="32" t="s">
        <v>111</v>
      </c>
      <c r="Z113" s="33"/>
      <c r="AA113" s="33"/>
      <c r="AB113" s="34"/>
      <c r="AC113" s="64" t="s">
        <v>139</v>
      </c>
      <c r="AD113" s="35"/>
      <c r="AE113" s="36"/>
      <c r="AF113" s="36"/>
      <c r="AG113" s="37"/>
    </row>
    <row r="114" spans="2:33" ht="15.75" thickBot="1" x14ac:dyDescent="0.3">
      <c r="B114" s="38"/>
      <c r="C114" s="39"/>
      <c r="D114" s="39"/>
      <c r="E114" s="40"/>
      <c r="F114" s="51"/>
      <c r="G114" s="52"/>
      <c r="H114" s="52"/>
      <c r="I114" s="52"/>
      <c r="J114" s="53"/>
      <c r="N114" s="38"/>
      <c r="O114" s="39"/>
      <c r="P114" s="39"/>
      <c r="Q114" s="40"/>
      <c r="R114" s="51"/>
      <c r="S114" s="52"/>
      <c r="T114" s="52"/>
      <c r="U114" s="52"/>
      <c r="V114" s="53"/>
      <c r="Y114" s="38"/>
      <c r="Z114" s="39"/>
      <c r="AA114" s="39"/>
      <c r="AB114" s="40"/>
      <c r="AC114" s="51"/>
      <c r="AD114" s="52"/>
      <c r="AE114" s="52"/>
      <c r="AF114" s="52"/>
      <c r="AG114" s="53"/>
    </row>
    <row r="115" spans="2:33" ht="15.75" thickBot="1" x14ac:dyDescent="0.3">
      <c r="B115" s="41" t="s">
        <v>105</v>
      </c>
      <c r="C115" s="42"/>
      <c r="D115" s="42"/>
      <c r="E115" s="43"/>
      <c r="F115" s="41" t="s">
        <v>105</v>
      </c>
      <c r="G115" s="42"/>
      <c r="H115" s="42"/>
      <c r="I115" s="42"/>
      <c r="J115" s="43"/>
      <c r="N115" s="41" t="s">
        <v>105</v>
      </c>
      <c r="O115" s="42"/>
      <c r="P115" s="42"/>
      <c r="Q115" s="43"/>
      <c r="R115" s="41" t="s">
        <v>105</v>
      </c>
      <c r="S115" s="42"/>
      <c r="T115" s="42"/>
      <c r="U115" s="42"/>
      <c r="V115" s="43"/>
      <c r="Y115" s="41" t="s">
        <v>105</v>
      </c>
      <c r="Z115" s="42"/>
      <c r="AA115" s="42"/>
      <c r="AB115" s="43"/>
      <c r="AC115" s="41" t="s">
        <v>105</v>
      </c>
      <c r="AD115" s="42"/>
      <c r="AE115" s="42"/>
      <c r="AF115" s="42"/>
      <c r="AG115" s="43"/>
    </row>
    <row r="116" spans="2:33" x14ac:dyDescent="0.25">
      <c r="B116" s="38"/>
      <c r="C116" s="44"/>
      <c r="D116" s="39"/>
      <c r="E116" s="40"/>
      <c r="F116" s="38"/>
      <c r="G116" s="45"/>
      <c r="H116" s="39"/>
      <c r="I116" s="39"/>
      <c r="J116" s="40"/>
      <c r="N116" s="38"/>
      <c r="O116" s="44"/>
      <c r="P116" s="39"/>
      <c r="Q116" s="40"/>
      <c r="R116" s="38"/>
      <c r="S116" s="45"/>
      <c r="T116" s="39"/>
      <c r="U116" s="39"/>
      <c r="V116" s="40"/>
      <c r="Y116" s="38"/>
      <c r="Z116" s="44"/>
      <c r="AA116" s="39"/>
      <c r="AB116" s="40"/>
      <c r="AC116" s="38"/>
      <c r="AD116" s="45"/>
      <c r="AE116" s="39"/>
      <c r="AF116" s="39"/>
      <c r="AG116" s="40"/>
    </row>
    <row r="117" spans="2:33" ht="15.75" thickBot="1" x14ac:dyDescent="0.3">
      <c r="B117" s="38"/>
      <c r="C117" s="39"/>
      <c r="D117" s="39"/>
      <c r="E117" s="40"/>
      <c r="F117" s="38"/>
      <c r="G117" s="45"/>
      <c r="H117" s="39"/>
      <c r="I117" s="39"/>
      <c r="J117" s="40"/>
      <c r="N117" s="38"/>
      <c r="O117" s="39"/>
      <c r="P117" s="39"/>
      <c r="Q117" s="40"/>
      <c r="R117" s="38"/>
      <c r="S117" s="45"/>
      <c r="T117" s="39"/>
      <c r="U117" s="39"/>
      <c r="V117" s="40"/>
      <c r="Y117" s="38"/>
      <c r="Z117" s="39"/>
      <c r="AA117" s="39"/>
      <c r="AB117" s="40"/>
      <c r="AC117" s="38"/>
      <c r="AD117" s="45"/>
      <c r="AE117" s="39"/>
      <c r="AF117" s="39"/>
      <c r="AG117" s="40"/>
    </row>
    <row r="118" spans="2:33" ht="15.75" thickBot="1" x14ac:dyDescent="0.3">
      <c r="B118" s="41" t="s">
        <v>106</v>
      </c>
      <c r="C118" s="42"/>
      <c r="D118" s="42"/>
      <c r="E118" s="43"/>
      <c r="F118" s="41" t="s">
        <v>106</v>
      </c>
      <c r="G118" s="42"/>
      <c r="H118" s="42"/>
      <c r="I118" s="42"/>
      <c r="J118" s="43"/>
      <c r="N118" s="41" t="s">
        <v>106</v>
      </c>
      <c r="O118" s="42"/>
      <c r="P118" s="42"/>
      <c r="Q118" s="43"/>
      <c r="R118" s="41" t="s">
        <v>106</v>
      </c>
      <c r="S118" s="42"/>
      <c r="T118" s="42"/>
      <c r="U118" s="42"/>
      <c r="V118" s="43"/>
      <c r="Y118" s="41" t="s">
        <v>106</v>
      </c>
      <c r="Z118" s="42"/>
      <c r="AA118" s="42"/>
      <c r="AB118" s="43"/>
      <c r="AC118" s="41" t="s">
        <v>106</v>
      </c>
      <c r="AD118" s="42"/>
      <c r="AE118" s="42"/>
      <c r="AF118" s="42"/>
      <c r="AG118" s="43"/>
    </row>
    <row r="119" spans="2:33" x14ac:dyDescent="0.25">
      <c r="B119" s="38"/>
      <c r="C119" s="50"/>
      <c r="D119" s="39"/>
      <c r="E119" s="40"/>
      <c r="F119" s="38"/>
      <c r="G119" s="60"/>
      <c r="H119" s="39"/>
      <c r="I119" s="39"/>
      <c r="J119" s="40"/>
      <c r="N119" s="38"/>
      <c r="O119" s="50"/>
      <c r="P119" s="39"/>
      <c r="Q119" s="40"/>
      <c r="R119" s="38"/>
      <c r="S119" s="60"/>
      <c r="T119" s="39"/>
      <c r="U119" s="39"/>
      <c r="V119" s="40"/>
      <c r="Y119" s="38"/>
      <c r="Z119" s="50"/>
      <c r="AA119" s="39"/>
      <c r="AB119" s="40"/>
      <c r="AC119" s="38"/>
      <c r="AD119" s="60"/>
      <c r="AE119" s="39"/>
      <c r="AF119" s="39"/>
      <c r="AG119" s="40"/>
    </row>
    <row r="120" spans="2:33" x14ac:dyDescent="0.25">
      <c r="B120" s="38"/>
      <c r="C120" s="54"/>
      <c r="D120" s="39"/>
      <c r="E120" s="40"/>
      <c r="F120" s="63"/>
      <c r="G120" s="61"/>
      <c r="H120" s="62"/>
      <c r="I120" s="61"/>
      <c r="J120" s="65"/>
      <c r="N120" s="38"/>
      <c r="O120" s="54"/>
      <c r="P120" s="39"/>
      <c r="Q120" s="40"/>
      <c r="R120" s="63"/>
      <c r="S120" s="61"/>
      <c r="T120" s="62"/>
      <c r="U120" s="61"/>
      <c r="V120" s="65"/>
      <c r="Y120" s="38"/>
      <c r="Z120" s="54"/>
      <c r="AA120" s="39"/>
      <c r="AB120" s="40"/>
      <c r="AC120" s="63"/>
      <c r="AD120" s="61"/>
      <c r="AE120" s="62"/>
      <c r="AF120" s="61"/>
      <c r="AG120" s="65"/>
    </row>
    <row r="121" spans="2:33" ht="15.75" thickBot="1" x14ac:dyDescent="0.3">
      <c r="B121" s="38"/>
      <c r="C121" s="39"/>
      <c r="D121" s="39"/>
      <c r="E121" s="40"/>
      <c r="F121" s="38"/>
      <c r="G121" s="39"/>
      <c r="H121" s="55"/>
      <c r="I121" s="39"/>
      <c r="J121" s="40"/>
      <c r="N121" s="38"/>
      <c r="O121" s="39"/>
      <c r="P121" s="39"/>
      <c r="Q121" s="40"/>
      <c r="R121" s="38"/>
      <c r="S121" s="39"/>
      <c r="T121" s="55"/>
      <c r="U121" s="39"/>
      <c r="V121" s="40"/>
      <c r="Y121" s="38"/>
      <c r="Z121" s="39"/>
      <c r="AA121" s="39"/>
      <c r="AB121" s="40"/>
      <c r="AC121" s="38"/>
      <c r="AD121" s="39"/>
      <c r="AE121" s="55"/>
      <c r="AF121" s="39"/>
      <c r="AG121" s="40"/>
    </row>
    <row r="122" spans="2:33" ht="15.75" thickBot="1" x14ac:dyDescent="0.3">
      <c r="B122" s="41" t="s">
        <v>112</v>
      </c>
      <c r="C122" s="42"/>
      <c r="D122" s="42"/>
      <c r="E122" s="43"/>
      <c r="F122" s="57" t="s">
        <v>112</v>
      </c>
      <c r="G122" s="56"/>
      <c r="H122" s="56"/>
      <c r="I122" s="56"/>
      <c r="J122" s="58"/>
      <c r="N122" s="41" t="s">
        <v>112</v>
      </c>
      <c r="O122" s="42"/>
      <c r="P122" s="42"/>
      <c r="Q122" s="43"/>
      <c r="R122" s="57" t="s">
        <v>112</v>
      </c>
      <c r="S122" s="56"/>
      <c r="T122" s="56"/>
      <c r="U122" s="56"/>
      <c r="V122" s="58"/>
      <c r="Y122" s="41" t="s">
        <v>112</v>
      </c>
      <c r="Z122" s="42"/>
      <c r="AA122" s="42"/>
      <c r="AB122" s="43"/>
      <c r="AC122" s="57" t="s">
        <v>112</v>
      </c>
      <c r="AD122" s="56"/>
      <c r="AE122" s="56"/>
      <c r="AF122" s="56"/>
      <c r="AG122" s="58"/>
    </row>
    <row r="123" spans="2:33" x14ac:dyDescent="0.25">
      <c r="B123" s="51"/>
      <c r="C123" s="59"/>
      <c r="D123" s="52"/>
      <c r="E123" s="53"/>
      <c r="F123" s="51"/>
      <c r="G123" s="52"/>
      <c r="H123" s="52"/>
      <c r="I123" s="52"/>
      <c r="J123" s="53"/>
      <c r="N123" s="51"/>
      <c r="O123" s="59"/>
      <c r="P123" s="52"/>
      <c r="Q123" s="53"/>
      <c r="R123" s="51"/>
      <c r="S123" s="52"/>
      <c r="T123" s="52"/>
      <c r="U123" s="52"/>
      <c r="V123" s="53"/>
      <c r="Y123" s="51"/>
      <c r="Z123" s="59"/>
      <c r="AA123" s="52"/>
      <c r="AB123" s="53"/>
      <c r="AC123" s="51"/>
      <c r="AD123" s="52"/>
      <c r="AE123" s="52"/>
      <c r="AF123" s="52"/>
      <c r="AG123" s="53"/>
    </row>
    <row r="124" spans="2:33" x14ac:dyDescent="0.25">
      <c r="B124" s="38"/>
      <c r="C124" s="39"/>
      <c r="D124" s="39"/>
      <c r="E124" s="40"/>
      <c r="F124" s="38"/>
      <c r="G124" s="45"/>
      <c r="H124" s="39"/>
      <c r="I124" s="39"/>
      <c r="J124" s="40"/>
      <c r="N124" s="38"/>
      <c r="O124" s="39"/>
      <c r="P124" s="39"/>
      <c r="Q124" s="40"/>
      <c r="R124" s="38"/>
      <c r="S124" s="45"/>
      <c r="T124" s="39"/>
      <c r="U124" s="39"/>
      <c r="V124" s="40"/>
      <c r="Y124" s="38"/>
      <c r="Z124" s="39"/>
      <c r="AA124" s="39"/>
      <c r="AB124" s="40"/>
      <c r="AC124" s="38"/>
      <c r="AD124" s="45"/>
      <c r="AE124" s="39"/>
      <c r="AF124" s="39"/>
      <c r="AG124" s="40"/>
    </row>
    <row r="125" spans="2:33" x14ac:dyDescent="0.25">
      <c r="B125" s="38"/>
      <c r="C125" s="39"/>
      <c r="D125" s="39"/>
      <c r="E125" s="40"/>
      <c r="F125" s="38"/>
      <c r="G125" s="45"/>
      <c r="H125" s="39"/>
      <c r="I125" s="39"/>
      <c r="J125" s="40"/>
      <c r="N125" s="38"/>
      <c r="O125" s="39"/>
      <c r="P125" s="39"/>
      <c r="Q125" s="40"/>
      <c r="R125" s="38"/>
      <c r="S125" s="45"/>
      <c r="T125" s="39"/>
      <c r="U125" s="39"/>
      <c r="V125" s="40"/>
      <c r="Y125" s="38"/>
      <c r="Z125" s="39"/>
      <c r="AA125" s="39"/>
      <c r="AB125" s="40"/>
      <c r="AC125" s="38"/>
      <c r="AD125" s="45"/>
      <c r="AE125" s="39"/>
      <c r="AF125" s="39"/>
      <c r="AG125" s="40"/>
    </row>
    <row r="126" spans="2:33" ht="15.75" thickBot="1" x14ac:dyDescent="0.3">
      <c r="B126" s="46"/>
      <c r="C126" s="48"/>
      <c r="D126" s="48"/>
      <c r="E126" s="49"/>
      <c r="F126" s="46"/>
      <c r="G126" s="47"/>
      <c r="H126" s="48"/>
      <c r="I126" s="48"/>
      <c r="J126" s="49"/>
      <c r="N126" s="46"/>
      <c r="O126" s="48"/>
      <c r="P126" s="48"/>
      <c r="Q126" s="49"/>
      <c r="R126" s="46"/>
      <c r="S126" s="47"/>
      <c r="T126" s="48"/>
      <c r="U126" s="48"/>
      <c r="V126" s="49"/>
      <c r="Y126" s="46"/>
      <c r="Z126" s="48"/>
      <c r="AA126" s="48"/>
      <c r="AB126" s="49"/>
      <c r="AC126" s="46"/>
      <c r="AD126" s="47"/>
      <c r="AE126" s="48"/>
      <c r="AF126" s="48"/>
      <c r="AG126" s="49"/>
    </row>
  </sheetData>
  <mergeCells count="15">
    <mergeCell ref="B1:D1"/>
    <mergeCell ref="H1:J1"/>
    <mergeCell ref="B15:J16"/>
    <mergeCell ref="N15:V16"/>
    <mergeCell ref="Y15:AG16"/>
    <mergeCell ref="J2:P2"/>
    <mergeCell ref="J3:P3"/>
    <mergeCell ref="J4:P4"/>
    <mergeCell ref="J5:P5"/>
    <mergeCell ref="J6:P6"/>
    <mergeCell ref="J7:P7"/>
    <mergeCell ref="J8:P8"/>
    <mergeCell ref="J9:P9"/>
    <mergeCell ref="J10:P10"/>
    <mergeCell ref="J11:P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B2:G19"/>
  <sheetViews>
    <sheetView workbookViewId="0">
      <selection activeCell="B22" sqref="B22"/>
    </sheetView>
  </sheetViews>
  <sheetFormatPr defaultColWidth="9.140625" defaultRowHeight="15" x14ac:dyDescent="0.25"/>
  <cols>
    <col min="2" max="2" width="23.28515625" bestFit="1" customWidth="1"/>
    <col min="4" max="4" width="12.85546875" customWidth="1"/>
    <col min="5" max="5" width="10.140625" customWidth="1"/>
    <col min="6" max="6" width="14.140625" customWidth="1"/>
  </cols>
  <sheetData>
    <row r="2" spans="2:7" x14ac:dyDescent="0.25">
      <c r="B2" t="s">
        <v>81</v>
      </c>
    </row>
    <row r="3" spans="2:7" ht="15.75" thickBot="1" x14ac:dyDescent="0.3">
      <c r="B3" s="27" t="s">
        <v>75</v>
      </c>
      <c r="C3" s="27"/>
      <c r="D3" s="27" t="s">
        <v>77</v>
      </c>
      <c r="E3" s="27" t="s">
        <v>102</v>
      </c>
      <c r="F3" s="27" t="s">
        <v>95</v>
      </c>
      <c r="G3" t="s">
        <v>84</v>
      </c>
    </row>
    <row r="4" spans="2:7" x14ac:dyDescent="0.25">
      <c r="B4" t="s">
        <v>76</v>
      </c>
      <c r="E4">
        <v>36</v>
      </c>
      <c r="F4" t="s">
        <v>99</v>
      </c>
    </row>
    <row r="5" spans="2:7" x14ac:dyDescent="0.25">
      <c r="D5" s="30" t="e">
        <f>E4*m2_to_ft2*acre_to_m2-D6</f>
        <v>#REF!</v>
      </c>
      <c r="E5" t="e">
        <f>D5/m2_to_ft2/acre_to_m2</f>
        <v>#REF!</v>
      </c>
      <c r="F5" t="s">
        <v>96</v>
      </c>
      <c r="G5" t="s">
        <v>85</v>
      </c>
    </row>
    <row r="6" spans="2:7" x14ac:dyDescent="0.25">
      <c r="D6">
        <v>43500</v>
      </c>
      <c r="E6" t="e">
        <f>D6/m2_to_ft2/acre_to_m2</f>
        <v>#REF!</v>
      </c>
      <c r="F6" t="s">
        <v>97</v>
      </c>
    </row>
    <row r="7" spans="2:7" x14ac:dyDescent="0.25">
      <c r="B7" t="s">
        <v>90</v>
      </c>
    </row>
    <row r="8" spans="2:7" x14ac:dyDescent="0.25">
      <c r="C8" t="s">
        <v>91</v>
      </c>
      <c r="F8" t="s">
        <v>96</v>
      </c>
    </row>
    <row r="9" spans="2:7" x14ac:dyDescent="0.25">
      <c r="C9" t="s">
        <v>92</v>
      </c>
      <c r="F9" t="s">
        <v>96</v>
      </c>
    </row>
    <row r="10" spans="2:7" x14ac:dyDescent="0.25">
      <c r="C10" t="s">
        <v>93</v>
      </c>
      <c r="F10" t="s">
        <v>96</v>
      </c>
    </row>
    <row r="11" spans="2:7" x14ac:dyDescent="0.25">
      <c r="C11" t="s">
        <v>94</v>
      </c>
      <c r="F11" t="s">
        <v>96</v>
      </c>
    </row>
    <row r="12" spans="2:7" x14ac:dyDescent="0.25">
      <c r="B12" t="s">
        <v>80</v>
      </c>
      <c r="D12" s="30">
        <v>162000</v>
      </c>
      <c r="E12" t="e">
        <f>D12/m2_to_ft2/acre_to_m2</f>
        <v>#REF!</v>
      </c>
      <c r="F12" t="s">
        <v>97</v>
      </c>
      <c r="G12" t="s">
        <v>86</v>
      </c>
    </row>
    <row r="13" spans="2:7" x14ac:dyDescent="0.25">
      <c r="B13" t="s">
        <v>82</v>
      </c>
      <c r="D13" s="30">
        <v>128000</v>
      </c>
      <c r="E13" t="e">
        <f>D13/m2_to_ft2/acre_to_m2</f>
        <v>#REF!</v>
      </c>
      <c r="F13" t="s">
        <v>97</v>
      </c>
      <c r="G13" t="s">
        <v>87</v>
      </c>
    </row>
    <row r="14" spans="2:7" x14ac:dyDescent="0.25">
      <c r="B14" t="s">
        <v>98</v>
      </c>
      <c r="D14" s="30">
        <v>62000</v>
      </c>
      <c r="E14" t="e">
        <f>D14/m2_to_ft2/acre_to_m2</f>
        <v>#REF!</v>
      </c>
      <c r="F14" t="s">
        <v>97</v>
      </c>
      <c r="G14" t="s">
        <v>88</v>
      </c>
    </row>
    <row r="15" spans="2:7" x14ac:dyDescent="0.25">
      <c r="B15" t="s">
        <v>83</v>
      </c>
      <c r="D15" s="30">
        <v>25000</v>
      </c>
      <c r="E15" t="e">
        <f>D15/m2_to_ft2/acre_to_m2</f>
        <v>#REF!</v>
      </c>
      <c r="F15" t="s">
        <v>97</v>
      </c>
      <c r="G15" t="s">
        <v>89</v>
      </c>
    </row>
    <row r="17" spans="2:5" x14ac:dyDescent="0.25">
      <c r="B17" s="26" t="s">
        <v>103</v>
      </c>
      <c r="C17" s="26"/>
      <c r="D17" s="26" t="s">
        <v>100</v>
      </c>
      <c r="E17" s="26" t="s">
        <v>101</v>
      </c>
    </row>
    <row r="18" spans="2:5" x14ac:dyDescent="0.25">
      <c r="B18" t="s">
        <v>97</v>
      </c>
      <c r="D18" s="30">
        <f>D15+D14+D13+D12+D6</f>
        <v>420500</v>
      </c>
      <c r="E18" t="e">
        <f>E6+E12+E13+E14+E15</f>
        <v>#REF!</v>
      </c>
    </row>
    <row r="19" spans="2:5" x14ac:dyDescent="0.25">
      <c r="B19" t="s">
        <v>96</v>
      </c>
      <c r="D19" s="30" t="e">
        <f>D5</f>
        <v>#REF!</v>
      </c>
      <c r="E19" t="e">
        <f>E5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theme="0" tint="-0.34998626667073579"/>
  </sheetPr>
  <dimension ref="A1:AD47"/>
  <sheetViews>
    <sheetView workbookViewId="0">
      <selection activeCell="AD4" sqref="AD4"/>
    </sheetView>
  </sheetViews>
  <sheetFormatPr defaultColWidth="9.140625" defaultRowHeight="12.75" x14ac:dyDescent="0.2"/>
  <cols>
    <col min="1" max="1" width="42.28515625" style="78" bestFit="1" customWidth="1"/>
    <col min="2" max="30" width="5.7109375" style="78" customWidth="1"/>
    <col min="31" max="16384" width="9.140625" style="78"/>
  </cols>
  <sheetData>
    <row r="1" spans="1:30" ht="16.5" customHeight="1" thickBot="1" x14ac:dyDescent="0.3">
      <c r="A1" s="317" t="s">
        <v>154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</row>
    <row r="2" spans="1:30" s="82" customFormat="1" ht="16.5" customHeight="1" x14ac:dyDescent="0.3">
      <c r="A2" s="79"/>
      <c r="B2" s="79">
        <v>1980</v>
      </c>
      <c r="C2" s="79">
        <v>1985</v>
      </c>
      <c r="D2" s="79">
        <v>1990</v>
      </c>
      <c r="E2" s="79">
        <v>1991</v>
      </c>
      <c r="F2" s="79">
        <v>1992</v>
      </c>
      <c r="G2" s="79">
        <v>1993</v>
      </c>
      <c r="H2" s="79">
        <v>1994</v>
      </c>
      <c r="I2" s="79">
        <v>1995</v>
      </c>
      <c r="J2" s="79">
        <v>1996</v>
      </c>
      <c r="K2" s="79">
        <v>1997</v>
      </c>
      <c r="L2" s="79">
        <v>1998</v>
      </c>
      <c r="M2" s="79">
        <v>1999</v>
      </c>
      <c r="N2" s="80">
        <v>2000</v>
      </c>
      <c r="O2" s="80">
        <v>2001</v>
      </c>
      <c r="P2" s="80">
        <v>2002</v>
      </c>
      <c r="Q2" s="80">
        <v>2003</v>
      </c>
      <c r="R2" s="80">
        <v>2004</v>
      </c>
      <c r="S2" s="80">
        <v>2005</v>
      </c>
      <c r="T2" s="80">
        <v>2006</v>
      </c>
      <c r="U2" s="80">
        <v>2007</v>
      </c>
      <c r="V2" s="80">
        <v>2008</v>
      </c>
      <c r="W2" s="80">
        <v>2009</v>
      </c>
      <c r="X2" s="80">
        <v>2010</v>
      </c>
      <c r="Y2" s="80">
        <v>2011</v>
      </c>
      <c r="Z2" s="80">
        <v>2012</v>
      </c>
      <c r="AA2" s="81">
        <v>2013</v>
      </c>
      <c r="AB2" s="81">
        <v>2014</v>
      </c>
      <c r="AC2" s="81">
        <v>2015</v>
      </c>
      <c r="AD2" s="81">
        <v>2016</v>
      </c>
    </row>
    <row r="3" spans="1:30" s="89" customFormat="1" ht="33" customHeight="1" x14ac:dyDescent="0.3">
      <c r="A3" s="83" t="s">
        <v>155</v>
      </c>
      <c r="B3" s="84">
        <v>14.9</v>
      </c>
      <c r="C3" s="84">
        <v>16.5</v>
      </c>
      <c r="D3" s="84">
        <v>18.8</v>
      </c>
      <c r="E3" s="84">
        <v>19.5</v>
      </c>
      <c r="F3" s="84">
        <v>19.5</v>
      </c>
      <c r="G3" s="84">
        <v>19.2</v>
      </c>
      <c r="H3" s="84">
        <v>19.391912792400316</v>
      </c>
      <c r="I3" s="84">
        <v>19.600000000000001</v>
      </c>
      <c r="J3" s="84">
        <v>19.613064628590077</v>
      </c>
      <c r="K3" s="84">
        <v>19.7</v>
      </c>
      <c r="L3" s="84">
        <v>19.600000000000001</v>
      </c>
      <c r="M3" s="84">
        <v>19.6169799301619</v>
      </c>
      <c r="N3" s="84">
        <v>20.025917745968933</v>
      </c>
      <c r="O3" s="84">
        <v>20.235500830414114</v>
      </c>
      <c r="P3" s="84">
        <v>20.081724449953334</v>
      </c>
      <c r="Q3" s="84">
        <v>19.500191666378555</v>
      </c>
      <c r="R3" s="84">
        <v>19.644668455557788</v>
      </c>
      <c r="S3" s="84">
        <v>20.17405223099016</v>
      </c>
      <c r="T3" s="84">
        <v>20.435838690204918</v>
      </c>
      <c r="U3" s="84">
        <v>21.275150069239668</v>
      </c>
      <c r="V3" s="84">
        <v>21.824861521647339</v>
      </c>
      <c r="W3" s="84">
        <v>21.696377619738911</v>
      </c>
      <c r="X3" s="84">
        <v>21.52525404652636</v>
      </c>
      <c r="Y3" s="84">
        <v>21.427662469217953</v>
      </c>
      <c r="Z3" s="85">
        <v>21.533922510837105</v>
      </c>
      <c r="AA3" s="86">
        <v>21.634777282085086</v>
      </c>
      <c r="AB3" s="87">
        <v>21.402990506023979</v>
      </c>
      <c r="AC3" s="88">
        <v>21.97931346871923</v>
      </c>
      <c r="AD3" s="88">
        <v>22.038465017853031</v>
      </c>
    </row>
    <row r="4" spans="1:30" s="89" customFormat="1" ht="16.5" customHeight="1" x14ac:dyDescent="0.3">
      <c r="A4" s="90" t="s">
        <v>156</v>
      </c>
      <c r="B4" s="84">
        <v>15.983485209256079</v>
      </c>
      <c r="C4" s="84">
        <v>17.515865604612728</v>
      </c>
      <c r="D4" s="84">
        <v>20.324466118928257</v>
      </c>
      <c r="E4" s="84">
        <v>21.199051639303363</v>
      </c>
      <c r="F4" s="84">
        <v>21.045125755196853</v>
      </c>
      <c r="G4" s="84">
        <v>20.590440598375299</v>
      </c>
      <c r="H4" s="84">
        <v>20.804309761425465</v>
      </c>
      <c r="I4" s="84">
        <v>21.128875353245995</v>
      </c>
      <c r="J4" s="84">
        <v>21.234214226373929</v>
      </c>
      <c r="K4" s="84">
        <v>21.5</v>
      </c>
      <c r="L4" s="84">
        <v>21.4</v>
      </c>
      <c r="M4" s="84">
        <v>21.411535595460045</v>
      </c>
      <c r="N4" s="84">
        <v>21.902175382844323</v>
      </c>
      <c r="O4" s="84">
        <v>22.136470705948263</v>
      </c>
      <c r="P4" s="84">
        <v>21.974908646679772</v>
      </c>
      <c r="Q4" s="84">
        <v>22.160056474630601</v>
      </c>
      <c r="R4" s="84">
        <v>22.544398515672704</v>
      </c>
      <c r="S4" s="84">
        <v>22.067355091809322</v>
      </c>
      <c r="T4" s="84">
        <v>22.537768096638615</v>
      </c>
      <c r="U4" s="84">
        <v>22.865639407597879</v>
      </c>
      <c r="V4" s="84">
        <v>23.654817692277319</v>
      </c>
      <c r="W4" s="84">
        <v>23.532242432153808</v>
      </c>
      <c r="X4" s="84">
        <v>23.341158652912874</v>
      </c>
      <c r="Y4" s="84">
        <v>23.158820320723169</v>
      </c>
      <c r="Z4" s="91">
        <v>23.282424654257547</v>
      </c>
      <c r="AA4" s="86">
        <v>23.410443534113835</v>
      </c>
      <c r="AB4" s="87">
        <v>23.203281716521573</v>
      </c>
      <c r="AC4" s="88">
        <v>23.856606399220034</v>
      </c>
      <c r="AD4" s="88">
        <v>23.956897997214828</v>
      </c>
    </row>
    <row r="5" spans="1:30" s="89" customFormat="1" ht="16.5" customHeight="1" x14ac:dyDescent="0.3">
      <c r="A5" s="90" t="s">
        <v>157</v>
      </c>
      <c r="B5" s="92">
        <v>12.226113712020926</v>
      </c>
      <c r="C5" s="92">
        <v>14.287840022769533</v>
      </c>
      <c r="D5" s="92">
        <v>16.134620950781546</v>
      </c>
      <c r="E5" s="92">
        <v>16.992322720984472</v>
      </c>
      <c r="F5" s="92">
        <v>17.270284553598483</v>
      </c>
      <c r="G5" s="92">
        <v>17.403240956388242</v>
      </c>
      <c r="H5" s="92">
        <v>17.333758029999402</v>
      </c>
      <c r="I5" s="92">
        <v>17.32348620428797</v>
      </c>
      <c r="J5" s="92">
        <v>17.24330573856767</v>
      </c>
      <c r="K5" s="92">
        <v>17.200000256299973</v>
      </c>
      <c r="L5" s="92">
        <v>17.100000000000001</v>
      </c>
      <c r="M5" s="92">
        <v>17.07612695784622</v>
      </c>
      <c r="N5" s="92">
        <v>17.436339940049649</v>
      </c>
      <c r="O5" s="92">
        <v>17.622862736948161</v>
      </c>
      <c r="P5" s="92">
        <v>17.494243220241437</v>
      </c>
      <c r="Q5" s="92">
        <v>16.196939606414382</v>
      </c>
      <c r="R5" s="92">
        <v>16.196939606414379</v>
      </c>
      <c r="S5" s="92">
        <v>17.684178534519752</v>
      </c>
      <c r="T5" s="92">
        <v>17.837785262306351</v>
      </c>
      <c r="U5" s="92">
        <v>17.073137862941504</v>
      </c>
      <c r="V5" s="92">
        <v>17.336446788414928</v>
      </c>
      <c r="W5" s="84">
        <v>17.292756750601264</v>
      </c>
      <c r="X5" s="92">
        <v>17.177793762471715</v>
      </c>
      <c r="Y5" s="92">
        <v>17.098684146335689</v>
      </c>
      <c r="Z5" s="91">
        <v>17.122116849611885</v>
      </c>
      <c r="AA5" s="86">
        <v>17.159536947838717</v>
      </c>
      <c r="AB5" s="87">
        <v>17.097833372547274</v>
      </c>
      <c r="AC5" s="88">
        <v>17.340799670730558</v>
      </c>
      <c r="AD5" s="88">
        <v>17.397560486833804</v>
      </c>
    </row>
    <row r="6" spans="1:30" s="89" customFormat="1" ht="16.5" customHeight="1" x14ac:dyDescent="0.3">
      <c r="A6" s="93" t="s">
        <v>158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 spans="1:30" s="89" customFormat="1" ht="16.5" customHeight="1" x14ac:dyDescent="0.3">
      <c r="A7" s="90" t="s">
        <v>159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spans="1:30" s="89" customFormat="1" ht="16.5" customHeight="1" x14ac:dyDescent="0.3">
      <c r="A8" s="94" t="s">
        <v>160</v>
      </c>
      <c r="B8" s="92">
        <v>24.3</v>
      </c>
      <c r="C8" s="92">
        <v>27.6</v>
      </c>
      <c r="D8" s="92">
        <v>28</v>
      </c>
      <c r="E8" s="92">
        <v>28.4</v>
      </c>
      <c r="F8" s="92">
        <v>27.9</v>
      </c>
      <c r="G8" s="92">
        <v>28.4</v>
      </c>
      <c r="H8" s="92">
        <v>28.3</v>
      </c>
      <c r="I8" s="92">
        <v>28.6</v>
      </c>
      <c r="J8" s="92">
        <v>28.5</v>
      </c>
      <c r="K8" s="92">
        <v>28.7</v>
      </c>
      <c r="L8" s="92">
        <v>28.8</v>
      </c>
      <c r="M8" s="92">
        <v>28.3</v>
      </c>
      <c r="N8" s="92">
        <v>28.5</v>
      </c>
      <c r="O8" s="92">
        <v>28.8</v>
      </c>
      <c r="P8" s="92">
        <v>29</v>
      </c>
      <c r="Q8" s="92">
        <v>29.5</v>
      </c>
      <c r="R8" s="92">
        <v>29.491622052528175</v>
      </c>
      <c r="S8" s="92">
        <v>30.321077440674379</v>
      </c>
      <c r="T8" s="92">
        <v>30.0877234841691</v>
      </c>
      <c r="U8" s="92">
        <v>31.242346519191152</v>
      </c>
      <c r="V8" s="92">
        <v>31.46940199977012</v>
      </c>
      <c r="W8" s="92">
        <v>32.900456397437111</v>
      </c>
      <c r="X8" s="92">
        <v>33.938046561397755</v>
      </c>
      <c r="Y8" s="92">
        <v>33.126551276411561</v>
      </c>
      <c r="Z8" s="95">
        <v>35.270904814074513</v>
      </c>
      <c r="AA8" s="95">
        <v>36.399910004584484</v>
      </c>
      <c r="AB8" s="95">
        <v>36.537354978947064</v>
      </c>
      <c r="AC8" s="95">
        <v>37.243202896985352</v>
      </c>
      <c r="AD8" s="95">
        <v>37.684754609195146</v>
      </c>
    </row>
    <row r="9" spans="1:30" s="89" customFormat="1" ht="16.5" customHeight="1" x14ac:dyDescent="0.3">
      <c r="A9" s="96" t="s">
        <v>161</v>
      </c>
      <c r="B9" s="92">
        <v>22.6</v>
      </c>
      <c r="C9" s="92">
        <v>26.3</v>
      </c>
      <c r="D9" s="92">
        <v>26.9</v>
      </c>
      <c r="E9" s="92">
        <v>27.3</v>
      </c>
      <c r="F9" s="92">
        <v>27</v>
      </c>
      <c r="G9" s="92">
        <v>27.8</v>
      </c>
      <c r="H9" s="92">
        <v>27.5</v>
      </c>
      <c r="I9" s="92">
        <v>27.7</v>
      </c>
      <c r="J9" s="92">
        <v>28.1</v>
      </c>
      <c r="K9" s="92">
        <v>27.8</v>
      </c>
      <c r="L9" s="92">
        <v>28.6</v>
      </c>
      <c r="M9" s="92">
        <v>28</v>
      </c>
      <c r="N9" s="84">
        <v>28.7</v>
      </c>
      <c r="O9" s="92">
        <v>28.7</v>
      </c>
      <c r="P9" s="92">
        <v>29.1</v>
      </c>
      <c r="Q9" s="92">
        <v>29.1</v>
      </c>
      <c r="R9" s="92">
        <v>29.9</v>
      </c>
      <c r="S9" s="92">
        <v>30.5</v>
      </c>
      <c r="T9" s="92">
        <v>30.3</v>
      </c>
      <c r="U9" s="92">
        <v>30.6</v>
      </c>
      <c r="V9" s="92">
        <v>31.2</v>
      </c>
      <c r="W9" s="92">
        <v>32.1</v>
      </c>
      <c r="X9" s="92">
        <v>33.1</v>
      </c>
      <c r="Y9" s="92">
        <v>32.700000000000003</v>
      </c>
      <c r="Z9" s="95">
        <v>34.799999999999997</v>
      </c>
      <c r="AA9" s="95">
        <v>36.1</v>
      </c>
      <c r="AB9" s="95">
        <v>36.299999999999997</v>
      </c>
      <c r="AC9" s="95">
        <v>37.200000000000003</v>
      </c>
      <c r="AD9" s="95">
        <v>37.299999999999997</v>
      </c>
    </row>
    <row r="10" spans="1:30" s="89" customFormat="1" ht="16.5" customHeight="1" x14ac:dyDescent="0.3">
      <c r="A10" s="96" t="s">
        <v>162</v>
      </c>
      <c r="B10" s="92">
        <v>29.6</v>
      </c>
      <c r="C10" s="92">
        <v>31.5</v>
      </c>
      <c r="D10" s="92">
        <v>29.9</v>
      </c>
      <c r="E10" s="92">
        <v>30.1</v>
      </c>
      <c r="F10" s="92">
        <v>29.2</v>
      </c>
      <c r="G10" s="92">
        <v>29.6</v>
      </c>
      <c r="H10" s="92">
        <v>29.7</v>
      </c>
      <c r="I10" s="92">
        <v>30.3</v>
      </c>
      <c r="J10" s="92">
        <v>29.6</v>
      </c>
      <c r="K10" s="92">
        <v>30.1</v>
      </c>
      <c r="L10" s="92">
        <v>29.2</v>
      </c>
      <c r="M10" s="92">
        <v>29</v>
      </c>
      <c r="N10" s="84">
        <v>28.3</v>
      </c>
      <c r="O10" s="92">
        <v>29</v>
      </c>
      <c r="P10" s="92">
        <v>28.8</v>
      </c>
      <c r="Q10" s="92">
        <v>29.9</v>
      </c>
      <c r="R10" s="92">
        <v>28.7</v>
      </c>
      <c r="S10" s="92">
        <v>29.9</v>
      </c>
      <c r="T10" s="92">
        <v>29.7</v>
      </c>
      <c r="U10" s="92">
        <v>32.200000000000003</v>
      </c>
      <c r="V10" s="92">
        <v>31.8</v>
      </c>
      <c r="W10" s="92">
        <v>33.799999999999997</v>
      </c>
      <c r="X10" s="92">
        <v>35.200000000000003</v>
      </c>
      <c r="Y10" s="92">
        <v>33.700000000000003</v>
      </c>
      <c r="Z10" s="95">
        <v>36</v>
      </c>
      <c r="AA10" s="95">
        <v>36.799999999999997</v>
      </c>
      <c r="AB10" s="95">
        <v>36.9</v>
      </c>
      <c r="AC10" s="95">
        <v>37.299999999999997</v>
      </c>
      <c r="AD10" s="95">
        <v>38.200000000000003</v>
      </c>
    </row>
    <row r="11" spans="1:30" s="89" customFormat="1" ht="16.5" customHeight="1" x14ac:dyDescent="0.3">
      <c r="A11" s="94" t="s">
        <v>163</v>
      </c>
      <c r="B11" s="92">
        <v>18.5</v>
      </c>
      <c r="C11" s="92">
        <v>20.7</v>
      </c>
      <c r="D11" s="92">
        <v>20.8</v>
      </c>
      <c r="E11" s="92">
        <v>21.3</v>
      </c>
      <c r="F11" s="92">
        <v>20.8</v>
      </c>
      <c r="G11" s="92">
        <v>21</v>
      </c>
      <c r="H11" s="92">
        <v>20.8</v>
      </c>
      <c r="I11" s="92">
        <v>20.5</v>
      </c>
      <c r="J11" s="92">
        <v>20.8</v>
      </c>
      <c r="K11" s="92">
        <v>20.6</v>
      </c>
      <c r="L11" s="92">
        <v>21</v>
      </c>
      <c r="M11" s="92">
        <v>20.9</v>
      </c>
      <c r="N11" s="84">
        <v>21.3</v>
      </c>
      <c r="O11" s="92">
        <v>20.9</v>
      </c>
      <c r="P11" s="92">
        <v>21.4</v>
      </c>
      <c r="Q11" s="92">
        <v>21.8</v>
      </c>
      <c r="R11" s="92">
        <v>21.5</v>
      </c>
      <c r="S11" s="92">
        <v>22.1</v>
      </c>
      <c r="T11" s="92">
        <v>22.5</v>
      </c>
      <c r="U11" s="92">
        <v>23.1</v>
      </c>
      <c r="V11" s="92">
        <v>23.6</v>
      </c>
      <c r="W11" s="92">
        <v>24.8</v>
      </c>
      <c r="X11" s="92">
        <v>25.2</v>
      </c>
      <c r="Y11" s="92">
        <v>24.7</v>
      </c>
      <c r="Z11" s="95">
        <v>25</v>
      </c>
      <c r="AA11" s="95">
        <v>25.7</v>
      </c>
      <c r="AB11" s="95">
        <v>26.5</v>
      </c>
      <c r="AC11" s="95">
        <v>27.3</v>
      </c>
      <c r="AD11" s="95">
        <v>27.4</v>
      </c>
    </row>
    <row r="12" spans="1:30" s="89" customFormat="1" ht="16.5" customHeight="1" x14ac:dyDescent="0.3">
      <c r="A12" s="93" t="s">
        <v>164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84"/>
      <c r="O12" s="84"/>
      <c r="P12" s="84"/>
      <c r="Q12" s="84"/>
      <c r="R12" s="92"/>
      <c r="S12" s="92"/>
      <c r="T12" s="92"/>
      <c r="U12" s="92"/>
      <c r="V12" s="92"/>
      <c r="W12" s="92"/>
      <c r="X12" s="92"/>
      <c r="Y12" s="92"/>
      <c r="Z12" s="95"/>
      <c r="AA12" s="95"/>
      <c r="AB12" s="95"/>
      <c r="AC12" s="95"/>
      <c r="AD12" s="95"/>
    </row>
    <row r="13" spans="1:30" s="89" customFormat="1" ht="16.5" customHeight="1" x14ac:dyDescent="0.3">
      <c r="A13" s="90" t="s">
        <v>160</v>
      </c>
      <c r="B13" s="92">
        <v>20</v>
      </c>
      <c r="C13" s="92">
        <v>27.5</v>
      </c>
      <c r="D13" s="92">
        <v>27.5</v>
      </c>
      <c r="E13" s="92">
        <v>27.5</v>
      </c>
      <c r="F13" s="92">
        <v>27.5</v>
      </c>
      <c r="G13" s="92">
        <v>27.5</v>
      </c>
      <c r="H13" s="92">
        <v>27.5</v>
      </c>
      <c r="I13" s="92">
        <v>27.5</v>
      </c>
      <c r="J13" s="92">
        <v>27.5</v>
      </c>
      <c r="K13" s="92">
        <v>27.5</v>
      </c>
      <c r="L13" s="92">
        <v>27.5</v>
      </c>
      <c r="M13" s="92">
        <v>27.5</v>
      </c>
      <c r="N13" s="84">
        <v>27.5</v>
      </c>
      <c r="O13" s="92">
        <v>27.5</v>
      </c>
      <c r="P13" s="92">
        <v>27.5</v>
      </c>
      <c r="Q13" s="92">
        <v>27.5</v>
      </c>
      <c r="R13" s="92">
        <v>27.5</v>
      </c>
      <c r="S13" s="92">
        <v>27.5</v>
      </c>
      <c r="T13" s="92">
        <v>27.5</v>
      </c>
      <c r="U13" s="92">
        <v>27.5</v>
      </c>
      <c r="V13" s="92">
        <v>27.5</v>
      </c>
      <c r="W13" s="92">
        <v>27.5</v>
      </c>
      <c r="X13" s="92">
        <v>27.5</v>
      </c>
      <c r="Y13" s="92">
        <v>30.170620510564625</v>
      </c>
      <c r="Z13" s="95">
        <v>32.974694474876799</v>
      </c>
      <c r="AA13" s="95">
        <v>33.499910004584478</v>
      </c>
      <c r="AB13" s="95">
        <v>34.237354978947067</v>
      </c>
      <c r="AC13" s="95">
        <v>35.45921738191209</v>
      </c>
      <c r="AD13" s="95">
        <v>36.884754609195149</v>
      </c>
    </row>
    <row r="14" spans="1:30" s="89" customFormat="1" ht="16.5" customHeight="1" thickBot="1" x14ac:dyDescent="0.35">
      <c r="A14" s="97" t="s">
        <v>165</v>
      </c>
      <c r="B14" s="98" t="s">
        <v>166</v>
      </c>
      <c r="C14" s="98">
        <v>19.5</v>
      </c>
      <c r="D14" s="98">
        <v>20</v>
      </c>
      <c r="E14" s="98">
        <v>20.2</v>
      </c>
      <c r="F14" s="98">
        <v>20.2</v>
      </c>
      <c r="G14" s="98">
        <v>20.399999999999999</v>
      </c>
      <c r="H14" s="98">
        <v>20.5</v>
      </c>
      <c r="I14" s="98">
        <v>20.6</v>
      </c>
      <c r="J14" s="98">
        <v>20.7</v>
      </c>
      <c r="K14" s="98">
        <v>20.7</v>
      </c>
      <c r="L14" s="98">
        <v>20.7</v>
      </c>
      <c r="M14" s="98">
        <v>20.7</v>
      </c>
      <c r="N14" s="99">
        <v>20.7</v>
      </c>
      <c r="O14" s="98">
        <v>20.7</v>
      </c>
      <c r="P14" s="98">
        <v>20.7</v>
      </c>
      <c r="Q14" s="98">
        <v>20.7</v>
      </c>
      <c r="R14" s="98">
        <v>20.7</v>
      </c>
      <c r="S14" s="98">
        <v>21</v>
      </c>
      <c r="T14" s="98">
        <v>21.6</v>
      </c>
      <c r="U14" s="98">
        <v>22.2</v>
      </c>
      <c r="V14" s="98">
        <v>22.4</v>
      </c>
      <c r="W14" s="98">
        <v>23</v>
      </c>
      <c r="X14" s="98">
        <v>23.4</v>
      </c>
      <c r="Y14" s="98">
        <v>24.3</v>
      </c>
      <c r="Z14" s="100">
        <v>25.3</v>
      </c>
      <c r="AA14" s="100">
        <v>25.9</v>
      </c>
      <c r="AB14" s="100">
        <v>26.3</v>
      </c>
      <c r="AC14" s="100">
        <v>27.6</v>
      </c>
      <c r="AD14" s="100">
        <v>28.8</v>
      </c>
    </row>
    <row r="15" spans="1:30" s="101" customFormat="1" ht="12.75" customHeight="1" x14ac:dyDescent="0.2">
      <c r="A15" s="318" t="s">
        <v>167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</row>
    <row r="16" spans="1:30" s="101" customFormat="1" ht="12.75" customHeight="1" x14ac:dyDescent="0.2">
      <c r="A16" s="314"/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</row>
    <row r="17" spans="1:27" s="101" customFormat="1" ht="12.75" customHeight="1" x14ac:dyDescent="0.2">
      <c r="A17" s="319" t="s">
        <v>168</v>
      </c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19"/>
      <c r="AA17" s="319"/>
    </row>
    <row r="18" spans="1:27" s="101" customFormat="1" ht="12.75" customHeight="1" x14ac:dyDescent="0.2">
      <c r="A18" s="313" t="s">
        <v>169</v>
      </c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</row>
    <row r="19" spans="1:27" s="101" customFormat="1" ht="12.75" customHeight="1" x14ac:dyDescent="0.2">
      <c r="A19" s="313" t="s">
        <v>170</v>
      </c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</row>
    <row r="20" spans="1:27" s="101" customFormat="1" ht="12.75" customHeight="1" x14ac:dyDescent="0.2">
      <c r="A20" s="313" t="s">
        <v>171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</row>
    <row r="21" spans="1:27" s="101" customFormat="1" ht="12.75" customHeight="1" x14ac:dyDescent="0.2">
      <c r="A21" s="313" t="s">
        <v>172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13"/>
      <c r="Z21" s="313"/>
      <c r="AA21" s="313"/>
    </row>
    <row r="22" spans="1:27" s="101" customFormat="1" ht="12.75" customHeight="1" x14ac:dyDescent="0.2">
      <c r="A22" s="313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</row>
    <row r="23" spans="1:27" s="101" customFormat="1" ht="12.75" customHeight="1" x14ac:dyDescent="0.2">
      <c r="A23" s="314" t="s">
        <v>173</v>
      </c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</row>
    <row r="24" spans="1:27" s="101" customFormat="1" ht="38.25" customHeight="1" x14ac:dyDescent="0.2">
      <c r="A24" s="315" t="s">
        <v>174</v>
      </c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</row>
    <row r="25" spans="1:27" s="101" customFormat="1" ht="12.75" customHeight="1" x14ac:dyDescent="0.2">
      <c r="A25" s="315" t="s">
        <v>175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</row>
    <row r="26" spans="1:27" s="101" customFormat="1" ht="12.75" customHeight="1" x14ac:dyDescent="0.2">
      <c r="A26" s="315"/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</row>
    <row r="27" spans="1:27" s="101" customFormat="1" ht="12.75" customHeight="1" x14ac:dyDescent="0.2">
      <c r="A27" s="316" t="s">
        <v>176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</row>
    <row r="28" spans="1:27" s="101" customFormat="1" ht="12.75" customHeight="1" x14ac:dyDescent="0.2">
      <c r="A28" s="309" t="s">
        <v>177</v>
      </c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</row>
    <row r="29" spans="1:27" s="101" customFormat="1" ht="12.75" customHeight="1" x14ac:dyDescent="0.2">
      <c r="A29" s="312" t="s">
        <v>178</v>
      </c>
      <c r="B29" s="312"/>
      <c r="C29" s="312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  <c r="AA29" s="312"/>
    </row>
    <row r="30" spans="1:27" s="101" customFormat="1" ht="12.75" customHeight="1" x14ac:dyDescent="0.2">
      <c r="A30" s="310" t="s">
        <v>179</v>
      </c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</row>
    <row r="31" spans="1:27" s="101" customFormat="1" ht="12.75" customHeight="1" x14ac:dyDescent="0.2">
      <c r="A31" s="308" t="s">
        <v>180</v>
      </c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  <c r="S31" s="308"/>
      <c r="T31" s="308"/>
      <c r="U31" s="308"/>
      <c r="V31" s="308"/>
      <c r="W31" s="308"/>
      <c r="X31" s="308"/>
      <c r="Y31" s="308"/>
      <c r="Z31" s="308"/>
      <c r="AA31" s="308"/>
    </row>
    <row r="32" spans="1:27" s="101" customFormat="1" ht="12.75" customHeight="1" x14ac:dyDescent="0.2">
      <c r="A32" s="312" t="s">
        <v>181</v>
      </c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</row>
    <row r="33" spans="1:27" s="101" customFormat="1" ht="12.75" customHeight="1" x14ac:dyDescent="0.2">
      <c r="A33" s="308" t="s">
        <v>182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308"/>
    </row>
    <row r="34" spans="1:27" s="101" customFormat="1" ht="12.75" customHeight="1" x14ac:dyDescent="0.2">
      <c r="A34" s="312" t="s">
        <v>183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</row>
    <row r="35" spans="1:27" s="101" customFormat="1" ht="12.75" customHeight="1" x14ac:dyDescent="0.2">
      <c r="A35" s="310" t="s">
        <v>184</v>
      </c>
      <c r="B35" s="310"/>
      <c r="C35" s="310"/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</row>
    <row r="36" spans="1:27" s="101" customFormat="1" ht="12.75" customHeight="1" x14ac:dyDescent="0.2">
      <c r="A36" s="308" t="s">
        <v>185</v>
      </c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308"/>
      <c r="AA36" s="308"/>
    </row>
    <row r="37" spans="1:27" s="101" customFormat="1" ht="12.75" customHeight="1" x14ac:dyDescent="0.2">
      <c r="A37" s="312" t="s">
        <v>186</v>
      </c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  <c r="AA37" s="312"/>
    </row>
    <row r="38" spans="1:27" s="101" customFormat="1" ht="12.75" customHeight="1" x14ac:dyDescent="0.2">
      <c r="A38" s="308" t="s">
        <v>187</v>
      </c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</row>
    <row r="39" spans="1:27" s="101" customFormat="1" ht="12.75" customHeight="1" x14ac:dyDescent="0.2">
      <c r="A39" s="309" t="s">
        <v>188</v>
      </c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</row>
    <row r="40" spans="1:27" s="101" customFormat="1" ht="12.75" customHeight="1" x14ac:dyDescent="0.2">
      <c r="A40" s="310" t="s">
        <v>189</v>
      </c>
      <c r="B40" s="310"/>
      <c r="C40" s="310"/>
      <c r="D40" s="310"/>
      <c r="E40" s="310"/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</row>
    <row r="41" spans="1:27" s="101" customFormat="1" ht="12.75" customHeight="1" x14ac:dyDescent="0.2">
      <c r="A41" s="311" t="s">
        <v>190</v>
      </c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</row>
    <row r="42" spans="1:27" s="104" customFormat="1" ht="13.5" customHeight="1" x14ac:dyDescent="0.2">
      <c r="A42" s="78"/>
      <c r="B42" s="102"/>
      <c r="C42" s="102"/>
      <c r="D42" s="102"/>
      <c r="E42" s="102"/>
      <c r="F42" s="102"/>
      <c r="G42" s="103"/>
      <c r="H42" s="103"/>
      <c r="I42" s="103"/>
      <c r="J42" s="103"/>
      <c r="K42" s="103"/>
      <c r="L42" s="103"/>
      <c r="M42" s="102"/>
    </row>
    <row r="43" spans="1:27" s="104" customFormat="1" ht="13.5" customHeight="1" x14ac:dyDescent="0.2">
      <c r="A43" s="78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1:27" s="104" customFormat="1" x14ac:dyDescent="0.2">
      <c r="A44" s="78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</row>
    <row r="47" spans="1:27" x14ac:dyDescent="0.2"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</row>
  </sheetData>
  <mergeCells count="28">
    <mergeCell ref="A19:AA19"/>
    <mergeCell ref="A1:AD1"/>
    <mergeCell ref="A15:AA15"/>
    <mergeCell ref="A16:AA16"/>
    <mergeCell ref="A17:AA17"/>
    <mergeCell ref="A18:AA18"/>
    <mergeCell ref="A31:AA31"/>
    <mergeCell ref="A20:AA20"/>
    <mergeCell ref="A21:AA21"/>
    <mergeCell ref="A22:AA22"/>
    <mergeCell ref="A23:AA23"/>
    <mergeCell ref="A24:AA24"/>
    <mergeCell ref="A25:AA25"/>
    <mergeCell ref="A26:AA26"/>
    <mergeCell ref="A27:AA27"/>
    <mergeCell ref="A28:AA28"/>
    <mergeCell ref="A29:AA29"/>
    <mergeCell ref="A30:AA30"/>
    <mergeCell ref="A38:AA38"/>
    <mergeCell ref="A39:AA39"/>
    <mergeCell ref="A40:AA40"/>
    <mergeCell ref="A41:AA41"/>
    <mergeCell ref="A32:AA32"/>
    <mergeCell ref="A33:AA33"/>
    <mergeCell ref="A34:AA34"/>
    <mergeCell ref="A35:AA35"/>
    <mergeCell ref="A36:AA36"/>
    <mergeCell ref="A37:A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1"/>
  <sheetViews>
    <sheetView topLeftCell="A25" workbookViewId="0">
      <selection activeCell="K11" sqref="K11"/>
    </sheetView>
  </sheetViews>
  <sheetFormatPr defaultColWidth="9.140625" defaultRowHeight="15" x14ac:dyDescent="0.25"/>
  <cols>
    <col min="1" max="1" width="20.28515625" bestFit="1" customWidth="1"/>
  </cols>
  <sheetData>
    <row r="1" spans="1:2" x14ac:dyDescent="0.25">
      <c r="A1" t="s">
        <v>258</v>
      </c>
      <c r="B1" t="s">
        <v>259</v>
      </c>
    </row>
    <row r="2" spans="1:2" x14ac:dyDescent="0.25">
      <c r="A2" t="s">
        <v>208</v>
      </c>
      <c r="B2" s="112" t="s">
        <v>260</v>
      </c>
    </row>
    <row r="3" spans="1:2" x14ac:dyDescent="0.25">
      <c r="A3" t="s">
        <v>209</v>
      </c>
      <c r="B3" s="108" t="s">
        <v>261</v>
      </c>
    </row>
    <row r="4" spans="1:2" x14ac:dyDescent="0.25">
      <c r="A4" t="s">
        <v>210</v>
      </c>
      <c r="B4" s="108" t="s">
        <v>261</v>
      </c>
    </row>
    <row r="5" spans="1:2" x14ac:dyDescent="0.25">
      <c r="A5" t="s">
        <v>211</v>
      </c>
      <c r="B5" s="112" t="s">
        <v>260</v>
      </c>
    </row>
    <row r="6" spans="1:2" x14ac:dyDescent="0.25">
      <c r="A6" t="s">
        <v>212</v>
      </c>
      <c r="B6" s="108" t="s">
        <v>261</v>
      </c>
    </row>
    <row r="7" spans="1:2" x14ac:dyDescent="0.25">
      <c r="A7" t="s">
        <v>213</v>
      </c>
      <c r="B7" s="108" t="s">
        <v>261</v>
      </c>
    </row>
    <row r="8" spans="1:2" x14ac:dyDescent="0.25">
      <c r="A8" t="s">
        <v>214</v>
      </c>
      <c r="B8" s="115" t="s">
        <v>262</v>
      </c>
    </row>
    <row r="9" spans="1:2" x14ac:dyDescent="0.25">
      <c r="A9" t="s">
        <v>215</v>
      </c>
      <c r="B9" s="109" t="s">
        <v>263</v>
      </c>
    </row>
    <row r="10" spans="1:2" x14ac:dyDescent="0.25">
      <c r="A10" t="s">
        <v>216</v>
      </c>
      <c r="B10" s="116" t="s">
        <v>264</v>
      </c>
    </row>
    <row r="11" spans="1:2" x14ac:dyDescent="0.25">
      <c r="A11" t="s">
        <v>217</v>
      </c>
      <c r="B11" s="112" t="s">
        <v>260</v>
      </c>
    </row>
    <row r="12" spans="1:2" x14ac:dyDescent="0.25">
      <c r="A12" t="s">
        <v>218</v>
      </c>
      <c r="B12" s="108" t="s">
        <v>261</v>
      </c>
    </row>
    <row r="13" spans="1:2" x14ac:dyDescent="0.25">
      <c r="A13" t="s">
        <v>219</v>
      </c>
      <c r="B13" s="108" t="s">
        <v>261</v>
      </c>
    </row>
    <row r="14" spans="1:2" x14ac:dyDescent="0.25">
      <c r="A14" t="s">
        <v>220</v>
      </c>
      <c r="B14" s="112" t="s">
        <v>260</v>
      </c>
    </row>
    <row r="15" spans="1:2" x14ac:dyDescent="0.25">
      <c r="A15" t="s">
        <v>221</v>
      </c>
      <c r="B15" s="109" t="s">
        <v>263</v>
      </c>
    </row>
    <row r="16" spans="1:2" x14ac:dyDescent="0.25">
      <c r="A16" t="s">
        <v>222</v>
      </c>
      <c r="B16" s="28" t="s">
        <v>265</v>
      </c>
    </row>
    <row r="17" spans="1:2" x14ac:dyDescent="0.25">
      <c r="A17" t="s">
        <v>223</v>
      </c>
      <c r="B17" s="113" t="s">
        <v>266</v>
      </c>
    </row>
    <row r="18" spans="1:2" x14ac:dyDescent="0.25">
      <c r="A18" t="s">
        <v>224</v>
      </c>
      <c r="B18" s="112" t="s">
        <v>260</v>
      </c>
    </row>
    <row r="19" spans="1:2" x14ac:dyDescent="0.25">
      <c r="A19" t="s">
        <v>225</v>
      </c>
      <c r="B19" s="112" t="s">
        <v>260</v>
      </c>
    </row>
    <row r="20" spans="1:2" x14ac:dyDescent="0.25">
      <c r="A20" t="s">
        <v>226</v>
      </c>
      <c r="B20" s="115" t="s">
        <v>262</v>
      </c>
    </row>
    <row r="21" spans="1:2" x14ac:dyDescent="0.25">
      <c r="A21" t="s">
        <v>227</v>
      </c>
      <c r="B21" s="109" t="s">
        <v>263</v>
      </c>
    </row>
    <row r="22" spans="1:2" x14ac:dyDescent="0.25">
      <c r="A22" t="s">
        <v>228</v>
      </c>
      <c r="B22" s="115" t="s">
        <v>262</v>
      </c>
    </row>
    <row r="23" spans="1:2" x14ac:dyDescent="0.25">
      <c r="A23" t="s">
        <v>229</v>
      </c>
      <c r="B23" s="109" t="s">
        <v>263</v>
      </c>
    </row>
    <row r="24" spans="1:2" x14ac:dyDescent="0.25">
      <c r="A24" t="s">
        <v>230</v>
      </c>
      <c r="B24" s="28" t="s">
        <v>265</v>
      </c>
    </row>
    <row r="25" spans="1:2" x14ac:dyDescent="0.25">
      <c r="A25" t="s">
        <v>231</v>
      </c>
      <c r="B25" s="112" t="s">
        <v>260</v>
      </c>
    </row>
    <row r="26" spans="1:2" x14ac:dyDescent="0.25">
      <c r="A26" t="s">
        <v>232</v>
      </c>
      <c r="B26" s="112" t="s">
        <v>260</v>
      </c>
    </row>
    <row r="27" spans="1:2" x14ac:dyDescent="0.25">
      <c r="A27" t="s">
        <v>233</v>
      </c>
      <c r="B27" s="108" t="s">
        <v>261</v>
      </c>
    </row>
    <row r="28" spans="1:2" x14ac:dyDescent="0.25">
      <c r="A28" t="s">
        <v>234</v>
      </c>
      <c r="B28" s="28" t="s">
        <v>265</v>
      </c>
    </row>
    <row r="29" spans="1:2" x14ac:dyDescent="0.25">
      <c r="A29" t="s">
        <v>235</v>
      </c>
      <c r="B29" s="108" t="s">
        <v>261</v>
      </c>
    </row>
    <row r="30" spans="1:2" x14ac:dyDescent="0.25">
      <c r="A30" t="s">
        <v>236</v>
      </c>
      <c r="B30" s="115" t="s">
        <v>262</v>
      </c>
    </row>
    <row r="31" spans="1:2" x14ac:dyDescent="0.25">
      <c r="A31" t="s">
        <v>237</v>
      </c>
      <c r="B31" s="109" t="s">
        <v>263</v>
      </c>
    </row>
    <row r="32" spans="1:2" x14ac:dyDescent="0.25">
      <c r="A32" t="s">
        <v>238</v>
      </c>
      <c r="B32" s="108" t="s">
        <v>261</v>
      </c>
    </row>
    <row r="33" spans="1:2" x14ac:dyDescent="0.25">
      <c r="A33" t="s">
        <v>239</v>
      </c>
      <c r="B33" s="115" t="s">
        <v>262</v>
      </c>
    </row>
    <row r="34" spans="1:2" x14ac:dyDescent="0.25">
      <c r="A34" t="s">
        <v>240</v>
      </c>
      <c r="B34" s="112" t="s">
        <v>260</v>
      </c>
    </row>
    <row r="35" spans="1:2" x14ac:dyDescent="0.25">
      <c r="A35" t="s">
        <v>241</v>
      </c>
      <c r="B35" s="28" t="s">
        <v>265</v>
      </c>
    </row>
    <row r="36" spans="1:2" x14ac:dyDescent="0.25">
      <c r="A36" t="s">
        <v>242</v>
      </c>
      <c r="B36" s="109" t="s">
        <v>263</v>
      </c>
    </row>
    <row r="37" spans="1:2" x14ac:dyDescent="0.25">
      <c r="A37" t="s">
        <v>243</v>
      </c>
      <c r="B37" s="113" t="s">
        <v>266</v>
      </c>
    </row>
    <row r="38" spans="1:2" x14ac:dyDescent="0.25">
      <c r="A38" t="s">
        <v>244</v>
      </c>
      <c r="B38" s="108" t="s">
        <v>261</v>
      </c>
    </row>
    <row r="39" spans="1:2" x14ac:dyDescent="0.25">
      <c r="A39" t="s">
        <v>245</v>
      </c>
      <c r="B39" s="109" t="s">
        <v>263</v>
      </c>
    </row>
    <row r="40" spans="1:2" x14ac:dyDescent="0.25">
      <c r="A40" t="s">
        <v>246</v>
      </c>
      <c r="B40" s="115" t="s">
        <v>262</v>
      </c>
    </row>
    <row r="41" spans="1:2" x14ac:dyDescent="0.25">
      <c r="A41" t="s">
        <v>247</v>
      </c>
      <c r="B41" s="112" t="s">
        <v>260</v>
      </c>
    </row>
    <row r="42" spans="1:2" x14ac:dyDescent="0.25">
      <c r="A42" t="s">
        <v>248</v>
      </c>
      <c r="B42" s="28" t="s">
        <v>265</v>
      </c>
    </row>
    <row r="43" spans="1:2" x14ac:dyDescent="0.25">
      <c r="A43" t="s">
        <v>249</v>
      </c>
      <c r="B43" s="112" t="s">
        <v>260</v>
      </c>
    </row>
    <row r="44" spans="1:2" x14ac:dyDescent="0.25">
      <c r="A44" t="s">
        <v>257</v>
      </c>
      <c r="B44" s="114" t="s">
        <v>267</v>
      </c>
    </row>
    <row r="45" spans="1:2" x14ac:dyDescent="0.25">
      <c r="A45" t="s">
        <v>250</v>
      </c>
      <c r="B45" s="108" t="s">
        <v>261</v>
      </c>
    </row>
    <row r="46" spans="1:2" x14ac:dyDescent="0.25">
      <c r="A46" t="s">
        <v>251</v>
      </c>
      <c r="B46" s="115" t="s">
        <v>262</v>
      </c>
    </row>
    <row r="47" spans="1:2" x14ac:dyDescent="0.25">
      <c r="A47" t="s">
        <v>252</v>
      </c>
      <c r="B47" s="112" t="s">
        <v>260</v>
      </c>
    </row>
    <row r="48" spans="1:2" x14ac:dyDescent="0.25">
      <c r="A48" t="s">
        <v>253</v>
      </c>
      <c r="B48" s="75" t="s">
        <v>261</v>
      </c>
    </row>
    <row r="49" spans="1:2" x14ac:dyDescent="0.25">
      <c r="A49" t="s">
        <v>254</v>
      </c>
      <c r="B49" s="109" t="s">
        <v>263</v>
      </c>
    </row>
    <row r="50" spans="1:2" x14ac:dyDescent="0.25">
      <c r="A50" t="s">
        <v>255</v>
      </c>
      <c r="B50" s="28" t="s">
        <v>265</v>
      </c>
    </row>
    <row r="51" spans="1:2" x14ac:dyDescent="0.25">
      <c r="A51" t="s">
        <v>256</v>
      </c>
      <c r="B51" s="108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4141-7DF0-4AF4-A2E0-591C47F6760F}">
  <dimension ref="B1:CI119"/>
  <sheetViews>
    <sheetView tabSelected="1" zoomScale="55" zoomScaleNormal="55" workbookViewId="0">
      <selection activeCell="V26" sqref="V26"/>
    </sheetView>
  </sheetViews>
  <sheetFormatPr defaultColWidth="9.140625" defaultRowHeight="15" x14ac:dyDescent="0.25"/>
  <cols>
    <col min="3" max="3" width="15.7109375" customWidth="1"/>
    <col min="4" max="5" width="17.7109375" customWidth="1"/>
    <col min="6" max="6" width="16.28515625" customWidth="1"/>
    <col min="10" max="10" width="12.140625" bestFit="1" customWidth="1"/>
  </cols>
  <sheetData>
    <row r="1" spans="2:87" ht="21" customHeight="1" x14ac:dyDescent="0.25">
      <c r="B1" s="144"/>
      <c r="C1" s="320" t="s">
        <v>583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</row>
    <row r="2" spans="2:87" x14ac:dyDescent="0.25">
      <c r="B2" s="321" t="s">
        <v>585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144"/>
    </row>
    <row r="3" spans="2:87" ht="15.75" thickBot="1" x14ac:dyDescent="0.3">
      <c r="B3" s="321" t="s">
        <v>584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144"/>
    </row>
    <row r="4" spans="2:87" ht="75.75" customHeight="1" thickBot="1" x14ac:dyDescent="0.45">
      <c r="B4" s="254" t="s">
        <v>605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6"/>
    </row>
    <row r="5" spans="2:87" ht="38.25" customHeight="1" thickBot="1" x14ac:dyDescent="0.3">
      <c r="B5" s="132"/>
      <c r="D5" s="257" t="s">
        <v>333</v>
      </c>
      <c r="E5" s="258"/>
      <c r="F5" s="259"/>
      <c r="G5" s="260" t="s">
        <v>334</v>
      </c>
      <c r="H5" s="235"/>
      <c r="I5" s="235"/>
      <c r="AT5" s="140"/>
    </row>
    <row r="6" spans="2:87" ht="60.75" thickBot="1" x14ac:dyDescent="0.3">
      <c r="B6" s="122" t="s">
        <v>302</v>
      </c>
      <c r="C6" s="123" t="s">
        <v>335</v>
      </c>
      <c r="D6" s="124" t="s">
        <v>336</v>
      </c>
      <c r="E6" s="123" t="s">
        <v>337</v>
      </c>
      <c r="F6" s="125" t="s">
        <v>338</v>
      </c>
      <c r="G6" s="126" t="s">
        <v>339</v>
      </c>
      <c r="H6" s="127" t="s">
        <v>340</v>
      </c>
      <c r="I6" s="148" t="s">
        <v>341</v>
      </c>
      <c r="J6" s="149" t="s">
        <v>147</v>
      </c>
      <c r="K6" s="149" t="s">
        <v>148</v>
      </c>
      <c r="L6" s="149" t="s">
        <v>279</v>
      </c>
      <c r="M6" s="150" t="s">
        <v>278</v>
      </c>
      <c r="N6" s="150" t="s">
        <v>198</v>
      </c>
      <c r="O6" s="150" t="s">
        <v>280</v>
      </c>
      <c r="P6" s="149" t="s">
        <v>281</v>
      </c>
      <c r="Q6" s="150" t="s">
        <v>196</v>
      </c>
      <c r="R6" s="150" t="s">
        <v>197</v>
      </c>
      <c r="S6" s="148" t="s">
        <v>144</v>
      </c>
      <c r="T6" s="148" t="s">
        <v>149</v>
      </c>
      <c r="U6" s="148" t="s">
        <v>193</v>
      </c>
      <c r="V6" s="148" t="s">
        <v>192</v>
      </c>
      <c r="W6" s="148" t="s">
        <v>146</v>
      </c>
      <c r="X6" s="148" t="s">
        <v>199</v>
      </c>
      <c r="Y6" s="148" t="s">
        <v>200</v>
      </c>
      <c r="Z6" s="148" t="s">
        <v>201</v>
      </c>
      <c r="AA6" s="148" t="s">
        <v>145</v>
      </c>
      <c r="AB6" s="148" t="s">
        <v>191</v>
      </c>
      <c r="AC6" s="148" t="s">
        <v>206</v>
      </c>
      <c r="AD6" s="148" t="s">
        <v>284</v>
      </c>
      <c r="AE6" s="148" t="s">
        <v>207</v>
      </c>
      <c r="AF6" s="148" t="s">
        <v>150</v>
      </c>
      <c r="AG6" s="148" t="s">
        <v>152</v>
      </c>
      <c r="AH6" s="148" t="s">
        <v>204</v>
      </c>
      <c r="AI6" s="148" t="s">
        <v>153</v>
      </c>
      <c r="AJ6" s="148" t="s">
        <v>291</v>
      </c>
      <c r="AK6" s="148" t="s">
        <v>292</v>
      </c>
      <c r="AL6" s="148" t="s">
        <v>293</v>
      </c>
      <c r="AM6" s="148" t="s">
        <v>202</v>
      </c>
      <c r="AN6" s="148" t="s">
        <v>203</v>
      </c>
      <c r="AO6" s="148" t="s">
        <v>205</v>
      </c>
      <c r="AP6" s="148" t="s">
        <v>288</v>
      </c>
      <c r="AQ6" s="148" t="s">
        <v>289</v>
      </c>
      <c r="AR6" s="148" t="s">
        <v>290</v>
      </c>
      <c r="AS6" s="148" t="s">
        <v>294</v>
      </c>
      <c r="AT6" s="151" t="s">
        <v>295</v>
      </c>
      <c r="AV6" t="s">
        <v>683</v>
      </c>
      <c r="AW6" t="s">
        <v>682</v>
      </c>
    </row>
    <row r="7" spans="2:87" x14ac:dyDescent="0.25">
      <c r="B7" s="129" t="s">
        <v>304</v>
      </c>
      <c r="C7" s="141">
        <f>AVERAGE(G24:G33)</f>
        <v>4988.2515400000002</v>
      </c>
      <c r="D7" s="128">
        <f>AVERAGE(H24:H33)</f>
        <v>1870.4259900000002</v>
      </c>
      <c r="E7" s="128">
        <f>AVERAGE(I24:I33)</f>
        <v>40733.838069999998</v>
      </c>
      <c r="F7" s="128">
        <f>D7-1376.98</f>
        <v>493.44599000000017</v>
      </c>
      <c r="G7" s="128">
        <f>D7*I7</f>
        <v>1492.7869826190001</v>
      </c>
      <c r="H7" s="128">
        <f>E7/55.2*3.058229634</f>
        <v>2256.7650487723072</v>
      </c>
      <c r="I7">
        <v>0.79810000000000003</v>
      </c>
      <c r="J7" s="129">
        <f t="shared" ref="J7:AT7" si="0">AVERAGE(J24:J33)</f>
        <v>0.26149099999999997</v>
      </c>
      <c r="K7" s="129">
        <f>AVERAGE(K24:K33)</f>
        <v>0.64138800000000007</v>
      </c>
      <c r="L7" s="129">
        <f t="shared" si="0"/>
        <v>2.1155200000000005</v>
      </c>
      <c r="M7" s="129">
        <f t="shared" si="0"/>
        <v>0.80469299999999999</v>
      </c>
      <c r="N7" s="129">
        <f t="shared" si="0"/>
        <v>2.0452929999999997E-4</v>
      </c>
      <c r="O7" s="187">
        <f t="shared" si="0"/>
        <v>3.9857599E-5</v>
      </c>
      <c r="P7" s="129">
        <f t="shared" si="0"/>
        <v>0.14033812000000001</v>
      </c>
      <c r="Q7" s="129">
        <f t="shared" si="0"/>
        <v>31.434160000000009</v>
      </c>
      <c r="R7" s="129">
        <f t="shared" si="0"/>
        <v>2.6870859999999996E-2</v>
      </c>
      <c r="S7" s="129">
        <f t="shared" si="0"/>
        <v>1098.972</v>
      </c>
      <c r="T7" s="129">
        <f t="shared" si="0"/>
        <v>8.4111000000000012E-3</v>
      </c>
      <c r="U7" s="129">
        <f t="shared" si="0"/>
        <v>1.9883999999999999</v>
      </c>
      <c r="V7" s="129">
        <f t="shared" si="0"/>
        <v>2.6343999999999999</v>
      </c>
      <c r="W7" s="129">
        <f t="shared" si="0"/>
        <v>1.831</v>
      </c>
      <c r="X7" s="129">
        <f t="shared" si="0"/>
        <v>8.7106000000000006E-3</v>
      </c>
      <c r="Y7" s="129">
        <f t="shared" si="0"/>
        <v>1.1105000000000002E-2</v>
      </c>
      <c r="Z7" s="129">
        <f t="shared" si="0"/>
        <v>7.3550000000000004E-4</v>
      </c>
      <c r="AA7" s="129">
        <f t="shared" si="0"/>
        <v>1.9855999999999995E-2</v>
      </c>
      <c r="AB7" s="129">
        <f t="shared" si="0"/>
        <v>0.8204800000000001</v>
      </c>
      <c r="AC7" s="129">
        <f t="shared" si="0"/>
        <v>1.2440000000000001E-2</v>
      </c>
      <c r="AD7" s="129">
        <f t="shared" si="0"/>
        <v>2.2545E-4</v>
      </c>
      <c r="AE7" s="129">
        <f t="shared" si="0"/>
        <v>3.4245999999999999E-3</v>
      </c>
      <c r="AF7" s="129">
        <f t="shared" si="0"/>
        <v>3.4816000000000007E-2</v>
      </c>
      <c r="AG7" s="129">
        <f t="shared" si="0"/>
        <v>89.625700000000009</v>
      </c>
      <c r="AH7" s="129">
        <f t="shared" si="0"/>
        <v>89.625700000000009</v>
      </c>
      <c r="AI7" s="129">
        <f t="shared" si="0"/>
        <v>111.67760000000001</v>
      </c>
      <c r="AJ7" s="129">
        <f t="shared" si="0"/>
        <v>1.1007000000000001E-2</v>
      </c>
      <c r="AK7" s="129">
        <f t="shared" si="0"/>
        <v>441.68079999999998</v>
      </c>
      <c r="AL7" s="129">
        <f t="shared" si="0"/>
        <v>8.8555999999999982E-2</v>
      </c>
      <c r="AM7" s="129">
        <f t="shared" si="0"/>
        <v>52.05453</v>
      </c>
      <c r="AN7" s="129">
        <f t="shared" si="0"/>
        <v>0</v>
      </c>
      <c r="AO7" s="129">
        <f t="shared" si="0"/>
        <v>13.99288</v>
      </c>
      <c r="AP7" s="129">
        <f t="shared" si="0"/>
        <v>0.40286</v>
      </c>
      <c r="AQ7" s="129">
        <f t="shared" si="0"/>
        <v>0.62368999999999997</v>
      </c>
      <c r="AR7" s="129">
        <f t="shared" si="0"/>
        <v>2.0830000000000005E-2</v>
      </c>
      <c r="AS7" s="129">
        <f t="shared" si="0"/>
        <v>-1.8332999999999999</v>
      </c>
      <c r="AT7" s="142">
        <f t="shared" si="0"/>
        <v>-203.27070000000001</v>
      </c>
      <c r="AU7" s="128"/>
      <c r="AV7">
        <f>_xlfn.STDEV.S(H24:H33)</f>
        <v>18.749812248745908</v>
      </c>
      <c r="AW7">
        <f>_xlfn.STDEV.S(I24:I33)</f>
        <v>1967.2765719071438</v>
      </c>
      <c r="AY7" s="128">
        <f t="shared" ref="AY7:CI7" si="1">_xlfn.STDEV.P(J24:J33)</f>
        <v>2.6223535021045501E-2</v>
      </c>
      <c r="AZ7" s="128">
        <f t="shared" si="1"/>
        <v>0.38272194877743809</v>
      </c>
      <c r="BA7" s="128">
        <f t="shared" si="1"/>
        <v>0.14471583050931225</v>
      </c>
      <c r="BB7" s="128">
        <f t="shared" si="1"/>
        <v>2.6071555400474285E-2</v>
      </c>
      <c r="BC7" s="128">
        <f t="shared" si="1"/>
        <v>9.613317580528588E-5</v>
      </c>
      <c r="BD7" s="128">
        <f t="shared" si="1"/>
        <v>3.0579209269426982E-5</v>
      </c>
      <c r="BE7" s="128">
        <f t="shared" si="1"/>
        <v>0.11601672067184796</v>
      </c>
      <c r="BF7" s="128">
        <f t="shared" si="1"/>
        <v>14.677140068637327</v>
      </c>
      <c r="BG7">
        <f t="shared" si="1"/>
        <v>1.4555006567377436E-2</v>
      </c>
      <c r="BH7">
        <f t="shared" si="1"/>
        <v>0</v>
      </c>
      <c r="BI7">
        <f t="shared" si="1"/>
        <v>1.7347234759768071E-18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1.7347234759768071E-18</v>
      </c>
      <c r="BO7">
        <f t="shared" si="1"/>
        <v>0</v>
      </c>
      <c r="BP7">
        <f t="shared" si="1"/>
        <v>3.4694469519536142E-18</v>
      </c>
      <c r="BQ7">
        <f t="shared" si="1"/>
        <v>1.1102230246251565E-16</v>
      </c>
      <c r="BR7">
        <f t="shared" si="1"/>
        <v>1.7347234759768071E-18</v>
      </c>
      <c r="BS7">
        <f t="shared" si="1"/>
        <v>0</v>
      </c>
      <c r="BT7">
        <f t="shared" si="1"/>
        <v>0</v>
      </c>
      <c r="BU7">
        <f t="shared" si="1"/>
        <v>6.9388939039072284E-18</v>
      </c>
      <c r="BV7">
        <f t="shared" si="1"/>
        <v>1.4210854715202004E-14</v>
      </c>
      <c r="BW7">
        <f t="shared" si="1"/>
        <v>1.4210854715202004E-14</v>
      </c>
      <c r="BX7">
        <f t="shared" si="1"/>
        <v>1.4210854715202004E-14</v>
      </c>
      <c r="BY7">
        <f t="shared" si="1"/>
        <v>1.7347234759768071E-18</v>
      </c>
      <c r="BZ7">
        <f t="shared" si="1"/>
        <v>0</v>
      </c>
      <c r="CA7">
        <f t="shared" si="1"/>
        <v>1.3877787807814457E-17</v>
      </c>
      <c r="CB7">
        <f t="shared" si="1"/>
        <v>3.6891443455224135</v>
      </c>
      <c r="CC7">
        <f t="shared" si="1"/>
        <v>0</v>
      </c>
      <c r="CD7">
        <f t="shared" si="1"/>
        <v>1.1320786455012743</v>
      </c>
      <c r="CE7">
        <f t="shared" si="1"/>
        <v>0</v>
      </c>
      <c r="CF7">
        <f t="shared" si="1"/>
        <v>0</v>
      </c>
      <c r="CG7">
        <f t="shared" si="1"/>
        <v>3.4694469519536142E-18</v>
      </c>
      <c r="CH7">
        <f t="shared" si="1"/>
        <v>0</v>
      </c>
      <c r="CI7">
        <f t="shared" si="1"/>
        <v>0</v>
      </c>
    </row>
    <row r="8" spans="2:87" x14ac:dyDescent="0.25">
      <c r="B8" s="130" t="s">
        <v>303</v>
      </c>
      <c r="C8" s="107">
        <f>AVERAGE(G34:G49)</f>
        <v>3053.9668937500005</v>
      </c>
      <c r="D8">
        <f>AVERAGE(H34:H49)</f>
        <v>1885.5573937499998</v>
      </c>
      <c r="E8">
        <f>AVERAGE(I34:I49)</f>
        <v>30642.616487500003</v>
      </c>
      <c r="F8" s="128">
        <f t="shared" ref="F8:F19" si="2">D8-1376.98</f>
        <v>508.57739374999983</v>
      </c>
      <c r="G8" s="128">
        <f t="shared" ref="G8:G19" si="3">D8*I8</f>
        <v>117.58335907424998</v>
      </c>
      <c r="H8" s="128">
        <f t="shared" ref="H8:H19" si="4">E8/55.2*3.058229634</f>
        <v>1697.6840182132155</v>
      </c>
      <c r="I8">
        <v>6.2359999999999999E-2</v>
      </c>
      <c r="J8" s="130">
        <f>AVERAGE(J34:J49)</f>
        <v>0.33607812499999995</v>
      </c>
      <c r="K8" s="130">
        <f t="shared" ref="K8:AT8" si="5">AVERAGE(K34:K49)</f>
        <v>0.21504174999999998</v>
      </c>
      <c r="L8" s="130">
        <f t="shared" si="5"/>
        <v>1.5019437499999999</v>
      </c>
      <c r="M8" s="130">
        <f t="shared" si="5"/>
        <v>0.54132124999999998</v>
      </c>
      <c r="N8" s="130">
        <f t="shared" si="5"/>
        <v>7.2538124999999996E-4</v>
      </c>
      <c r="O8" s="130">
        <f t="shared" si="5"/>
        <v>1.8325070624999998E-4</v>
      </c>
      <c r="P8" s="130">
        <f t="shared" si="5"/>
        <v>6.8851625E-2</v>
      </c>
      <c r="Q8" s="130">
        <f t="shared" si="5"/>
        <v>2.9267093749999997</v>
      </c>
      <c r="R8" s="130">
        <f t="shared" si="5"/>
        <v>3.3629337500000002E-2</v>
      </c>
      <c r="S8" s="130">
        <f t="shared" si="5"/>
        <v>85.868799999999979</v>
      </c>
      <c r="T8" s="130">
        <f t="shared" si="5"/>
        <v>8.4111000000000012E-3</v>
      </c>
      <c r="U8" s="130">
        <f t="shared" si="5"/>
        <v>0.15535999999999997</v>
      </c>
      <c r="V8" s="130">
        <f t="shared" si="5"/>
        <v>0.20583999999999991</v>
      </c>
      <c r="W8" s="130">
        <f t="shared" si="5"/>
        <v>1.8309999999999997</v>
      </c>
      <c r="X8" s="130">
        <f t="shared" si="5"/>
        <v>8.7106000000000006E-3</v>
      </c>
      <c r="Y8" s="130">
        <f t="shared" si="5"/>
        <v>1.1105000000000002E-2</v>
      </c>
      <c r="Z8" s="130">
        <f t="shared" si="5"/>
        <v>7.3550000000000004E-4</v>
      </c>
      <c r="AA8" s="130">
        <f t="shared" si="5"/>
        <v>1.9855999999999992E-2</v>
      </c>
      <c r="AB8" s="130">
        <f t="shared" si="5"/>
        <v>0.82047999999999999</v>
      </c>
      <c r="AC8" s="130">
        <f t="shared" si="5"/>
        <v>1.2440000000000003E-2</v>
      </c>
      <c r="AD8" s="130">
        <f t="shared" si="5"/>
        <v>2.2544999999999995E-4</v>
      </c>
      <c r="AE8" s="130">
        <f t="shared" si="5"/>
        <v>3.4245999999999999E-3</v>
      </c>
      <c r="AF8" s="130">
        <f t="shared" si="5"/>
        <v>3.4816000000000007E-2</v>
      </c>
      <c r="AG8" s="130">
        <f t="shared" si="5"/>
        <v>7.0030000000000001</v>
      </c>
      <c r="AH8" s="130">
        <f t="shared" si="5"/>
        <v>7.0030000000000001</v>
      </c>
      <c r="AI8" s="130">
        <f t="shared" si="5"/>
        <v>8.7260000000000009</v>
      </c>
      <c r="AJ8" s="130">
        <f t="shared" si="5"/>
        <v>1.1006999999999998E-2</v>
      </c>
      <c r="AK8" s="130">
        <f t="shared" si="5"/>
        <v>441.68080000000003</v>
      </c>
      <c r="AL8" s="130">
        <f t="shared" si="5"/>
        <v>8.855600000000001E-2</v>
      </c>
      <c r="AM8" s="130">
        <f t="shared" si="5"/>
        <v>4.7183374999999996</v>
      </c>
      <c r="AN8" s="130">
        <f t="shared" si="5"/>
        <v>0</v>
      </c>
      <c r="AO8" s="130">
        <f t="shared" si="5"/>
        <v>0.69251375000000004</v>
      </c>
      <c r="AP8" s="130">
        <f t="shared" si="5"/>
        <v>0.40286000000000011</v>
      </c>
      <c r="AQ8" s="130">
        <f t="shared" si="5"/>
        <v>0.62368999999999997</v>
      </c>
      <c r="AR8" s="130">
        <f t="shared" si="5"/>
        <v>2.0830000000000008E-2</v>
      </c>
      <c r="AS8" s="130">
        <f t="shared" si="5"/>
        <v>-1.8333000000000004</v>
      </c>
      <c r="AT8" s="143">
        <f t="shared" si="5"/>
        <v>-203.27070000000001</v>
      </c>
      <c r="AV8">
        <f>_xlfn.STDEV.S(H34:H49)</f>
        <v>42.17767416972265</v>
      </c>
      <c r="AW8">
        <f>_xlfn.STDEV.S(I34:I49)</f>
        <v>7036.830740352013</v>
      </c>
      <c r="AY8">
        <f t="shared" ref="AY8:CI8" si="6">_xlfn.STDEV.P(J34:J49)</f>
        <v>8.1688911213422519E-2</v>
      </c>
      <c r="AZ8">
        <f t="shared" si="6"/>
        <v>0.39686148324817</v>
      </c>
      <c r="BA8">
        <f t="shared" si="6"/>
        <v>0.42026557372801476</v>
      </c>
      <c r="BB8">
        <f t="shared" si="6"/>
        <v>0.20136318267234832</v>
      </c>
      <c r="BC8">
        <f t="shared" si="6"/>
        <v>1.7130653877365386E-3</v>
      </c>
      <c r="BD8">
        <f t="shared" si="6"/>
        <v>5.5667739412664256E-4</v>
      </c>
      <c r="BE8">
        <f t="shared" si="6"/>
        <v>0.20472770991902728</v>
      </c>
      <c r="BF8">
        <f t="shared" si="6"/>
        <v>2.5585436745233334</v>
      </c>
      <c r="BG8">
        <f t="shared" si="6"/>
        <v>3.1633860118132816E-2</v>
      </c>
      <c r="BH8">
        <f t="shared" si="6"/>
        <v>1.4210854715202004E-14</v>
      </c>
      <c r="BI8">
        <f t="shared" si="6"/>
        <v>1.7347234759768071E-18</v>
      </c>
      <c r="BJ8">
        <f t="shared" si="6"/>
        <v>2.7755575615628914E-17</v>
      </c>
      <c r="BK8">
        <f t="shared" si="6"/>
        <v>8.3266726846886741E-17</v>
      </c>
      <c r="BL8">
        <f t="shared" si="6"/>
        <v>2.2204460492503131E-16</v>
      </c>
      <c r="BM8">
        <f t="shared" si="6"/>
        <v>0</v>
      </c>
      <c r="BN8">
        <f t="shared" si="6"/>
        <v>1.7347234759768071E-18</v>
      </c>
      <c r="BO8">
        <f t="shared" si="6"/>
        <v>0</v>
      </c>
      <c r="BP8">
        <f t="shared" si="6"/>
        <v>6.9388939039072284E-18</v>
      </c>
      <c r="BQ8">
        <f t="shared" si="6"/>
        <v>0</v>
      </c>
      <c r="BR8">
        <f t="shared" si="6"/>
        <v>3.4694469519536142E-18</v>
      </c>
      <c r="BS8">
        <f t="shared" si="6"/>
        <v>5.4210108624275222E-20</v>
      </c>
      <c r="BT8">
        <f t="shared" si="6"/>
        <v>0</v>
      </c>
      <c r="BU8">
        <f t="shared" si="6"/>
        <v>6.9388939039072284E-18</v>
      </c>
      <c r="BV8">
        <f t="shared" si="6"/>
        <v>0</v>
      </c>
      <c r="BW8">
        <f t="shared" si="6"/>
        <v>0</v>
      </c>
      <c r="BX8">
        <f t="shared" si="6"/>
        <v>0</v>
      </c>
      <c r="BY8">
        <f t="shared" si="6"/>
        <v>1.7347234759768071E-18</v>
      </c>
      <c r="BZ8">
        <f t="shared" si="6"/>
        <v>5.6843418860808015E-14</v>
      </c>
      <c r="CA8">
        <f t="shared" si="6"/>
        <v>1.3877787807814457E-17</v>
      </c>
      <c r="CB8">
        <f t="shared" si="6"/>
        <v>0.4181414307309787</v>
      </c>
      <c r="CC8">
        <f t="shared" si="6"/>
        <v>0</v>
      </c>
      <c r="CD8">
        <f t="shared" si="6"/>
        <v>0.25776890788735035</v>
      </c>
      <c r="CE8">
        <f t="shared" si="6"/>
        <v>1.1102230246251565E-16</v>
      </c>
      <c r="CF8">
        <f t="shared" si="6"/>
        <v>0</v>
      </c>
      <c r="CG8">
        <f t="shared" si="6"/>
        <v>6.9388939039072284E-18</v>
      </c>
      <c r="CH8">
        <f t="shared" si="6"/>
        <v>4.4408920985006262E-16</v>
      </c>
      <c r="CI8">
        <f t="shared" si="6"/>
        <v>0</v>
      </c>
    </row>
    <row r="9" spans="2:87" x14ac:dyDescent="0.25">
      <c r="B9" s="130" t="s">
        <v>305</v>
      </c>
      <c r="C9" s="131">
        <f>AVERAGE(G50:G55)</f>
        <v>3860.2273999999998</v>
      </c>
      <c r="D9">
        <f>AVERAGE(H50:H55)</f>
        <v>1912.0394166666665</v>
      </c>
      <c r="E9">
        <f>AVERAGE(I50:I55)</f>
        <v>45524.802266666666</v>
      </c>
      <c r="F9" s="128">
        <f t="shared" si="2"/>
        <v>535.05941666666649</v>
      </c>
      <c r="G9" s="128">
        <f t="shared" si="3"/>
        <v>99.330447695833328</v>
      </c>
      <c r="H9" s="128">
        <f>E9/55.2*3.058229634</f>
        <v>2522.1974524259122</v>
      </c>
      <c r="I9">
        <v>5.1950000000000003E-2</v>
      </c>
      <c r="J9" s="130">
        <f t="shared" ref="J9:AT9" si="7">AVERAGE(J50:J55)</f>
        <v>0.22155166666666662</v>
      </c>
      <c r="K9" s="130">
        <f t="shared" si="7"/>
        <v>9.2694333333333323E-2</v>
      </c>
      <c r="L9" s="130">
        <f t="shared" si="7"/>
        <v>2.4666333333333332</v>
      </c>
      <c r="M9" s="130">
        <f t="shared" si="7"/>
        <v>0.83970166666666657</v>
      </c>
      <c r="N9" s="130">
        <f t="shared" si="7"/>
        <v>9.5379666666666664E-5</v>
      </c>
      <c r="O9" s="188">
        <f t="shared" si="7"/>
        <v>1.0993450000000002E-6</v>
      </c>
      <c r="P9" s="130">
        <f t="shared" si="7"/>
        <v>9.6378499999999999E-4</v>
      </c>
      <c r="Q9" s="130">
        <f t="shared" si="7"/>
        <v>4.5128999999999992</v>
      </c>
      <c r="R9" s="130">
        <f t="shared" si="7"/>
        <v>5.8235666666666665E-2</v>
      </c>
      <c r="S9" s="130">
        <f t="shared" si="7"/>
        <v>71.534400000000005</v>
      </c>
      <c r="T9" s="130">
        <f t="shared" si="7"/>
        <v>8.4110999999999995E-3</v>
      </c>
      <c r="U9" s="130">
        <f t="shared" si="7"/>
        <v>0.12942999999999996</v>
      </c>
      <c r="V9" s="130">
        <f t="shared" si="7"/>
        <v>0.17147999999999999</v>
      </c>
      <c r="W9" s="130">
        <f t="shared" si="7"/>
        <v>1.8309999999999997</v>
      </c>
      <c r="X9" s="130">
        <f t="shared" si="7"/>
        <v>8.7106000000000006E-3</v>
      </c>
      <c r="Y9" s="130">
        <f t="shared" si="7"/>
        <v>1.1105000000000002E-2</v>
      </c>
      <c r="Z9" s="130">
        <f t="shared" si="7"/>
        <v>7.3550000000000004E-4</v>
      </c>
      <c r="AA9" s="130">
        <f t="shared" si="7"/>
        <v>1.9855999999999999E-2</v>
      </c>
      <c r="AB9" s="130">
        <f t="shared" si="7"/>
        <v>0.82047999999999999</v>
      </c>
      <c r="AC9" s="130">
        <f t="shared" si="7"/>
        <v>1.244E-2</v>
      </c>
      <c r="AD9" s="130">
        <f t="shared" si="7"/>
        <v>2.2545E-4</v>
      </c>
      <c r="AE9" s="130">
        <f t="shared" si="7"/>
        <v>3.4245999999999999E-3</v>
      </c>
      <c r="AF9" s="130">
        <f t="shared" si="7"/>
        <v>3.4816000000000007E-2</v>
      </c>
      <c r="AG9" s="130">
        <f t="shared" si="7"/>
        <v>5.8338999999999999</v>
      </c>
      <c r="AH9" s="130">
        <f t="shared" si="7"/>
        <v>5.8338999999999999</v>
      </c>
      <c r="AI9" s="130">
        <f t="shared" si="7"/>
        <v>7.2693000000000003</v>
      </c>
      <c r="AJ9" s="130">
        <f t="shared" si="7"/>
        <v>1.1007000000000001E-2</v>
      </c>
      <c r="AK9" s="130">
        <f t="shared" si="7"/>
        <v>441.68080000000003</v>
      </c>
      <c r="AL9" s="130">
        <f t="shared" si="7"/>
        <v>8.8555999999999982E-2</v>
      </c>
      <c r="AM9" s="130">
        <f t="shared" si="7"/>
        <v>2.8418499999999995</v>
      </c>
      <c r="AN9" s="130">
        <f t="shared" si="7"/>
        <v>0</v>
      </c>
      <c r="AO9" s="130">
        <f t="shared" si="7"/>
        <v>1.1095733333333333</v>
      </c>
      <c r="AP9" s="130">
        <f t="shared" si="7"/>
        <v>0.40286</v>
      </c>
      <c r="AQ9" s="130">
        <f t="shared" si="7"/>
        <v>0.62368999999999997</v>
      </c>
      <c r="AR9" s="130">
        <f t="shared" si="7"/>
        <v>2.0830000000000001E-2</v>
      </c>
      <c r="AS9" s="130">
        <f t="shared" si="7"/>
        <v>-1.8332999999999997</v>
      </c>
      <c r="AT9" s="143">
        <f t="shared" si="7"/>
        <v>-203.27070000000001</v>
      </c>
      <c r="AV9">
        <f>_xlfn.STDEV.S(H50:H55)</f>
        <v>78.518082606172086</v>
      </c>
      <c r="AW9">
        <f>_xlfn.STDEV.S(I50:I55)</f>
        <v>4534.2021188821427</v>
      </c>
      <c r="AY9">
        <f t="shared" ref="AY9:CI9" si="8">_xlfn.STDEV.P(J50:J55)</f>
        <v>2.8251259804751575E-2</v>
      </c>
      <c r="AZ9">
        <f t="shared" si="8"/>
        <v>7.1136380026131665E-2</v>
      </c>
      <c r="BA9">
        <f t="shared" si="8"/>
        <v>0.31726348495988188</v>
      </c>
      <c r="BB9">
        <f t="shared" si="8"/>
        <v>8.1039752676627094E-2</v>
      </c>
      <c r="BC9">
        <f t="shared" si="8"/>
        <v>4.323596042133857E-5</v>
      </c>
      <c r="BD9">
        <f t="shared" si="8"/>
        <v>1.8175898086362427E-6</v>
      </c>
      <c r="BE9">
        <f t="shared" si="8"/>
        <v>1.1939690776809645E-3</v>
      </c>
      <c r="BF9">
        <f t="shared" si="8"/>
        <v>3.5302308191769369</v>
      </c>
      <c r="BG9">
        <f t="shared" si="8"/>
        <v>4.4701645803656438E-2</v>
      </c>
      <c r="BH9">
        <f t="shared" si="8"/>
        <v>0</v>
      </c>
      <c r="BI9">
        <f t="shared" si="8"/>
        <v>0</v>
      </c>
      <c r="BJ9">
        <f t="shared" si="8"/>
        <v>2.7755575615628914E-17</v>
      </c>
      <c r="BK9">
        <f t="shared" si="8"/>
        <v>0</v>
      </c>
      <c r="BL9">
        <f t="shared" si="8"/>
        <v>2.2204460492503131E-16</v>
      </c>
      <c r="BM9">
        <f t="shared" si="8"/>
        <v>0</v>
      </c>
      <c r="BN9">
        <f t="shared" si="8"/>
        <v>1.7347234759768071E-18</v>
      </c>
      <c r="BO9">
        <f t="shared" si="8"/>
        <v>0</v>
      </c>
      <c r="BP9">
        <f t="shared" si="8"/>
        <v>0</v>
      </c>
      <c r="BQ9">
        <f t="shared" si="8"/>
        <v>0</v>
      </c>
      <c r="BR9">
        <f t="shared" si="8"/>
        <v>0</v>
      </c>
      <c r="BS9">
        <f t="shared" si="8"/>
        <v>0</v>
      </c>
      <c r="BT9">
        <f t="shared" si="8"/>
        <v>0</v>
      </c>
      <c r="BU9">
        <f t="shared" si="8"/>
        <v>6.9388939039072284E-18</v>
      </c>
      <c r="BV9">
        <f t="shared" si="8"/>
        <v>0</v>
      </c>
      <c r="BW9">
        <f t="shared" si="8"/>
        <v>0</v>
      </c>
      <c r="BX9">
        <f t="shared" si="8"/>
        <v>0</v>
      </c>
      <c r="BY9">
        <f t="shared" si="8"/>
        <v>1.7347234759768071E-18</v>
      </c>
      <c r="BZ9">
        <f t="shared" si="8"/>
        <v>5.6843418860808015E-14</v>
      </c>
      <c r="CA9">
        <f t="shared" si="8"/>
        <v>1.3877787807814457E-17</v>
      </c>
      <c r="CB9">
        <f t="shared" si="8"/>
        <v>0.27944404776866039</v>
      </c>
      <c r="CC9">
        <f t="shared" si="8"/>
        <v>0</v>
      </c>
      <c r="CD9">
        <f t="shared" si="8"/>
        <v>0.15527041171954073</v>
      </c>
      <c r="CE9">
        <f t="shared" si="8"/>
        <v>0</v>
      </c>
      <c r="CF9">
        <f t="shared" si="8"/>
        <v>0</v>
      </c>
      <c r="CG9">
        <f t="shared" si="8"/>
        <v>0</v>
      </c>
      <c r="CH9">
        <f t="shared" si="8"/>
        <v>2.2204460492503131E-16</v>
      </c>
      <c r="CI9">
        <f t="shared" si="8"/>
        <v>0</v>
      </c>
    </row>
    <row r="10" spans="2:87" x14ac:dyDescent="0.25">
      <c r="B10" s="130" t="s">
        <v>306</v>
      </c>
      <c r="C10" s="131">
        <f>AVERAGE(G56:G58)</f>
        <v>3899.5415333333331</v>
      </c>
      <c r="D10">
        <f>AVERAGE(H56:H58)</f>
        <v>2057.2757000000001</v>
      </c>
      <c r="E10">
        <f t="shared" ref="E10" si="9">AVERAGE(I56:I58)</f>
        <v>34338.905766666663</v>
      </c>
      <c r="F10" s="128">
        <f t="shared" si="2"/>
        <v>680.29570000000012</v>
      </c>
      <c r="G10" s="128">
        <f t="shared" si="3"/>
        <v>758.37354129100004</v>
      </c>
      <c r="H10" s="128">
        <f>E10/55.2*3.058229634</f>
        <v>1902.4684640353892</v>
      </c>
      <c r="I10">
        <v>0.36863000000000001</v>
      </c>
      <c r="J10" s="130">
        <f t="shared" ref="J10:AT10" si="10">AVERAGE(J56:J58)</f>
        <v>0.36892666666666668</v>
      </c>
      <c r="K10" s="130">
        <f t="shared" si="10"/>
        <v>0.71867000000000003</v>
      </c>
      <c r="L10" s="130">
        <f t="shared" si="10"/>
        <v>1.5864666666666667</v>
      </c>
      <c r="M10" s="130">
        <f t="shared" si="10"/>
        <v>0.60327000000000008</v>
      </c>
      <c r="N10" s="130">
        <f t="shared" si="10"/>
        <v>2.2863666666666668E-6</v>
      </c>
      <c r="O10" s="130">
        <f t="shared" si="10"/>
        <v>0</v>
      </c>
      <c r="P10" s="130">
        <f t="shared" si="10"/>
        <v>0</v>
      </c>
      <c r="Q10" s="130">
        <f t="shared" si="10"/>
        <v>81.832633333333334</v>
      </c>
      <c r="R10" s="130">
        <f t="shared" si="10"/>
        <v>0.14638333333333334</v>
      </c>
      <c r="S10" s="130">
        <f t="shared" si="10"/>
        <v>507.59809999999999</v>
      </c>
      <c r="T10" s="130">
        <f t="shared" si="10"/>
        <v>8.4110999999999995E-3</v>
      </c>
      <c r="U10" s="130">
        <f t="shared" si="10"/>
        <v>0.91839999999999999</v>
      </c>
      <c r="V10" s="130">
        <f t="shared" si="10"/>
        <v>1.2168000000000001</v>
      </c>
      <c r="W10" s="130">
        <f t="shared" si="10"/>
        <v>1.8310000000000002</v>
      </c>
      <c r="X10" s="130">
        <f t="shared" si="10"/>
        <v>8.7106000000000006E-3</v>
      </c>
      <c r="Y10" s="130">
        <f t="shared" si="10"/>
        <v>1.1104999999999999E-2</v>
      </c>
      <c r="Z10" s="130">
        <f t="shared" si="10"/>
        <v>7.3550000000000004E-4</v>
      </c>
      <c r="AA10" s="130">
        <f t="shared" si="10"/>
        <v>1.9855999999999999E-2</v>
      </c>
      <c r="AB10" s="130">
        <f t="shared" si="10"/>
        <v>0.82047999999999999</v>
      </c>
      <c r="AC10" s="130">
        <f t="shared" si="10"/>
        <v>1.244E-2</v>
      </c>
      <c r="AD10" s="130">
        <f t="shared" si="10"/>
        <v>2.2545E-4</v>
      </c>
      <c r="AE10" s="130">
        <f t="shared" si="10"/>
        <v>3.4245999999999999E-3</v>
      </c>
      <c r="AF10" s="130">
        <f t="shared" si="10"/>
        <v>3.4816E-2</v>
      </c>
      <c r="AG10" s="130">
        <f t="shared" si="10"/>
        <v>41.396700000000003</v>
      </c>
      <c r="AH10" s="130">
        <f t="shared" si="10"/>
        <v>41.396700000000003</v>
      </c>
      <c r="AI10" s="130">
        <f t="shared" si="10"/>
        <v>51.582099999999997</v>
      </c>
      <c r="AJ10" s="130">
        <f t="shared" si="10"/>
        <v>1.1006999999999998E-2</v>
      </c>
      <c r="AK10" s="130">
        <f t="shared" si="10"/>
        <v>441.68079999999992</v>
      </c>
      <c r="AL10" s="130">
        <f t="shared" si="10"/>
        <v>8.855600000000001E-2</v>
      </c>
      <c r="AM10" s="130">
        <f t="shared" si="10"/>
        <v>27.391666666666666</v>
      </c>
      <c r="AN10" s="130">
        <f t="shared" si="10"/>
        <v>0</v>
      </c>
      <c r="AO10" s="130">
        <f t="shared" si="10"/>
        <v>4.3216999999999999</v>
      </c>
      <c r="AP10" s="130">
        <f t="shared" si="10"/>
        <v>0.40286</v>
      </c>
      <c r="AQ10" s="130">
        <f t="shared" si="10"/>
        <v>0.62368999999999997</v>
      </c>
      <c r="AR10" s="130">
        <f t="shared" si="10"/>
        <v>2.0830000000000001E-2</v>
      </c>
      <c r="AS10" s="130">
        <f t="shared" si="10"/>
        <v>-1.8333000000000002</v>
      </c>
      <c r="AT10" s="143">
        <f t="shared" si="10"/>
        <v>-203.27070000000001</v>
      </c>
      <c r="AV10">
        <f>_xlfn.STDEV.S(H56:H58)</f>
        <v>22.769015423597111</v>
      </c>
      <c r="AW10">
        <f>_xlfn.STDEV.S(I56:I58)</f>
        <v>92.156174375476908</v>
      </c>
      <c r="AY10">
        <f t="shared" ref="AY10:CI10" si="11">_xlfn.STDEV.P(J56:J58)</f>
        <v>1.5967847555495889E-2</v>
      </c>
      <c r="AZ10">
        <f t="shared" si="11"/>
        <v>0.38322012534138455</v>
      </c>
      <c r="BA10">
        <f t="shared" si="11"/>
        <v>1.1325879902045404E-2</v>
      </c>
      <c r="BB10">
        <f t="shared" si="11"/>
        <v>8.3561992955330389E-3</v>
      </c>
      <c r="BC10">
        <f t="shared" si="11"/>
        <v>3.2334107485577651E-6</v>
      </c>
      <c r="BD10">
        <f t="shared" si="11"/>
        <v>0</v>
      </c>
      <c r="BE10">
        <f t="shared" si="11"/>
        <v>0</v>
      </c>
      <c r="BF10">
        <f t="shared" si="11"/>
        <v>6.5705432126186389</v>
      </c>
      <c r="BG10">
        <f t="shared" si="11"/>
        <v>3.9099644783836939E-3</v>
      </c>
      <c r="BH10">
        <f t="shared" si="11"/>
        <v>0</v>
      </c>
      <c r="BI10">
        <f t="shared" si="11"/>
        <v>0</v>
      </c>
      <c r="BJ10">
        <f t="shared" si="11"/>
        <v>0</v>
      </c>
      <c r="BK10">
        <f t="shared" si="11"/>
        <v>0</v>
      </c>
      <c r="BL10">
        <f t="shared" si="11"/>
        <v>2.2204460492503131E-16</v>
      </c>
      <c r="BM10">
        <f t="shared" si="11"/>
        <v>0</v>
      </c>
      <c r="BN10">
        <f t="shared" si="11"/>
        <v>1.7347234759768071E-18</v>
      </c>
      <c r="BO10">
        <f t="shared" si="11"/>
        <v>0</v>
      </c>
      <c r="BP10">
        <f t="shared" si="11"/>
        <v>0</v>
      </c>
      <c r="BQ10">
        <f t="shared" si="11"/>
        <v>0</v>
      </c>
      <c r="BR10">
        <f t="shared" si="11"/>
        <v>0</v>
      </c>
      <c r="BS10">
        <f t="shared" si="11"/>
        <v>0</v>
      </c>
      <c r="BT10">
        <f t="shared" si="11"/>
        <v>0</v>
      </c>
      <c r="BU10">
        <f t="shared" si="11"/>
        <v>0</v>
      </c>
      <c r="BV10">
        <f t="shared" si="11"/>
        <v>0</v>
      </c>
      <c r="BW10">
        <f t="shared" si="11"/>
        <v>0</v>
      </c>
      <c r="BX10">
        <f t="shared" si="11"/>
        <v>0</v>
      </c>
      <c r="BY10">
        <f t="shared" si="11"/>
        <v>1.7347234759768071E-18</v>
      </c>
      <c r="BZ10">
        <f t="shared" si="11"/>
        <v>5.6843418860808015E-14</v>
      </c>
      <c r="CA10">
        <f t="shared" si="11"/>
        <v>1.3877787807814457E-17</v>
      </c>
      <c r="CB10">
        <f t="shared" si="11"/>
        <v>0.14956742812375712</v>
      </c>
      <c r="CC10">
        <f t="shared" si="11"/>
        <v>0</v>
      </c>
      <c r="CD10">
        <f t="shared" si="11"/>
        <v>2.2724876237286619E-2</v>
      </c>
      <c r="CE10">
        <f t="shared" si="11"/>
        <v>0</v>
      </c>
      <c r="CF10">
        <f t="shared" si="11"/>
        <v>0</v>
      </c>
      <c r="CG10">
        <f t="shared" si="11"/>
        <v>0</v>
      </c>
      <c r="CH10">
        <f t="shared" si="11"/>
        <v>2.2204460492503131E-16</v>
      </c>
      <c r="CI10">
        <f t="shared" si="11"/>
        <v>0</v>
      </c>
    </row>
    <row r="11" spans="2:87" x14ac:dyDescent="0.25">
      <c r="B11" s="130" t="s">
        <v>307</v>
      </c>
      <c r="C11" s="131">
        <f>AVERAGE(G59:G65)</f>
        <v>3595.1597285714283</v>
      </c>
      <c r="D11">
        <f>AVERAGE(H59:H65)</f>
        <v>1908.5939714285716</v>
      </c>
      <c r="E11">
        <f>AVERAGE(I59:I65)</f>
        <v>39702.589071428571</v>
      </c>
      <c r="F11" s="128">
        <f t="shared" si="2"/>
        <v>531.61397142857163</v>
      </c>
      <c r="G11" s="128">
        <f t="shared" si="3"/>
        <v>156.82916663228573</v>
      </c>
      <c r="H11" s="128">
        <f t="shared" si="4"/>
        <v>2199.631058782018</v>
      </c>
      <c r="I11">
        <v>8.2170000000000007E-2</v>
      </c>
      <c r="J11" s="130">
        <f t="shared" ref="J11:AT11" si="12">AVERAGE(J59:J65)</f>
        <v>0.32341428571428571</v>
      </c>
      <c r="K11" s="130">
        <f t="shared" si="12"/>
        <v>1.1706389999999999E-2</v>
      </c>
      <c r="L11" s="130">
        <f t="shared" si="12"/>
        <v>2.0213142857142858</v>
      </c>
      <c r="M11" s="130">
        <f t="shared" si="12"/>
        <v>0.72272428571428571</v>
      </c>
      <c r="N11" s="130">
        <f t="shared" si="12"/>
        <v>7.7735714285714295E-7</v>
      </c>
      <c r="O11" s="130">
        <f t="shared" si="12"/>
        <v>0</v>
      </c>
      <c r="P11" s="130">
        <f t="shared" si="12"/>
        <v>0</v>
      </c>
      <c r="Q11" s="130">
        <f t="shared" si="12"/>
        <v>6.4279428571428587</v>
      </c>
      <c r="R11" s="130">
        <f t="shared" si="12"/>
        <v>6.0147571428571425E-2</v>
      </c>
      <c r="S11" s="130">
        <f t="shared" si="12"/>
        <v>113.14689999999999</v>
      </c>
      <c r="T11" s="130">
        <f t="shared" si="12"/>
        <v>8.4110999999999995E-3</v>
      </c>
      <c r="U11" s="130">
        <f t="shared" si="12"/>
        <v>0.20472000000000001</v>
      </c>
      <c r="V11" s="130">
        <f t="shared" si="12"/>
        <v>0.27123000000000003</v>
      </c>
      <c r="W11" s="130">
        <f t="shared" si="12"/>
        <v>1.8309999999999997</v>
      </c>
      <c r="X11" s="130">
        <f t="shared" si="12"/>
        <v>8.7106000000000006E-3</v>
      </c>
      <c r="Y11" s="130">
        <f t="shared" si="12"/>
        <v>1.1105000000000002E-2</v>
      </c>
      <c r="Z11" s="130">
        <f t="shared" si="12"/>
        <v>7.3550000000000004E-4</v>
      </c>
      <c r="AA11" s="130">
        <f t="shared" si="12"/>
        <v>1.9856000000000002E-2</v>
      </c>
      <c r="AB11" s="130">
        <f t="shared" si="12"/>
        <v>0.82047999999999999</v>
      </c>
      <c r="AC11" s="130">
        <f t="shared" si="12"/>
        <v>1.2439999999999998E-2</v>
      </c>
      <c r="AD11" s="130">
        <f t="shared" si="12"/>
        <v>2.2545000000000003E-4</v>
      </c>
      <c r="AE11" s="130">
        <f t="shared" si="12"/>
        <v>3.4245999999999999E-3</v>
      </c>
      <c r="AF11" s="130">
        <f t="shared" si="12"/>
        <v>3.4816000000000007E-2</v>
      </c>
      <c r="AG11" s="130">
        <f t="shared" si="12"/>
        <v>9.2276000000000007</v>
      </c>
      <c r="AH11" s="130">
        <f t="shared" si="12"/>
        <v>9.2276000000000007</v>
      </c>
      <c r="AI11" s="130">
        <f t="shared" si="12"/>
        <v>11.498000000000001</v>
      </c>
      <c r="AJ11" s="130">
        <f t="shared" si="12"/>
        <v>1.1007000000000001E-2</v>
      </c>
      <c r="AK11" s="130">
        <f t="shared" si="12"/>
        <v>441.68080000000003</v>
      </c>
      <c r="AL11" s="130">
        <f t="shared" si="12"/>
        <v>8.8555999999999982E-2</v>
      </c>
      <c r="AM11" s="130">
        <f t="shared" si="12"/>
        <v>5.5364714285714296</v>
      </c>
      <c r="AN11" s="130">
        <f t="shared" si="12"/>
        <v>0</v>
      </c>
      <c r="AO11" s="130">
        <f t="shared" si="12"/>
        <v>1.2770171428571431</v>
      </c>
      <c r="AP11" s="130">
        <f t="shared" si="12"/>
        <v>0.40286</v>
      </c>
      <c r="AQ11" s="130">
        <f t="shared" si="12"/>
        <v>0.62368999999999997</v>
      </c>
      <c r="AR11" s="130">
        <f t="shared" si="12"/>
        <v>2.0829999999999998E-2</v>
      </c>
      <c r="AS11" s="130">
        <f t="shared" si="12"/>
        <v>-1.8332999999999997</v>
      </c>
      <c r="AT11" s="143">
        <f t="shared" si="12"/>
        <v>-203.27070000000001</v>
      </c>
      <c r="AV11">
        <f>_xlfn.STDEV.S(H59:H65)</f>
        <v>61.302894910917914</v>
      </c>
      <c r="AW11">
        <f>_xlfn.STDEV.S(I59:I65)</f>
        <v>5844.0875696405428</v>
      </c>
      <c r="AY11">
        <f t="shared" ref="AY11:CI11" si="13">_xlfn.STDEV.P(J59:J65)</f>
        <v>7.2197784464848036E-2</v>
      </c>
      <c r="AZ11">
        <f t="shared" si="13"/>
        <v>1.6839523127931588E-2</v>
      </c>
      <c r="BA11">
        <f t="shared" si="13"/>
        <v>0.40336429273432256</v>
      </c>
      <c r="BB11">
        <f t="shared" si="13"/>
        <v>0.12956741553086148</v>
      </c>
      <c r="BC11">
        <f t="shared" si="13"/>
        <v>1.904128347907809E-6</v>
      </c>
      <c r="BD11">
        <f t="shared" si="13"/>
        <v>0</v>
      </c>
      <c r="BE11">
        <f t="shared" si="13"/>
        <v>0</v>
      </c>
      <c r="BF11">
        <f t="shared" si="13"/>
        <v>4.3266159316019515</v>
      </c>
      <c r="BG11">
        <f t="shared" si="13"/>
        <v>4.177643543180478E-2</v>
      </c>
      <c r="BH11">
        <f t="shared" si="13"/>
        <v>1.4210854715202004E-14</v>
      </c>
      <c r="BI11">
        <f t="shared" si="13"/>
        <v>0</v>
      </c>
      <c r="BJ11">
        <f t="shared" si="13"/>
        <v>0</v>
      </c>
      <c r="BK11">
        <f t="shared" si="13"/>
        <v>0</v>
      </c>
      <c r="BL11">
        <f t="shared" si="13"/>
        <v>2.2204460492503131E-16</v>
      </c>
      <c r="BM11">
        <f t="shared" si="13"/>
        <v>0</v>
      </c>
      <c r="BN11">
        <f t="shared" si="13"/>
        <v>1.7347234759768071E-18</v>
      </c>
      <c r="BO11">
        <f t="shared" si="13"/>
        <v>0</v>
      </c>
      <c r="BP11">
        <f t="shared" si="13"/>
        <v>3.4694469519536142E-18</v>
      </c>
      <c r="BQ11">
        <f t="shared" si="13"/>
        <v>0</v>
      </c>
      <c r="BR11">
        <f t="shared" si="13"/>
        <v>1.7347234759768071E-18</v>
      </c>
      <c r="BS11">
        <f t="shared" si="13"/>
        <v>2.7105054312137611E-20</v>
      </c>
      <c r="BT11">
        <f t="shared" si="13"/>
        <v>0</v>
      </c>
      <c r="BU11">
        <f t="shared" si="13"/>
        <v>6.9388939039072284E-18</v>
      </c>
      <c r="BV11">
        <f t="shared" si="13"/>
        <v>0</v>
      </c>
      <c r="BW11">
        <f t="shared" si="13"/>
        <v>0</v>
      </c>
      <c r="BX11">
        <f t="shared" si="13"/>
        <v>1.7763568394002505E-15</v>
      </c>
      <c r="BY11">
        <f t="shared" si="13"/>
        <v>1.7347234759768071E-18</v>
      </c>
      <c r="BZ11">
        <f t="shared" si="13"/>
        <v>5.6843418860808015E-14</v>
      </c>
      <c r="CA11">
        <f t="shared" si="13"/>
        <v>1.3877787807814457E-17</v>
      </c>
      <c r="CB11">
        <f t="shared" si="13"/>
        <v>0.68679803792523464</v>
      </c>
      <c r="CC11">
        <f t="shared" si="13"/>
        <v>0</v>
      </c>
      <c r="CD11">
        <f t="shared" si="13"/>
        <v>0.31224028369713092</v>
      </c>
      <c r="CE11">
        <f t="shared" si="13"/>
        <v>0</v>
      </c>
      <c r="CF11">
        <f t="shared" si="13"/>
        <v>0</v>
      </c>
      <c r="CG11">
        <f t="shared" si="13"/>
        <v>3.4694469519536142E-18</v>
      </c>
      <c r="CH11">
        <f t="shared" si="13"/>
        <v>2.2204460492503131E-16</v>
      </c>
      <c r="CI11">
        <f t="shared" si="13"/>
        <v>0</v>
      </c>
    </row>
    <row r="12" spans="2:87" x14ac:dyDescent="0.25">
      <c r="B12" s="130" t="s">
        <v>308</v>
      </c>
      <c r="C12" s="144">
        <f>AVERAGE(G66:G70)</f>
        <v>4888.7733000000007</v>
      </c>
      <c r="D12">
        <f>AVERAGE(H66:H70)</f>
        <v>2089.78406</v>
      </c>
      <c r="E12">
        <f>AVERAGE(I66:I70)</f>
        <v>30627.31424</v>
      </c>
      <c r="F12" s="128">
        <f t="shared" si="2"/>
        <v>712.80405999999994</v>
      </c>
      <c r="G12" s="128">
        <f t="shared" si="3"/>
        <v>1953.2375695196001</v>
      </c>
      <c r="H12" s="128">
        <f t="shared" si="4"/>
        <v>1696.8362322209816</v>
      </c>
      <c r="I12">
        <v>0.93466000000000005</v>
      </c>
      <c r="J12" s="130">
        <f t="shared" ref="J12:AT12" si="14">AVERAGE(J66:J70)</f>
        <v>0.39273999999999998</v>
      </c>
      <c r="K12" s="130">
        <f t="shared" si="14"/>
        <v>1.0208287999999999</v>
      </c>
      <c r="L12" s="130">
        <f t="shared" si="14"/>
        <v>1.3586400000000001</v>
      </c>
      <c r="M12" s="130">
        <f t="shared" si="14"/>
        <v>0.48941200000000001</v>
      </c>
      <c r="N12" s="130">
        <f t="shared" si="14"/>
        <v>0</v>
      </c>
      <c r="O12" s="130">
        <f t="shared" si="14"/>
        <v>0</v>
      </c>
      <c r="P12" s="130">
        <f t="shared" si="14"/>
        <v>0</v>
      </c>
      <c r="Q12" s="130">
        <f t="shared" si="14"/>
        <v>237.43122</v>
      </c>
      <c r="R12" s="130">
        <f t="shared" si="14"/>
        <v>0.17188199999999998</v>
      </c>
      <c r="S12" s="130">
        <f t="shared" si="14"/>
        <v>1287.0130999999999</v>
      </c>
      <c r="T12" s="130">
        <f t="shared" si="14"/>
        <v>8.4110999999999995E-3</v>
      </c>
      <c r="U12" s="130">
        <f t="shared" si="14"/>
        <v>2.3285999999999998</v>
      </c>
      <c r="V12" s="130">
        <f t="shared" si="14"/>
        <v>3.0851999999999999</v>
      </c>
      <c r="W12" s="130">
        <f t="shared" si="14"/>
        <v>1.831</v>
      </c>
      <c r="X12" s="130">
        <f t="shared" si="14"/>
        <v>8.7106000000000006E-3</v>
      </c>
      <c r="Y12" s="130">
        <f t="shared" si="14"/>
        <v>1.1105E-2</v>
      </c>
      <c r="Z12" s="130">
        <f t="shared" si="14"/>
        <v>7.3550000000000004E-4</v>
      </c>
      <c r="AA12" s="130">
        <f t="shared" si="14"/>
        <v>1.9855999999999999E-2</v>
      </c>
      <c r="AB12" s="130">
        <f t="shared" si="14"/>
        <v>0.8204800000000001</v>
      </c>
      <c r="AC12" s="130">
        <f t="shared" si="14"/>
        <v>1.244E-2</v>
      </c>
      <c r="AD12" s="130">
        <f t="shared" si="14"/>
        <v>2.2545E-4</v>
      </c>
      <c r="AE12" s="130">
        <f t="shared" si="14"/>
        <v>3.4245999999999999E-3</v>
      </c>
      <c r="AF12" s="130">
        <f t="shared" si="14"/>
        <v>3.4816E-2</v>
      </c>
      <c r="AG12" s="130">
        <f t="shared" si="14"/>
        <v>104.96120000000001</v>
      </c>
      <c r="AH12" s="130">
        <f t="shared" si="14"/>
        <v>104.96120000000001</v>
      </c>
      <c r="AI12" s="130">
        <f t="shared" si="14"/>
        <v>130.78630000000001</v>
      </c>
      <c r="AJ12" s="130">
        <f t="shared" si="14"/>
        <v>1.1006999999999999E-2</v>
      </c>
      <c r="AK12" s="130">
        <f t="shared" si="14"/>
        <v>441.68079999999998</v>
      </c>
      <c r="AL12" s="130">
        <f t="shared" si="14"/>
        <v>8.8555999999999996E-2</v>
      </c>
      <c r="AM12" s="130">
        <f t="shared" si="14"/>
        <v>72.352399999999989</v>
      </c>
      <c r="AN12" s="130">
        <f t="shared" si="14"/>
        <v>0</v>
      </c>
      <c r="AO12" s="130">
        <f t="shared" si="14"/>
        <v>9.2975200000000005</v>
      </c>
      <c r="AP12" s="130">
        <f t="shared" si="14"/>
        <v>0.40286</v>
      </c>
      <c r="AQ12" s="130">
        <f t="shared" si="14"/>
        <v>0.62368999999999997</v>
      </c>
      <c r="AR12" s="130">
        <f t="shared" si="14"/>
        <v>2.0830000000000001E-2</v>
      </c>
      <c r="AS12" s="130">
        <f t="shared" si="14"/>
        <v>-1.8332999999999999</v>
      </c>
      <c r="AT12" s="143">
        <f t="shared" si="14"/>
        <v>-203.27070000000001</v>
      </c>
      <c r="AV12">
        <f>_xlfn.STDEV.S(H66:H70)</f>
        <v>26.778476385392072</v>
      </c>
      <c r="AW12">
        <f>_xlfn.STDEV.S(I66:I70)</f>
        <v>2095.55654802554</v>
      </c>
      <c r="AY12">
        <f t="shared" ref="AY12:CI12" si="15">_xlfn.STDEV.P(J66:J70)</f>
        <v>1.6241355854730837E-2</v>
      </c>
      <c r="AZ12">
        <f t="shared" si="15"/>
        <v>1.0378256138676476</v>
      </c>
      <c r="BA12">
        <f t="shared" si="15"/>
        <v>0.1171566575146287</v>
      </c>
      <c r="BB12">
        <f t="shared" si="15"/>
        <v>5.4154649070970978E-2</v>
      </c>
      <c r="BC12">
        <f t="shared" si="15"/>
        <v>0</v>
      </c>
      <c r="BD12">
        <f t="shared" si="15"/>
        <v>0</v>
      </c>
      <c r="BE12">
        <f t="shared" si="15"/>
        <v>0</v>
      </c>
      <c r="BF12">
        <f t="shared" si="15"/>
        <v>21.915221035563391</v>
      </c>
      <c r="BG12">
        <f t="shared" si="15"/>
        <v>1.5089873955736004E-2</v>
      </c>
      <c r="BH12">
        <f t="shared" si="15"/>
        <v>0</v>
      </c>
      <c r="BI12">
        <f t="shared" si="15"/>
        <v>0</v>
      </c>
      <c r="BJ12">
        <f t="shared" si="15"/>
        <v>0</v>
      </c>
      <c r="BK12">
        <f t="shared" si="15"/>
        <v>0</v>
      </c>
      <c r="BL12">
        <f t="shared" si="15"/>
        <v>0</v>
      </c>
      <c r="BM12">
        <f t="shared" si="15"/>
        <v>0</v>
      </c>
      <c r="BN12">
        <f t="shared" si="15"/>
        <v>0</v>
      </c>
      <c r="BO12">
        <f t="shared" si="15"/>
        <v>0</v>
      </c>
      <c r="BP12">
        <f t="shared" si="15"/>
        <v>0</v>
      </c>
      <c r="BQ12">
        <f t="shared" si="15"/>
        <v>1.1102230246251565E-16</v>
      </c>
      <c r="BR12">
        <f t="shared" si="15"/>
        <v>0</v>
      </c>
      <c r="BS12">
        <f t="shared" si="15"/>
        <v>0</v>
      </c>
      <c r="BT12">
        <f t="shared" si="15"/>
        <v>0</v>
      </c>
      <c r="BU12">
        <f t="shared" si="15"/>
        <v>0</v>
      </c>
      <c r="BV12">
        <f t="shared" si="15"/>
        <v>0</v>
      </c>
      <c r="BW12">
        <f t="shared" si="15"/>
        <v>0</v>
      </c>
      <c r="BX12">
        <f t="shared" si="15"/>
        <v>0</v>
      </c>
      <c r="BY12">
        <f t="shared" si="15"/>
        <v>0</v>
      </c>
      <c r="BZ12">
        <f t="shared" si="15"/>
        <v>0</v>
      </c>
      <c r="CA12">
        <f t="shared" si="15"/>
        <v>0</v>
      </c>
      <c r="CB12">
        <f t="shared" si="15"/>
        <v>1.2447192438457781</v>
      </c>
      <c r="CC12">
        <f t="shared" si="15"/>
        <v>0</v>
      </c>
      <c r="CD12">
        <f t="shared" si="15"/>
        <v>0.8805064688007691</v>
      </c>
      <c r="CE12">
        <f t="shared" si="15"/>
        <v>0</v>
      </c>
      <c r="CF12">
        <f t="shared" si="15"/>
        <v>0</v>
      </c>
      <c r="CG12">
        <f t="shared" si="15"/>
        <v>0</v>
      </c>
      <c r="CH12">
        <f t="shared" si="15"/>
        <v>0</v>
      </c>
      <c r="CI12">
        <f t="shared" si="15"/>
        <v>0</v>
      </c>
    </row>
    <row r="13" spans="2:87" x14ac:dyDescent="0.25">
      <c r="B13" s="130" t="s">
        <v>309</v>
      </c>
      <c r="C13">
        <f>AVERAGE(G71:G80)</f>
        <v>6853.1804000000002</v>
      </c>
      <c r="D13">
        <f>AVERAGE(H71:H80)</f>
        <v>1820.0369899999998</v>
      </c>
      <c r="E13">
        <f>AVERAGE(I71:I80)</f>
        <v>66428.984139999986</v>
      </c>
      <c r="F13" s="128">
        <f t="shared" si="2"/>
        <v>443.05698999999981</v>
      </c>
      <c r="G13" s="128">
        <f t="shared" si="3"/>
        <v>1934.1351089030998</v>
      </c>
      <c r="H13" s="128">
        <f t="shared" si="4"/>
        <v>3680.3457944468105</v>
      </c>
      <c r="I13">
        <v>1.0626899999999999</v>
      </c>
      <c r="J13" s="130">
        <f t="shared" ref="J13:AT13" si="16">AVERAGE(J71:J80)</f>
        <v>0.16562100000000002</v>
      </c>
      <c r="K13" s="130">
        <f t="shared" si="16"/>
        <v>3.3343000000000001E-4</v>
      </c>
      <c r="L13" s="130">
        <f t="shared" si="16"/>
        <v>3.8950699999999996</v>
      </c>
      <c r="M13" s="130">
        <f t="shared" si="16"/>
        <v>1.1713999999999998</v>
      </c>
      <c r="N13" s="130">
        <f t="shared" si="16"/>
        <v>0</v>
      </c>
      <c r="O13" s="130">
        <f t="shared" si="16"/>
        <v>0</v>
      </c>
      <c r="P13" s="130">
        <f t="shared" si="16"/>
        <v>0</v>
      </c>
      <c r="Q13" s="130">
        <f t="shared" si="16"/>
        <v>1.0281379999999998</v>
      </c>
      <c r="R13" s="130">
        <f t="shared" si="16"/>
        <v>8.7499999999999991E-4</v>
      </c>
      <c r="S13" s="130">
        <f t="shared" si="16"/>
        <v>1463.3086000000001</v>
      </c>
      <c r="T13" s="130">
        <f t="shared" si="16"/>
        <v>8.4111000000000012E-3</v>
      </c>
      <c r="U13" s="130">
        <f t="shared" si="16"/>
        <v>2.6476000000000002</v>
      </c>
      <c r="V13" s="130">
        <f t="shared" si="16"/>
        <v>3.5078000000000005</v>
      </c>
      <c r="W13" s="130">
        <f t="shared" si="16"/>
        <v>1.831</v>
      </c>
      <c r="X13" s="130">
        <f t="shared" si="16"/>
        <v>8.7106000000000006E-3</v>
      </c>
      <c r="Y13" s="130">
        <f t="shared" si="16"/>
        <v>1.1105000000000002E-2</v>
      </c>
      <c r="Z13" s="130">
        <f t="shared" si="16"/>
        <v>7.3550000000000004E-4</v>
      </c>
      <c r="AA13" s="130">
        <f t="shared" si="16"/>
        <v>1.9855999999999995E-2</v>
      </c>
      <c r="AB13" s="130">
        <f t="shared" si="16"/>
        <v>0.8204800000000001</v>
      </c>
      <c r="AC13" s="130">
        <f t="shared" si="16"/>
        <v>1.2440000000000001E-2</v>
      </c>
      <c r="AD13" s="130">
        <f t="shared" si="16"/>
        <v>2.2545E-4</v>
      </c>
      <c r="AE13" s="130">
        <f t="shared" si="16"/>
        <v>3.4245999999999999E-3</v>
      </c>
      <c r="AF13" s="130">
        <f t="shared" si="16"/>
        <v>3.4816000000000007E-2</v>
      </c>
      <c r="AG13" s="130">
        <f t="shared" si="16"/>
        <v>119.33880000000002</v>
      </c>
      <c r="AH13" s="130">
        <f t="shared" si="16"/>
        <v>119.33880000000002</v>
      </c>
      <c r="AI13" s="130">
        <f t="shared" si="16"/>
        <v>148.70150000000004</v>
      </c>
      <c r="AJ13" s="130">
        <f t="shared" si="16"/>
        <v>1.1007000000000001E-2</v>
      </c>
      <c r="AK13" s="130">
        <f t="shared" si="16"/>
        <v>441.68079999999998</v>
      </c>
      <c r="AL13" s="130">
        <f t="shared" si="16"/>
        <v>8.8555999999999982E-2</v>
      </c>
      <c r="AM13" s="130">
        <f t="shared" si="16"/>
        <v>37.67454</v>
      </c>
      <c r="AN13" s="130">
        <f t="shared" si="16"/>
        <v>0</v>
      </c>
      <c r="AO13" s="130">
        <f t="shared" si="16"/>
        <v>38.589099999999995</v>
      </c>
      <c r="AP13" s="130">
        <f t="shared" si="16"/>
        <v>0.40286</v>
      </c>
      <c r="AQ13" s="130">
        <f t="shared" si="16"/>
        <v>0.62368999999999997</v>
      </c>
      <c r="AR13" s="130">
        <f t="shared" si="16"/>
        <v>2.0830000000000005E-2</v>
      </c>
      <c r="AS13" s="130">
        <f t="shared" si="16"/>
        <v>-1.8332999999999999</v>
      </c>
      <c r="AT13" s="143">
        <f t="shared" si="16"/>
        <v>-203.27070000000001</v>
      </c>
      <c r="AV13">
        <f>_xlfn.STDEV.S(H71:H80)</f>
        <v>2.0255387757609342</v>
      </c>
      <c r="AW13">
        <f>_xlfn.STDEV.S(I71:I80)</f>
        <v>5169.9784464679187</v>
      </c>
      <c r="AY13">
        <f t="shared" ref="AY13:CI13" si="17">_xlfn.STDEV.P(J71:J80)</f>
        <v>2.4932671517508821E-2</v>
      </c>
      <c r="AZ13">
        <f t="shared" si="17"/>
        <v>1.00029E-3</v>
      </c>
      <c r="BA13">
        <f t="shared" si="17"/>
        <v>0.34096791945870797</v>
      </c>
      <c r="BB13">
        <f t="shared" si="17"/>
        <v>7.2598608802097606E-2</v>
      </c>
      <c r="BC13">
        <f t="shared" si="17"/>
        <v>0</v>
      </c>
      <c r="BD13">
        <f t="shared" si="17"/>
        <v>0</v>
      </c>
      <c r="BE13">
        <f t="shared" si="17"/>
        <v>0</v>
      </c>
      <c r="BF13">
        <f t="shared" si="17"/>
        <v>1.5138673721155365</v>
      </c>
      <c r="BG13">
        <f t="shared" si="17"/>
        <v>1.268122132919381E-3</v>
      </c>
      <c r="BH13">
        <f t="shared" si="17"/>
        <v>0</v>
      </c>
      <c r="BI13">
        <f t="shared" si="17"/>
        <v>1.7347234759768071E-18</v>
      </c>
      <c r="BJ13">
        <f t="shared" si="17"/>
        <v>0</v>
      </c>
      <c r="BK13">
        <f t="shared" si="17"/>
        <v>4.4408920985006262E-16</v>
      </c>
      <c r="BL13">
        <f t="shared" si="17"/>
        <v>0</v>
      </c>
      <c r="BM13">
        <f t="shared" si="17"/>
        <v>0</v>
      </c>
      <c r="BN13">
        <f t="shared" si="17"/>
        <v>1.7347234759768071E-18</v>
      </c>
      <c r="BO13">
        <f t="shared" si="17"/>
        <v>0</v>
      </c>
      <c r="BP13">
        <f t="shared" si="17"/>
        <v>3.4694469519536142E-18</v>
      </c>
      <c r="BQ13">
        <f t="shared" si="17"/>
        <v>1.1102230246251565E-16</v>
      </c>
      <c r="BR13">
        <f t="shared" si="17"/>
        <v>1.7347234759768071E-18</v>
      </c>
      <c r="BS13">
        <f t="shared" si="17"/>
        <v>0</v>
      </c>
      <c r="BT13">
        <f t="shared" si="17"/>
        <v>0</v>
      </c>
      <c r="BU13">
        <f t="shared" si="17"/>
        <v>6.9388939039072284E-18</v>
      </c>
      <c r="BV13">
        <f t="shared" si="17"/>
        <v>1.4210854715202004E-14</v>
      </c>
      <c r="BW13">
        <f t="shared" si="17"/>
        <v>1.4210854715202004E-14</v>
      </c>
      <c r="BX13">
        <f t="shared" si="17"/>
        <v>2.8421709430404007E-14</v>
      </c>
      <c r="BY13">
        <f t="shared" si="17"/>
        <v>1.7347234759768071E-18</v>
      </c>
      <c r="BZ13">
        <f t="shared" si="17"/>
        <v>0</v>
      </c>
      <c r="CA13">
        <f t="shared" si="17"/>
        <v>1.3877787807814457E-17</v>
      </c>
      <c r="CB13">
        <f t="shared" si="17"/>
        <v>3.4306836940178571</v>
      </c>
      <c r="CC13">
        <f t="shared" si="17"/>
        <v>0</v>
      </c>
      <c r="CD13">
        <f t="shared" si="17"/>
        <v>4.898335078166915</v>
      </c>
      <c r="CE13">
        <f t="shared" si="17"/>
        <v>0</v>
      </c>
      <c r="CF13">
        <f t="shared" si="17"/>
        <v>0</v>
      </c>
      <c r="CG13">
        <f t="shared" si="17"/>
        <v>3.4694469519536142E-18</v>
      </c>
      <c r="CH13">
        <f t="shared" si="17"/>
        <v>0</v>
      </c>
      <c r="CI13">
        <f t="shared" si="17"/>
        <v>0</v>
      </c>
    </row>
    <row r="14" spans="2:87" x14ac:dyDescent="0.25">
      <c r="B14" s="130" t="s">
        <v>310</v>
      </c>
      <c r="C14" s="144">
        <f>AVERAGE(G81:G86)</f>
        <v>4600.5274666666664</v>
      </c>
      <c r="D14">
        <f>AVERAGE(H81:H86)</f>
        <v>1843.3847666666668</v>
      </c>
      <c r="E14">
        <f>AVERAGE(I81:I86)</f>
        <v>50793.59846666667</v>
      </c>
      <c r="F14" s="128">
        <f t="shared" si="2"/>
        <v>466.40476666666677</v>
      </c>
      <c r="G14" s="128">
        <f t="shared" si="3"/>
        <v>547.72491571966668</v>
      </c>
      <c r="H14" s="128">
        <f t="shared" si="4"/>
        <v>2814.103044352481</v>
      </c>
      <c r="I14">
        <v>0.29713000000000001</v>
      </c>
      <c r="J14" s="130">
        <f t="shared" ref="J14:AT14" si="18">AVERAGE(J81:J86)</f>
        <v>0.18802166666666664</v>
      </c>
      <c r="K14" s="130">
        <f t="shared" si="18"/>
        <v>0.29528083333333333</v>
      </c>
      <c r="L14" s="130">
        <f t="shared" si="18"/>
        <v>2.8515666666666668</v>
      </c>
      <c r="M14" s="130">
        <f t="shared" si="18"/>
        <v>0.94750500000000004</v>
      </c>
      <c r="N14" s="188">
        <f t="shared" si="18"/>
        <v>7.2133866666666677E-5</v>
      </c>
      <c r="O14" s="188">
        <f t="shared" si="18"/>
        <v>1.1386433333333335E-5</v>
      </c>
      <c r="P14" s="130">
        <f t="shared" si="18"/>
        <v>3.2299833333333333E-2</v>
      </c>
      <c r="Q14" s="130">
        <f t="shared" si="18"/>
        <v>6.6296666666666662</v>
      </c>
      <c r="R14" s="130">
        <f t="shared" si="18"/>
        <v>1.4098566666666666E-2</v>
      </c>
      <c r="S14" s="130">
        <f t="shared" si="18"/>
        <v>409.14370000000002</v>
      </c>
      <c r="T14" s="130">
        <f t="shared" si="18"/>
        <v>8.4110999999999995E-3</v>
      </c>
      <c r="U14" s="130">
        <f t="shared" si="18"/>
        <v>0.74026000000000003</v>
      </c>
      <c r="V14" s="130">
        <f t="shared" si="18"/>
        <v>0.9807800000000001</v>
      </c>
      <c r="W14" s="130">
        <f t="shared" si="18"/>
        <v>1.8309999999999997</v>
      </c>
      <c r="X14" s="130">
        <f t="shared" si="18"/>
        <v>8.7106000000000006E-3</v>
      </c>
      <c r="Y14" s="130">
        <f t="shared" si="18"/>
        <v>1.1105000000000002E-2</v>
      </c>
      <c r="Z14" s="130">
        <f t="shared" si="18"/>
        <v>7.3550000000000004E-4</v>
      </c>
      <c r="AA14" s="130">
        <f t="shared" si="18"/>
        <v>1.9855999999999999E-2</v>
      </c>
      <c r="AB14" s="130">
        <f t="shared" si="18"/>
        <v>0.82047999999999999</v>
      </c>
      <c r="AC14" s="130">
        <f t="shared" si="18"/>
        <v>1.244E-2</v>
      </c>
      <c r="AD14" s="130">
        <f t="shared" si="18"/>
        <v>2.2545E-4</v>
      </c>
      <c r="AE14" s="130">
        <f t="shared" si="18"/>
        <v>3.4245999999999999E-3</v>
      </c>
      <c r="AF14" s="130">
        <f t="shared" si="18"/>
        <v>3.4816000000000007E-2</v>
      </c>
      <c r="AG14" s="130">
        <f t="shared" si="18"/>
        <v>33.3673</v>
      </c>
      <c r="AH14" s="130">
        <f t="shared" si="18"/>
        <v>33.3673</v>
      </c>
      <c r="AI14" s="130">
        <f t="shared" si="18"/>
        <v>41.577199999999998</v>
      </c>
      <c r="AJ14" s="130">
        <f t="shared" si="18"/>
        <v>1.1007000000000001E-2</v>
      </c>
      <c r="AK14" s="130">
        <f t="shared" si="18"/>
        <v>441.68080000000003</v>
      </c>
      <c r="AL14" s="130">
        <f t="shared" si="18"/>
        <v>8.8555999999999982E-2</v>
      </c>
      <c r="AM14" s="130">
        <f t="shared" si="18"/>
        <v>14.183199999999999</v>
      </c>
      <c r="AN14" s="130">
        <f t="shared" si="18"/>
        <v>0</v>
      </c>
      <c r="AO14" s="130">
        <f t="shared" si="18"/>
        <v>7.407866666666667</v>
      </c>
      <c r="AP14" s="130">
        <f t="shared" si="18"/>
        <v>0.40286</v>
      </c>
      <c r="AQ14" s="130">
        <f t="shared" si="18"/>
        <v>0.62368999999999997</v>
      </c>
      <c r="AR14" s="130">
        <f t="shared" si="18"/>
        <v>2.0830000000000001E-2</v>
      </c>
      <c r="AS14" s="130">
        <f t="shared" si="18"/>
        <v>-1.8332999999999997</v>
      </c>
      <c r="AT14" s="143">
        <f t="shared" si="18"/>
        <v>-203.27070000000001</v>
      </c>
      <c r="AV14">
        <f>_xlfn.STDEV.S(H81:H86)</f>
        <v>9.0951450050379048</v>
      </c>
      <c r="AW14">
        <f>_xlfn.STDEV.S(I81:I86)</f>
        <v>3415.3462802147787</v>
      </c>
      <c r="AY14">
        <f t="shared" ref="AY14:CI14" si="19">_xlfn.STDEV.P(J81:J86)</f>
        <v>9.6899817967951978E-3</v>
      </c>
      <c r="AZ14">
        <f t="shared" si="19"/>
        <v>0.27213478472160124</v>
      </c>
      <c r="BA14">
        <f t="shared" si="19"/>
        <v>0.19480025382141797</v>
      </c>
      <c r="BB14">
        <f t="shared" si="19"/>
        <v>4.9226447413966423E-2</v>
      </c>
      <c r="BC14">
        <f t="shared" si="19"/>
        <v>8.4539161068833779E-5</v>
      </c>
      <c r="BD14">
        <f t="shared" si="19"/>
        <v>1.6563650475430295E-5</v>
      </c>
      <c r="BE14">
        <f t="shared" si="19"/>
        <v>4.4365798826035155E-2</v>
      </c>
      <c r="BF14">
        <f t="shared" si="19"/>
        <v>2.0333245532597291</v>
      </c>
      <c r="BG14">
        <f t="shared" si="19"/>
        <v>4.1311098112035453E-3</v>
      </c>
      <c r="BH14">
        <f t="shared" si="19"/>
        <v>0</v>
      </c>
      <c r="BI14">
        <f t="shared" si="19"/>
        <v>0</v>
      </c>
      <c r="BJ14">
        <f t="shared" si="19"/>
        <v>0</v>
      </c>
      <c r="BK14">
        <f t="shared" si="19"/>
        <v>1.1102230246251565E-16</v>
      </c>
      <c r="BL14">
        <f t="shared" si="19"/>
        <v>2.2204460492503131E-16</v>
      </c>
      <c r="BM14">
        <f t="shared" si="19"/>
        <v>0</v>
      </c>
      <c r="BN14">
        <f t="shared" si="19"/>
        <v>1.7347234759768071E-18</v>
      </c>
      <c r="BO14">
        <f t="shared" si="19"/>
        <v>0</v>
      </c>
      <c r="BP14">
        <f t="shared" si="19"/>
        <v>0</v>
      </c>
      <c r="BQ14">
        <f t="shared" si="19"/>
        <v>0</v>
      </c>
      <c r="BR14">
        <f t="shared" si="19"/>
        <v>0</v>
      </c>
      <c r="BS14">
        <f t="shared" si="19"/>
        <v>0</v>
      </c>
      <c r="BT14">
        <f t="shared" si="19"/>
        <v>0</v>
      </c>
      <c r="BU14">
        <f t="shared" si="19"/>
        <v>6.9388939039072284E-18</v>
      </c>
      <c r="BV14">
        <f t="shared" si="19"/>
        <v>0</v>
      </c>
      <c r="BW14">
        <f t="shared" si="19"/>
        <v>0</v>
      </c>
      <c r="BX14">
        <f t="shared" si="19"/>
        <v>0</v>
      </c>
      <c r="BY14">
        <f t="shared" si="19"/>
        <v>1.7347234759768071E-18</v>
      </c>
      <c r="BZ14">
        <f t="shared" si="19"/>
        <v>5.6843418860808015E-14</v>
      </c>
      <c r="CA14">
        <f t="shared" si="19"/>
        <v>1.3877787807814457E-17</v>
      </c>
      <c r="CB14">
        <f t="shared" si="19"/>
        <v>0.98079432094603802</v>
      </c>
      <c r="CC14">
        <f t="shared" si="19"/>
        <v>0</v>
      </c>
      <c r="CD14">
        <f t="shared" si="19"/>
        <v>0.60216999999077403</v>
      </c>
      <c r="CE14">
        <f t="shared" si="19"/>
        <v>0</v>
      </c>
      <c r="CF14">
        <f t="shared" si="19"/>
        <v>0</v>
      </c>
      <c r="CG14">
        <f t="shared" si="19"/>
        <v>0</v>
      </c>
      <c r="CH14">
        <f t="shared" si="19"/>
        <v>2.2204460492503131E-16</v>
      </c>
      <c r="CI14">
        <f t="shared" si="19"/>
        <v>0</v>
      </c>
    </row>
    <row r="15" spans="2:87" x14ac:dyDescent="0.25">
      <c r="B15" s="130" t="s">
        <v>311</v>
      </c>
      <c r="C15" s="131">
        <f>AVERAGE(G87:G98)</f>
        <v>3355.8813916666663</v>
      </c>
      <c r="D15">
        <f>AVERAGE(H87:H98)</f>
        <v>2076.3356250000002</v>
      </c>
      <c r="E15">
        <f>AVERAGE(I87:I98)</f>
        <v>35738.66930833333</v>
      </c>
      <c r="F15" s="128">
        <f t="shared" si="2"/>
        <v>699.35562500000015</v>
      </c>
      <c r="G15" s="128">
        <f t="shared" si="3"/>
        <v>137.1627313875</v>
      </c>
      <c r="H15" s="128">
        <f t="shared" si="4"/>
        <v>1980.0191586679578</v>
      </c>
      <c r="I15">
        <v>6.6059999999999994E-2</v>
      </c>
      <c r="J15" s="130">
        <f t="shared" ref="J15:AT15" si="20">AVERAGE(J87:J98)</f>
        <v>0.31670166666666666</v>
      </c>
      <c r="K15" s="130">
        <f t="shared" si="20"/>
        <v>0.19059608333333333</v>
      </c>
      <c r="L15" s="130">
        <f t="shared" si="20"/>
        <v>1.7154499999999999</v>
      </c>
      <c r="M15" s="130">
        <f t="shared" si="20"/>
        <v>0.63347999999999993</v>
      </c>
      <c r="N15" s="130">
        <f t="shared" si="20"/>
        <v>1.0913483333333333E-5</v>
      </c>
      <c r="O15" s="130">
        <f t="shared" si="20"/>
        <v>0</v>
      </c>
      <c r="P15" s="130">
        <f t="shared" si="20"/>
        <v>0</v>
      </c>
      <c r="Q15" s="130">
        <f t="shared" si="20"/>
        <v>15.996733333333333</v>
      </c>
      <c r="R15" s="130">
        <f t="shared" si="20"/>
        <v>0.14967849999999999</v>
      </c>
      <c r="S15" s="130">
        <f t="shared" si="20"/>
        <v>90.963700000000003</v>
      </c>
      <c r="T15" s="130">
        <f t="shared" si="20"/>
        <v>8.4111000000000012E-3</v>
      </c>
      <c r="U15" s="130">
        <f t="shared" si="20"/>
        <v>0.16457999999999998</v>
      </c>
      <c r="V15" s="130">
        <f t="shared" si="20"/>
        <v>0.21804999999999999</v>
      </c>
      <c r="W15" s="130">
        <f t="shared" si="20"/>
        <v>1.8309999999999997</v>
      </c>
      <c r="X15" s="130">
        <f t="shared" si="20"/>
        <v>8.7106000000000006E-3</v>
      </c>
      <c r="Y15" s="130">
        <f t="shared" si="20"/>
        <v>1.1105000000000002E-2</v>
      </c>
      <c r="Z15" s="130">
        <f t="shared" si="20"/>
        <v>7.3550000000000004E-4</v>
      </c>
      <c r="AA15" s="130">
        <f t="shared" si="20"/>
        <v>1.9855999999999995E-2</v>
      </c>
      <c r="AB15" s="130">
        <f t="shared" si="20"/>
        <v>0.82047999999999999</v>
      </c>
      <c r="AC15" s="130">
        <f t="shared" si="20"/>
        <v>1.2440000000000001E-2</v>
      </c>
      <c r="AD15" s="130">
        <f t="shared" si="20"/>
        <v>2.2544999999999998E-4</v>
      </c>
      <c r="AE15" s="130">
        <f t="shared" si="20"/>
        <v>3.4245999999999999E-3</v>
      </c>
      <c r="AF15" s="130">
        <f t="shared" si="20"/>
        <v>3.4816000000000007E-2</v>
      </c>
      <c r="AG15" s="130">
        <f t="shared" si="20"/>
        <v>7.418499999999999</v>
      </c>
      <c r="AH15" s="130">
        <f t="shared" si="20"/>
        <v>7.418499999999999</v>
      </c>
      <c r="AI15" s="130">
        <f t="shared" si="20"/>
        <v>9.2437000000000022</v>
      </c>
      <c r="AJ15" s="130">
        <f t="shared" si="20"/>
        <v>1.1007000000000001E-2</v>
      </c>
      <c r="AK15" s="130">
        <f t="shared" si="20"/>
        <v>441.68080000000003</v>
      </c>
      <c r="AL15" s="130">
        <f t="shared" si="20"/>
        <v>8.8555999999999982E-2</v>
      </c>
      <c r="AM15" s="130">
        <f t="shared" si="20"/>
        <v>4.6396333333333333</v>
      </c>
      <c r="AN15" s="130">
        <f t="shared" si="20"/>
        <v>0</v>
      </c>
      <c r="AO15" s="130">
        <f t="shared" si="20"/>
        <v>0.90883416666666672</v>
      </c>
      <c r="AP15" s="130">
        <f t="shared" si="20"/>
        <v>0.40286</v>
      </c>
      <c r="AQ15" s="130">
        <f t="shared" si="20"/>
        <v>0.62368999999999997</v>
      </c>
      <c r="AR15" s="130">
        <f t="shared" si="20"/>
        <v>2.0830000000000005E-2</v>
      </c>
      <c r="AS15" s="130">
        <f t="shared" si="20"/>
        <v>-1.8333000000000002</v>
      </c>
      <c r="AT15" s="143">
        <f t="shared" si="20"/>
        <v>-203.27070000000001</v>
      </c>
      <c r="AV15">
        <f>_xlfn.STDEV.S(H87:H98)</f>
        <v>129.51790065807413</v>
      </c>
      <c r="AW15">
        <f>_xlfn.STDEV.S(I87:I98)</f>
        <v>4914.1808162810376</v>
      </c>
      <c r="AY15">
        <f t="shared" ref="AY15:CI15" si="21">_xlfn.STDEV.P(J87:J98)</f>
        <v>3.8587292993361944E-2</v>
      </c>
      <c r="AZ15">
        <f t="shared" si="21"/>
        <v>0.1282246729153288</v>
      </c>
      <c r="BA15">
        <f t="shared" si="21"/>
        <v>0.35864665410400759</v>
      </c>
      <c r="BB15">
        <f t="shared" si="21"/>
        <v>0.10416894386844258</v>
      </c>
      <c r="BC15">
        <f t="shared" si="21"/>
        <v>1.3025574367043815E-5</v>
      </c>
      <c r="BD15">
        <f t="shared" si="21"/>
        <v>0</v>
      </c>
      <c r="BE15">
        <f t="shared" si="21"/>
        <v>0</v>
      </c>
      <c r="BF15">
        <f t="shared" si="21"/>
        <v>7.8351681679818217</v>
      </c>
      <c r="BG15">
        <f t="shared" si="21"/>
        <v>6.0956441395338519E-2</v>
      </c>
      <c r="BH15">
        <f t="shared" si="21"/>
        <v>0</v>
      </c>
      <c r="BI15">
        <f t="shared" si="21"/>
        <v>1.7347234759768071E-18</v>
      </c>
      <c r="BJ15">
        <f t="shared" si="21"/>
        <v>2.7755575615628914E-17</v>
      </c>
      <c r="BK15">
        <f t="shared" si="21"/>
        <v>0</v>
      </c>
      <c r="BL15">
        <f t="shared" si="21"/>
        <v>2.2204460492503131E-16</v>
      </c>
      <c r="BM15">
        <f t="shared" si="21"/>
        <v>0</v>
      </c>
      <c r="BN15">
        <f t="shared" si="21"/>
        <v>1.7347234759768071E-18</v>
      </c>
      <c r="BO15">
        <f t="shared" si="21"/>
        <v>0</v>
      </c>
      <c r="BP15">
        <f t="shared" si="21"/>
        <v>3.4694469519536142E-18</v>
      </c>
      <c r="BQ15">
        <f t="shared" si="21"/>
        <v>0</v>
      </c>
      <c r="BR15">
        <f t="shared" si="21"/>
        <v>1.7347234759768071E-18</v>
      </c>
      <c r="BS15">
        <f t="shared" si="21"/>
        <v>2.7105054312137611E-20</v>
      </c>
      <c r="BT15">
        <f t="shared" si="21"/>
        <v>0</v>
      </c>
      <c r="BU15">
        <f t="shared" si="21"/>
        <v>6.9388939039072284E-18</v>
      </c>
      <c r="BV15">
        <f t="shared" si="21"/>
        <v>8.8817841970012523E-16</v>
      </c>
      <c r="BW15">
        <f t="shared" si="21"/>
        <v>8.8817841970012523E-16</v>
      </c>
      <c r="BX15">
        <f t="shared" si="21"/>
        <v>1.7763568394002505E-15</v>
      </c>
      <c r="BY15">
        <f t="shared" si="21"/>
        <v>1.7347234759768071E-18</v>
      </c>
      <c r="BZ15">
        <f t="shared" si="21"/>
        <v>5.6843418860808015E-14</v>
      </c>
      <c r="CA15">
        <f t="shared" si="21"/>
        <v>1.3877787807814457E-17</v>
      </c>
      <c r="CB15">
        <f t="shared" si="21"/>
        <v>0.48981301420939471</v>
      </c>
      <c r="CC15">
        <f t="shared" si="21"/>
        <v>0</v>
      </c>
      <c r="CD15">
        <f t="shared" si="21"/>
        <v>0.22758143972573608</v>
      </c>
      <c r="CE15">
        <f t="shared" si="21"/>
        <v>0</v>
      </c>
      <c r="CF15">
        <f t="shared" si="21"/>
        <v>0</v>
      </c>
      <c r="CG15">
        <f t="shared" si="21"/>
        <v>3.4694469519536142E-18</v>
      </c>
      <c r="CH15">
        <f t="shared" si="21"/>
        <v>2.2204460492503131E-16</v>
      </c>
      <c r="CI15">
        <f t="shared" si="21"/>
        <v>0</v>
      </c>
    </row>
    <row r="16" spans="2:87" x14ac:dyDescent="0.25">
      <c r="B16" s="130" t="s">
        <v>312</v>
      </c>
      <c r="C16" s="107">
        <f>G99</f>
        <v>3132.5043000000001</v>
      </c>
      <c r="D16">
        <f>H99</f>
        <v>2070.9222</v>
      </c>
      <c r="E16">
        <f>I99</f>
        <v>33492.505499999999</v>
      </c>
      <c r="F16" s="128">
        <f t="shared" si="2"/>
        <v>693.94219999999996</v>
      </c>
      <c r="G16" s="128">
        <f t="shared" si="3"/>
        <v>38.229223812000001</v>
      </c>
      <c r="H16" s="128">
        <f t="shared" si="4"/>
        <v>1855.5755948733329</v>
      </c>
      <c r="I16">
        <v>1.8460000000000001E-2</v>
      </c>
      <c r="J16" s="130">
        <f t="shared" ref="J16:AT16" si="22">J99</f>
        <v>0.38815</v>
      </c>
      <c r="K16" s="130">
        <f t="shared" si="22"/>
        <v>2.0302000000000001E-2</v>
      </c>
      <c r="L16" s="130">
        <f t="shared" si="22"/>
        <v>1.5245</v>
      </c>
      <c r="M16" s="130">
        <f t="shared" si="22"/>
        <v>0.57094999999999996</v>
      </c>
      <c r="N16" s="130">
        <f t="shared" si="22"/>
        <v>0</v>
      </c>
      <c r="O16" s="130">
        <f t="shared" si="22"/>
        <v>0</v>
      </c>
      <c r="P16" s="130">
        <f t="shared" si="22"/>
        <v>0</v>
      </c>
      <c r="Q16" s="130">
        <f t="shared" si="22"/>
        <v>4.3432000000000004</v>
      </c>
      <c r="R16" s="130">
        <f t="shared" si="22"/>
        <v>0.15478</v>
      </c>
      <c r="S16" s="130">
        <f t="shared" si="22"/>
        <v>25.4191</v>
      </c>
      <c r="T16" s="130">
        <f t="shared" si="22"/>
        <v>8.4110999999999995E-3</v>
      </c>
      <c r="U16" s="130">
        <f t="shared" si="22"/>
        <v>4.5990999999999997E-2</v>
      </c>
      <c r="V16" s="130">
        <f t="shared" si="22"/>
        <v>6.0934000000000002E-2</v>
      </c>
      <c r="W16" s="130">
        <f t="shared" si="22"/>
        <v>1.831</v>
      </c>
      <c r="X16" s="130">
        <f t="shared" si="22"/>
        <v>8.7106000000000006E-3</v>
      </c>
      <c r="Y16" s="130">
        <f t="shared" si="22"/>
        <v>1.1105E-2</v>
      </c>
      <c r="Z16" s="130">
        <f t="shared" si="22"/>
        <v>7.3550000000000004E-4</v>
      </c>
      <c r="AA16" s="130">
        <f t="shared" si="22"/>
        <v>1.9855999999999999E-2</v>
      </c>
      <c r="AB16" s="130">
        <f t="shared" si="22"/>
        <v>0.82047999999999999</v>
      </c>
      <c r="AC16" s="130">
        <f t="shared" si="22"/>
        <v>1.244E-2</v>
      </c>
      <c r="AD16" s="130">
        <f t="shared" si="22"/>
        <v>2.2545E-4</v>
      </c>
      <c r="AE16" s="130">
        <f t="shared" si="22"/>
        <v>3.4245999999999999E-3</v>
      </c>
      <c r="AF16" s="130">
        <f t="shared" si="22"/>
        <v>3.4816E-2</v>
      </c>
      <c r="AG16" s="130">
        <f t="shared" si="22"/>
        <v>2.073</v>
      </c>
      <c r="AH16" s="130">
        <f t="shared" si="22"/>
        <v>2.073</v>
      </c>
      <c r="AI16" s="130">
        <f t="shared" si="22"/>
        <v>2.5831</v>
      </c>
      <c r="AJ16" s="130">
        <f t="shared" si="22"/>
        <v>1.1006999999999999E-2</v>
      </c>
      <c r="AK16" s="130">
        <f t="shared" si="22"/>
        <v>441.68079999999998</v>
      </c>
      <c r="AL16" s="130">
        <f t="shared" si="22"/>
        <v>8.8555999999999996E-2</v>
      </c>
      <c r="AM16" s="130">
        <f t="shared" si="22"/>
        <v>1.3952</v>
      </c>
      <c r="AN16" s="130">
        <f t="shared" si="22"/>
        <v>0</v>
      </c>
      <c r="AO16" s="130">
        <f t="shared" si="22"/>
        <v>0.21529999999999999</v>
      </c>
      <c r="AP16" s="130">
        <f t="shared" si="22"/>
        <v>0.40286</v>
      </c>
      <c r="AQ16" s="130">
        <f t="shared" si="22"/>
        <v>0.62368999999999997</v>
      </c>
      <c r="AR16" s="130">
        <f t="shared" si="22"/>
        <v>2.0830000000000001E-2</v>
      </c>
      <c r="AS16" s="130">
        <f t="shared" si="22"/>
        <v>-1.8332999999999999</v>
      </c>
      <c r="AT16" s="143">
        <f t="shared" si="22"/>
        <v>-203.27070000000001</v>
      </c>
      <c r="AV16" t="s">
        <v>680</v>
      </c>
      <c r="AW16" t="s">
        <v>681</v>
      </c>
    </row>
    <row r="17" spans="2:87" x14ac:dyDescent="0.25">
      <c r="B17" s="130" t="s">
        <v>313</v>
      </c>
      <c r="C17" s="131">
        <f>AVERAGE(G100:G111)</f>
        <v>3500.6702416666667</v>
      </c>
      <c r="D17">
        <f>AVERAGE(H100:H111)</f>
        <v>1965.2430666666667</v>
      </c>
      <c r="E17">
        <f t="shared" ref="E17" si="23">AVERAGE(I100:I111)</f>
        <v>40291.817600000002</v>
      </c>
      <c r="F17" s="128">
        <f t="shared" si="2"/>
        <v>588.26306666666665</v>
      </c>
      <c r="G17" s="128">
        <f t="shared" si="3"/>
        <v>29.694822737333332</v>
      </c>
      <c r="H17" s="128">
        <f t="shared" si="4"/>
        <v>2232.2759165225134</v>
      </c>
      <c r="I17">
        <v>1.511E-2</v>
      </c>
      <c r="J17" s="130">
        <f t="shared" ref="J17:AT17" si="24">AVERAGE(J100:J111)</f>
        <v>0.2946408333333333</v>
      </c>
      <c r="K17" s="130">
        <f t="shared" si="24"/>
        <v>1.8772606166666667E-2</v>
      </c>
      <c r="L17" s="130">
        <f t="shared" si="24"/>
        <v>2.0474916666666667</v>
      </c>
      <c r="M17" s="130">
        <f t="shared" si="24"/>
        <v>0.74042833333333335</v>
      </c>
      <c r="N17" s="130">
        <f t="shared" si="24"/>
        <v>3.102654166666667E-5</v>
      </c>
      <c r="O17" s="130">
        <f t="shared" si="24"/>
        <v>5.2422750000000001E-7</v>
      </c>
      <c r="P17" s="130">
        <f t="shared" si="24"/>
        <v>7.9128333333333339E-5</v>
      </c>
      <c r="Q17" s="130">
        <f t="shared" si="24"/>
        <v>2.0392541666666664</v>
      </c>
      <c r="R17" s="130">
        <f t="shared" si="24"/>
        <v>9.1395591666666678E-2</v>
      </c>
      <c r="S17" s="130">
        <f t="shared" si="24"/>
        <v>20.806199999999997</v>
      </c>
      <c r="T17" s="130">
        <f t="shared" si="24"/>
        <v>8.4111000000000012E-3</v>
      </c>
      <c r="U17" s="130">
        <f t="shared" si="24"/>
        <v>3.7644999999999991E-2</v>
      </c>
      <c r="V17" s="130">
        <f t="shared" si="24"/>
        <v>4.9875999999999997E-2</v>
      </c>
      <c r="W17" s="130">
        <f t="shared" si="24"/>
        <v>1.8309999999999997</v>
      </c>
      <c r="X17" s="130">
        <f t="shared" si="24"/>
        <v>8.7106000000000006E-3</v>
      </c>
      <c r="Y17" s="130">
        <f t="shared" si="24"/>
        <v>1.1105000000000002E-2</v>
      </c>
      <c r="Z17" s="130">
        <f t="shared" si="24"/>
        <v>7.3550000000000004E-4</v>
      </c>
      <c r="AA17" s="130">
        <f t="shared" si="24"/>
        <v>1.9855999999999995E-2</v>
      </c>
      <c r="AB17" s="130">
        <f t="shared" si="24"/>
        <v>0.82047999999999999</v>
      </c>
      <c r="AC17" s="130">
        <f t="shared" si="24"/>
        <v>1.2440000000000001E-2</v>
      </c>
      <c r="AD17" s="130">
        <f t="shared" si="24"/>
        <v>2.2544999999999998E-4</v>
      </c>
      <c r="AE17" s="130">
        <f t="shared" si="24"/>
        <v>3.4245999999999999E-3</v>
      </c>
      <c r="AF17" s="130">
        <f t="shared" si="24"/>
        <v>3.4816000000000007E-2</v>
      </c>
      <c r="AG17" s="130">
        <f t="shared" si="24"/>
        <v>1.6967999999999999</v>
      </c>
      <c r="AH17" s="130">
        <f t="shared" si="24"/>
        <v>1.6967999999999999</v>
      </c>
      <c r="AI17" s="130">
        <f t="shared" si="24"/>
        <v>2.1143000000000001</v>
      </c>
      <c r="AJ17" s="130">
        <f t="shared" si="24"/>
        <v>1.1007000000000001E-2</v>
      </c>
      <c r="AK17" s="130">
        <f t="shared" si="24"/>
        <v>441.68080000000003</v>
      </c>
      <c r="AL17" s="130">
        <f t="shared" si="24"/>
        <v>8.8555999999999982E-2</v>
      </c>
      <c r="AM17" s="130">
        <f t="shared" si="24"/>
        <v>0.98573750000000004</v>
      </c>
      <c r="AN17" s="130">
        <f t="shared" si="24"/>
        <v>0</v>
      </c>
      <c r="AO17" s="130">
        <f t="shared" si="24"/>
        <v>0.24921583333333333</v>
      </c>
      <c r="AP17" s="130">
        <f t="shared" si="24"/>
        <v>0.40286</v>
      </c>
      <c r="AQ17" s="130">
        <f t="shared" si="24"/>
        <v>0.62368999999999997</v>
      </c>
      <c r="AR17" s="130">
        <f t="shared" si="24"/>
        <v>2.0830000000000005E-2</v>
      </c>
      <c r="AS17" s="130">
        <f t="shared" si="24"/>
        <v>-1.8333000000000002</v>
      </c>
      <c r="AT17" s="143">
        <f t="shared" si="24"/>
        <v>-203.27070000000001</v>
      </c>
      <c r="AV17">
        <f>_xlfn.STDEV.S(H100:H111)</f>
        <v>96.780621484067908</v>
      </c>
      <c r="AW17">
        <f>_xlfn.STDEV.S(I100:I111)</f>
        <v>5679.4939044936809</v>
      </c>
      <c r="AY17">
        <f t="shared" ref="AY17:CI17" si="25">_xlfn.STDEV.P(J100:J111)</f>
        <v>3.2693193088249438E-2</v>
      </c>
      <c r="AZ17">
        <f t="shared" si="25"/>
        <v>2.0269140958733757E-2</v>
      </c>
      <c r="BA17">
        <f t="shared" si="25"/>
        <v>0.39720489351285115</v>
      </c>
      <c r="BB17">
        <f t="shared" si="25"/>
        <v>0.10510967873554315</v>
      </c>
      <c r="BC17">
        <f t="shared" si="25"/>
        <v>3.8001040052355988E-5</v>
      </c>
      <c r="BD17">
        <f t="shared" si="25"/>
        <v>1.1223823488390295E-6</v>
      </c>
      <c r="BE17">
        <f t="shared" si="25"/>
        <v>1.5927611987956293E-4</v>
      </c>
      <c r="BF17">
        <f t="shared" si="25"/>
        <v>1.3272090311907567</v>
      </c>
      <c r="BG17">
        <f t="shared" si="25"/>
        <v>5.1785349254244654E-2</v>
      </c>
      <c r="BH17">
        <f t="shared" si="25"/>
        <v>3.5527136788005009E-15</v>
      </c>
      <c r="BI17">
        <f t="shared" si="25"/>
        <v>1.7347234759768071E-18</v>
      </c>
      <c r="BJ17">
        <f t="shared" si="25"/>
        <v>6.9388939039072284E-18</v>
      </c>
      <c r="BK17">
        <f t="shared" si="25"/>
        <v>0</v>
      </c>
      <c r="BL17">
        <f t="shared" si="25"/>
        <v>2.2204460492503131E-16</v>
      </c>
      <c r="BM17">
        <f t="shared" si="25"/>
        <v>0</v>
      </c>
      <c r="BN17">
        <f t="shared" si="25"/>
        <v>1.7347234759768071E-18</v>
      </c>
      <c r="BO17">
        <f t="shared" si="25"/>
        <v>0</v>
      </c>
      <c r="BP17">
        <f t="shared" si="25"/>
        <v>3.4694469519536142E-18</v>
      </c>
      <c r="BQ17">
        <f t="shared" si="25"/>
        <v>0</v>
      </c>
      <c r="BR17">
        <f t="shared" si="25"/>
        <v>1.7347234759768071E-18</v>
      </c>
      <c r="BS17">
        <f t="shared" si="25"/>
        <v>2.7105054312137611E-20</v>
      </c>
      <c r="BT17">
        <f t="shared" si="25"/>
        <v>0</v>
      </c>
      <c r="BU17">
        <f t="shared" si="25"/>
        <v>6.9388939039072284E-18</v>
      </c>
      <c r="BV17">
        <f t="shared" si="25"/>
        <v>2.2204460492503131E-16</v>
      </c>
      <c r="BW17">
        <f t="shared" si="25"/>
        <v>2.2204460492503131E-16</v>
      </c>
      <c r="BX17">
        <f t="shared" si="25"/>
        <v>0</v>
      </c>
      <c r="BY17">
        <f t="shared" si="25"/>
        <v>1.7347234759768071E-18</v>
      </c>
      <c r="BZ17">
        <f t="shared" si="25"/>
        <v>5.6843418860808015E-14</v>
      </c>
      <c r="CA17">
        <f t="shared" si="25"/>
        <v>1.3877787807814457E-17</v>
      </c>
      <c r="CB17">
        <f t="shared" si="25"/>
        <v>0.11809411777088206</v>
      </c>
      <c r="CC17">
        <f t="shared" si="25"/>
        <v>0</v>
      </c>
      <c r="CD17">
        <f t="shared" si="25"/>
        <v>5.069645573711791E-2</v>
      </c>
      <c r="CE17">
        <f t="shared" si="25"/>
        <v>0</v>
      </c>
      <c r="CF17">
        <f t="shared" si="25"/>
        <v>0</v>
      </c>
      <c r="CG17">
        <f t="shared" si="25"/>
        <v>3.4694469519536142E-18</v>
      </c>
      <c r="CH17">
        <f t="shared" si="25"/>
        <v>2.2204460492503131E-16</v>
      </c>
      <c r="CI17">
        <f t="shared" si="25"/>
        <v>0</v>
      </c>
    </row>
    <row r="18" spans="2:87" x14ac:dyDescent="0.25">
      <c r="B18" s="130" t="s">
        <v>314</v>
      </c>
      <c r="C18" s="144">
        <f>AVERAGE(G112:G116)</f>
        <v>4938.5840399999997</v>
      </c>
      <c r="D18">
        <f>AVERAGE(H112:H116)</f>
        <v>1924.0320799999997</v>
      </c>
      <c r="E18">
        <f t="shared" ref="E18" si="26">AVERAGE(I112:I116)</f>
        <v>41690.58382</v>
      </c>
      <c r="F18" s="128">
        <f t="shared" si="2"/>
        <v>547.05207999999971</v>
      </c>
      <c r="G18" s="128">
        <f t="shared" si="3"/>
        <v>1390.1131777999999</v>
      </c>
      <c r="H18" s="128">
        <f t="shared" si="4"/>
        <v>2309.7713568312483</v>
      </c>
      <c r="I18">
        <v>0.72250000000000003</v>
      </c>
      <c r="J18" s="130">
        <f t="shared" ref="J18:AT18" si="27">AVERAGE(J112:J116)</f>
        <v>0.24559599999999998</v>
      </c>
      <c r="K18" s="130">
        <f t="shared" si="27"/>
        <v>1.5231379999999999</v>
      </c>
      <c r="L18" s="130">
        <f t="shared" si="27"/>
        <v>2.1861200000000003</v>
      </c>
      <c r="M18" s="130">
        <f t="shared" si="27"/>
        <v>0.78439600000000009</v>
      </c>
      <c r="N18" s="130">
        <f t="shared" si="27"/>
        <v>3.8378400000000002E-4</v>
      </c>
      <c r="O18" s="188">
        <f t="shared" si="27"/>
        <v>3.4301599999999997E-5</v>
      </c>
      <c r="P18" s="130">
        <f t="shared" si="27"/>
        <v>0.25431599999999999</v>
      </c>
      <c r="Q18" s="130">
        <f t="shared" si="27"/>
        <v>68.748999999999995</v>
      </c>
      <c r="R18" s="130">
        <f t="shared" si="27"/>
        <v>6.7644999999999997E-2</v>
      </c>
      <c r="S18" s="130">
        <f t="shared" si="27"/>
        <v>994.87189999999987</v>
      </c>
      <c r="T18" s="130">
        <f t="shared" si="27"/>
        <v>8.4110999999999995E-3</v>
      </c>
      <c r="U18" s="130">
        <f t="shared" si="27"/>
        <v>1.8</v>
      </c>
      <c r="V18" s="130">
        <f t="shared" si="27"/>
        <v>2.3849</v>
      </c>
      <c r="W18" s="130">
        <f t="shared" si="27"/>
        <v>1.831</v>
      </c>
      <c r="X18" s="130">
        <f t="shared" si="27"/>
        <v>8.7106000000000006E-3</v>
      </c>
      <c r="Y18" s="130">
        <f t="shared" si="27"/>
        <v>1.1105E-2</v>
      </c>
      <c r="Z18" s="130">
        <f t="shared" si="27"/>
        <v>7.3550000000000004E-4</v>
      </c>
      <c r="AA18" s="130">
        <f t="shared" si="27"/>
        <v>1.9855999999999999E-2</v>
      </c>
      <c r="AB18" s="130">
        <f t="shared" si="27"/>
        <v>0.8204800000000001</v>
      </c>
      <c r="AC18" s="130">
        <f t="shared" si="27"/>
        <v>1.244E-2</v>
      </c>
      <c r="AD18" s="130">
        <f t="shared" si="27"/>
        <v>2.2545E-4</v>
      </c>
      <c r="AE18" s="130">
        <f t="shared" si="27"/>
        <v>3.4245999999999999E-3</v>
      </c>
      <c r="AF18" s="130">
        <f t="shared" si="27"/>
        <v>3.4816E-2</v>
      </c>
      <c r="AG18" s="130">
        <f t="shared" si="27"/>
        <v>81.135900000000007</v>
      </c>
      <c r="AH18" s="130">
        <f t="shared" si="27"/>
        <v>81.135900000000007</v>
      </c>
      <c r="AI18" s="130">
        <f t="shared" si="27"/>
        <v>101.0989</v>
      </c>
      <c r="AJ18" s="130">
        <f t="shared" si="27"/>
        <v>1.1006999999999999E-2</v>
      </c>
      <c r="AK18" s="130">
        <f t="shared" si="27"/>
        <v>441.68079999999998</v>
      </c>
      <c r="AL18" s="130">
        <f t="shared" si="27"/>
        <v>8.8555999999999996E-2</v>
      </c>
      <c r="AM18" s="130">
        <f t="shared" si="27"/>
        <v>43.879159999999999</v>
      </c>
      <c r="AN18" s="130">
        <f t="shared" si="27"/>
        <v>0</v>
      </c>
      <c r="AO18" s="130">
        <f t="shared" si="27"/>
        <v>13.28012</v>
      </c>
      <c r="AP18" s="130">
        <f t="shared" si="27"/>
        <v>0.40286</v>
      </c>
      <c r="AQ18" s="130">
        <f t="shared" si="27"/>
        <v>0.62368999999999997</v>
      </c>
      <c r="AR18" s="130">
        <f t="shared" si="27"/>
        <v>2.0830000000000001E-2</v>
      </c>
      <c r="AS18" s="130">
        <f t="shared" si="27"/>
        <v>-1.8332999999999999</v>
      </c>
      <c r="AT18" s="143">
        <f t="shared" si="27"/>
        <v>-203.27070000000001</v>
      </c>
      <c r="AV18">
        <f>_xlfn.STDEV.S(H112:H116)</f>
        <v>27.747526295815984</v>
      </c>
      <c r="AW18">
        <f>_xlfn.STDEV.S(I112:I116)</f>
        <v>1550.4115298710524</v>
      </c>
      <c r="AY18">
        <f t="shared" ref="AY18:CI18" si="28">_xlfn.STDEV.P(J112:J116)</f>
        <v>1.7822442705757259E-2</v>
      </c>
      <c r="AZ18">
        <f t="shared" si="28"/>
        <v>0.90873310458902035</v>
      </c>
      <c r="BA18">
        <f t="shared" si="28"/>
        <v>0.11247562224766744</v>
      </c>
      <c r="BB18">
        <f t="shared" si="28"/>
        <v>2.5298726133938063E-2</v>
      </c>
      <c r="BC18">
        <f t="shared" si="28"/>
        <v>1.6255021779130289E-4</v>
      </c>
      <c r="BD18">
        <f t="shared" si="28"/>
        <v>1.6538127059615911E-5</v>
      </c>
      <c r="BE18">
        <f t="shared" si="28"/>
        <v>6.9764065420530083E-2</v>
      </c>
      <c r="BF18">
        <f t="shared" si="28"/>
        <v>16.990859195814679</v>
      </c>
      <c r="BG18">
        <f t="shared" si="28"/>
        <v>1.6758462339964236E-2</v>
      </c>
      <c r="BH18">
        <f t="shared" si="28"/>
        <v>1.1368683772161603E-13</v>
      </c>
      <c r="BI18">
        <f t="shared" si="28"/>
        <v>0</v>
      </c>
      <c r="BJ18">
        <f t="shared" si="28"/>
        <v>0</v>
      </c>
      <c r="BK18">
        <f t="shared" si="28"/>
        <v>0</v>
      </c>
      <c r="BL18">
        <f t="shared" si="28"/>
        <v>0</v>
      </c>
      <c r="BM18">
        <f t="shared" si="28"/>
        <v>0</v>
      </c>
      <c r="BN18">
        <f t="shared" si="28"/>
        <v>0</v>
      </c>
      <c r="BO18">
        <f t="shared" si="28"/>
        <v>0</v>
      </c>
      <c r="BP18">
        <f t="shared" si="28"/>
        <v>0</v>
      </c>
      <c r="BQ18">
        <f t="shared" si="28"/>
        <v>1.1102230246251565E-16</v>
      </c>
      <c r="BR18">
        <f t="shared" si="28"/>
        <v>0</v>
      </c>
      <c r="BS18">
        <f t="shared" si="28"/>
        <v>0</v>
      </c>
      <c r="BT18">
        <f t="shared" si="28"/>
        <v>0</v>
      </c>
      <c r="BU18">
        <f t="shared" si="28"/>
        <v>0</v>
      </c>
      <c r="BV18">
        <f t="shared" si="28"/>
        <v>0</v>
      </c>
      <c r="BW18">
        <f t="shared" si="28"/>
        <v>0</v>
      </c>
      <c r="BX18">
        <f t="shared" si="28"/>
        <v>0</v>
      </c>
      <c r="BY18">
        <f t="shared" si="28"/>
        <v>0</v>
      </c>
      <c r="BZ18">
        <f t="shared" si="28"/>
        <v>0</v>
      </c>
      <c r="CA18">
        <f t="shared" si="28"/>
        <v>0</v>
      </c>
      <c r="CB18">
        <f t="shared" si="28"/>
        <v>1.8612302163891488</v>
      </c>
      <c r="CC18">
        <f t="shared" si="28"/>
        <v>0</v>
      </c>
      <c r="CD18">
        <f t="shared" si="28"/>
        <v>0.75453167037573721</v>
      </c>
      <c r="CE18">
        <f t="shared" si="28"/>
        <v>0</v>
      </c>
      <c r="CF18">
        <f t="shared" si="28"/>
        <v>0</v>
      </c>
      <c r="CG18">
        <f t="shared" si="28"/>
        <v>0</v>
      </c>
      <c r="CH18">
        <f t="shared" si="28"/>
        <v>0</v>
      </c>
      <c r="CI18">
        <f t="shared" si="28"/>
        <v>0</v>
      </c>
    </row>
    <row r="19" spans="2:87" ht="15.75" thickBot="1" x14ac:dyDescent="0.3">
      <c r="B19" s="132" t="s">
        <v>315</v>
      </c>
      <c r="C19" s="145">
        <f>AVERAGE(G116:G118)</f>
        <v>4397.2955666666667</v>
      </c>
      <c r="D19" s="27">
        <f>AVERAGE(H116:H118)</f>
        <v>1846.9015333333334</v>
      </c>
      <c r="E19" s="27">
        <f>AVERAGE(I116:I118)</f>
        <v>45594.677533333328</v>
      </c>
      <c r="F19" s="146">
        <f t="shared" si="2"/>
        <v>469.9215333333334</v>
      </c>
      <c r="G19" s="146">
        <f t="shared" si="3"/>
        <v>271.9562507833333</v>
      </c>
      <c r="H19" s="146">
        <f t="shared" si="4"/>
        <v>2526.068731614384</v>
      </c>
      <c r="I19" s="27">
        <v>0.14724999999999999</v>
      </c>
      <c r="J19" s="132">
        <f t="shared" ref="J19:AT19" si="29">AVERAGE(J117:J119)</f>
        <v>0.19333999999999998</v>
      </c>
      <c r="K19" s="132">
        <f t="shared" si="29"/>
        <v>0.10676799999999999</v>
      </c>
      <c r="L19" s="132">
        <f t="shared" si="29"/>
        <v>2.5803333333333334</v>
      </c>
      <c r="M19" s="132">
        <f t="shared" si="29"/>
        <v>0.93748999999999993</v>
      </c>
      <c r="N19" s="132">
        <f t="shared" si="29"/>
        <v>2.1602666666666664E-4</v>
      </c>
      <c r="O19" s="189">
        <f t="shared" si="29"/>
        <v>1.3743333333333334E-5</v>
      </c>
      <c r="P19" s="132">
        <f t="shared" si="29"/>
        <v>1.2393333333333333E-2</v>
      </c>
      <c r="Q19" s="132">
        <f t="shared" si="29"/>
        <v>1.0182233333333333</v>
      </c>
      <c r="R19" s="132">
        <f t="shared" si="29"/>
        <v>4.7634666666666664E-3</v>
      </c>
      <c r="S19" s="132">
        <f t="shared" si="29"/>
        <v>202.76110000000003</v>
      </c>
      <c r="T19" s="132">
        <f t="shared" si="29"/>
        <v>8.4110999999999995E-3</v>
      </c>
      <c r="U19" s="132">
        <f t="shared" si="29"/>
        <v>0.36685000000000006</v>
      </c>
      <c r="V19" s="132">
        <f t="shared" si="29"/>
        <v>0.48604999999999993</v>
      </c>
      <c r="W19" s="132">
        <f t="shared" si="29"/>
        <v>1.8310000000000002</v>
      </c>
      <c r="X19" s="132">
        <f t="shared" si="29"/>
        <v>8.7106000000000006E-3</v>
      </c>
      <c r="Y19" s="132">
        <f t="shared" si="29"/>
        <v>1.1104999999999999E-2</v>
      </c>
      <c r="Z19" s="132">
        <f t="shared" si="29"/>
        <v>7.3550000000000004E-4</v>
      </c>
      <c r="AA19" s="132">
        <f t="shared" si="29"/>
        <v>1.9855999999999999E-2</v>
      </c>
      <c r="AB19" s="132">
        <f t="shared" si="29"/>
        <v>0.82047999999999999</v>
      </c>
      <c r="AC19" s="132">
        <f t="shared" si="29"/>
        <v>1.244E-2</v>
      </c>
      <c r="AD19" s="132">
        <f t="shared" si="29"/>
        <v>2.2545E-4</v>
      </c>
      <c r="AE19" s="132">
        <f t="shared" si="29"/>
        <v>3.4245999999999999E-3</v>
      </c>
      <c r="AF19" s="132">
        <f t="shared" si="29"/>
        <v>3.4816E-2</v>
      </c>
      <c r="AG19" s="132">
        <f t="shared" si="29"/>
        <v>16.536000000000001</v>
      </c>
      <c r="AH19" s="132">
        <f t="shared" si="29"/>
        <v>16.536000000000001</v>
      </c>
      <c r="AI19" s="132">
        <f t="shared" si="29"/>
        <v>20.604600000000001</v>
      </c>
      <c r="AJ19" s="132">
        <f t="shared" si="29"/>
        <v>1.1006999999999998E-2</v>
      </c>
      <c r="AK19" s="132">
        <f t="shared" si="29"/>
        <v>441.68079999999992</v>
      </c>
      <c r="AL19" s="132">
        <f t="shared" si="29"/>
        <v>8.855600000000001E-2</v>
      </c>
      <c r="AM19" s="132">
        <f t="shared" si="29"/>
        <v>8.083966666666667</v>
      </c>
      <c r="AN19" s="132">
        <f t="shared" si="29"/>
        <v>0</v>
      </c>
      <c r="AO19" s="132">
        <f t="shared" si="29"/>
        <v>3.1915999999999998</v>
      </c>
      <c r="AP19" s="132">
        <f t="shared" si="29"/>
        <v>0.40286</v>
      </c>
      <c r="AQ19" s="132">
        <f t="shared" si="29"/>
        <v>0.62368999999999997</v>
      </c>
      <c r="AR19" s="132">
        <f t="shared" si="29"/>
        <v>2.0830000000000001E-2</v>
      </c>
      <c r="AS19" s="132">
        <f t="shared" si="29"/>
        <v>-1.8333000000000002</v>
      </c>
      <c r="AT19" s="147">
        <f t="shared" si="29"/>
        <v>-203.27070000000001</v>
      </c>
      <c r="AV19">
        <f>_xlfn.STDEV.S(H116:H118)</f>
        <v>29.09521847663866</v>
      </c>
      <c r="AW19">
        <f>_xlfn.STDEV.S(I116:I118)</f>
        <v>2036.9346506515233</v>
      </c>
      <c r="AY19">
        <f t="shared" ref="AY19:CI19" si="30">_xlfn.STDEV.P(J117:J119)</f>
        <v>4.5544703314436032E-3</v>
      </c>
      <c r="AZ19">
        <f t="shared" si="30"/>
        <v>4.1446187215070429E-2</v>
      </c>
      <c r="BA19">
        <f t="shared" si="30"/>
        <v>0.1259505811375593</v>
      </c>
      <c r="BB19">
        <f t="shared" si="30"/>
        <v>7.2319891224106939E-3</v>
      </c>
      <c r="BC19">
        <f t="shared" si="30"/>
        <v>3.5224255216477678E-5</v>
      </c>
      <c r="BD19">
        <f t="shared" si="30"/>
        <v>1.1101463487106353E-5</v>
      </c>
      <c r="BE19">
        <f t="shared" si="30"/>
        <v>9.0348546320470607E-3</v>
      </c>
      <c r="BF19">
        <f t="shared" si="30"/>
        <v>0.65597135132226281</v>
      </c>
      <c r="BG19">
        <f t="shared" si="30"/>
        <v>2.8576731377507516E-3</v>
      </c>
      <c r="BH19">
        <f t="shared" si="30"/>
        <v>2.8421709430404007E-14</v>
      </c>
      <c r="BI19">
        <f t="shared" si="30"/>
        <v>0</v>
      </c>
      <c r="BJ19">
        <f t="shared" si="30"/>
        <v>5.5511151231257827E-17</v>
      </c>
      <c r="BK19">
        <f t="shared" si="30"/>
        <v>5.5511151231257827E-17</v>
      </c>
      <c r="BL19">
        <f t="shared" si="30"/>
        <v>2.2204460492503131E-16</v>
      </c>
      <c r="BM19">
        <f t="shared" si="30"/>
        <v>0</v>
      </c>
      <c r="BN19">
        <f t="shared" si="30"/>
        <v>1.7347234759768071E-18</v>
      </c>
      <c r="BO19">
        <f t="shared" si="30"/>
        <v>0</v>
      </c>
      <c r="BP19">
        <f t="shared" si="30"/>
        <v>0</v>
      </c>
      <c r="BQ19">
        <f t="shared" si="30"/>
        <v>0</v>
      </c>
      <c r="BR19">
        <f t="shared" si="30"/>
        <v>0</v>
      </c>
      <c r="BS19">
        <f t="shared" si="30"/>
        <v>0</v>
      </c>
      <c r="BT19">
        <f t="shared" si="30"/>
        <v>0</v>
      </c>
      <c r="BU19">
        <f t="shared" si="30"/>
        <v>0</v>
      </c>
      <c r="BV19">
        <f t="shared" si="30"/>
        <v>0</v>
      </c>
      <c r="BW19">
        <f t="shared" si="30"/>
        <v>0</v>
      </c>
      <c r="BX19">
        <f t="shared" si="30"/>
        <v>0</v>
      </c>
      <c r="BY19">
        <f t="shared" si="30"/>
        <v>1.7347234759768071E-18</v>
      </c>
      <c r="BZ19">
        <f t="shared" si="30"/>
        <v>5.6843418860808015E-14</v>
      </c>
      <c r="CA19">
        <f t="shared" si="30"/>
        <v>1.3877787807814457E-17</v>
      </c>
      <c r="CB19">
        <f t="shared" si="30"/>
        <v>0.76232746390394579</v>
      </c>
      <c r="CC19">
        <f t="shared" si="30"/>
        <v>0</v>
      </c>
      <c r="CD19">
        <f t="shared" si="30"/>
        <v>0.16515937757208934</v>
      </c>
      <c r="CE19">
        <f t="shared" si="30"/>
        <v>0</v>
      </c>
      <c r="CF19">
        <f t="shared" si="30"/>
        <v>0</v>
      </c>
      <c r="CG19">
        <f t="shared" si="30"/>
        <v>0</v>
      </c>
      <c r="CH19">
        <f t="shared" si="30"/>
        <v>2.2204460492503131E-16</v>
      </c>
      <c r="CI19">
        <f t="shared" si="30"/>
        <v>0</v>
      </c>
    </row>
    <row r="20" spans="2:87" ht="60.75" thickBot="1" x14ac:dyDescent="0.3">
      <c r="J20" s="133" t="s">
        <v>147</v>
      </c>
      <c r="K20" s="134" t="s">
        <v>148</v>
      </c>
      <c r="L20" s="133" t="s">
        <v>279</v>
      </c>
      <c r="M20" s="135" t="s">
        <v>278</v>
      </c>
      <c r="N20" s="135" t="s">
        <v>198</v>
      </c>
      <c r="O20" s="135" t="s">
        <v>280</v>
      </c>
      <c r="P20" s="134" t="s">
        <v>281</v>
      </c>
      <c r="Q20" s="134" t="s">
        <v>196</v>
      </c>
      <c r="R20" s="135" t="s">
        <v>197</v>
      </c>
      <c r="S20" s="134" t="s">
        <v>144</v>
      </c>
      <c r="T20" s="136" t="s">
        <v>149</v>
      </c>
      <c r="U20" s="137" t="s">
        <v>193</v>
      </c>
      <c r="V20" s="137" t="s">
        <v>192</v>
      </c>
      <c r="W20" s="136" t="s">
        <v>146</v>
      </c>
      <c r="X20" s="136" t="s">
        <v>199</v>
      </c>
      <c r="Y20" s="136" t="s">
        <v>200</v>
      </c>
      <c r="Z20" s="136" t="s">
        <v>201</v>
      </c>
      <c r="AA20" s="136" t="s">
        <v>145</v>
      </c>
      <c r="AB20" s="136" t="s">
        <v>191</v>
      </c>
      <c r="AC20" s="128" t="s">
        <v>206</v>
      </c>
      <c r="AD20" s="128" t="s">
        <v>284</v>
      </c>
      <c r="AE20" s="128" t="s">
        <v>207</v>
      </c>
      <c r="AF20" s="136" t="s">
        <v>150</v>
      </c>
      <c r="AG20" s="134" t="s">
        <v>152</v>
      </c>
      <c r="AH20" s="134" t="s">
        <v>204</v>
      </c>
      <c r="AI20" s="134" t="s">
        <v>153</v>
      </c>
      <c r="AJ20" s="128" t="s">
        <v>342</v>
      </c>
      <c r="AK20" s="128" t="s">
        <v>343</v>
      </c>
      <c r="AL20" s="128" t="s">
        <v>344</v>
      </c>
      <c r="AM20" s="134" t="s">
        <v>345</v>
      </c>
      <c r="AN20" s="134" t="s">
        <v>346</v>
      </c>
      <c r="AO20" s="134" t="s">
        <v>347</v>
      </c>
      <c r="AP20" s="128" t="s">
        <v>348</v>
      </c>
      <c r="AQ20" s="128" t="s">
        <v>349</v>
      </c>
      <c r="AR20" s="128" t="s">
        <v>350</v>
      </c>
      <c r="AS20" s="128" t="s">
        <v>351</v>
      </c>
      <c r="AU20" s="128"/>
      <c r="AY20" s="143">
        <v>703.30945312576944</v>
      </c>
      <c r="AZ20" s="143">
        <v>0.99999489846940159</v>
      </c>
      <c r="BA20" s="143">
        <v>703.30059346993221</v>
      </c>
      <c r="BB20" s="143">
        <v>703.318342106258</v>
      </c>
      <c r="BC20" s="143">
        <v>703.30705325036695</v>
      </c>
      <c r="BD20" s="143">
        <v>703.29373551351625</v>
      </c>
      <c r="BE20" s="143">
        <v>0.99999315183119653</v>
      </c>
      <c r="BF20" s="143">
        <v>1.0000000858959293</v>
      </c>
      <c r="BG20" s="143">
        <v>703.30191366286999</v>
      </c>
      <c r="BH20" s="143">
        <v>0.99999991534950539</v>
      </c>
      <c r="BI20" s="143">
        <v>222.78288551628563</v>
      </c>
      <c r="BJ20" s="143">
        <v>1.000001180753423</v>
      </c>
      <c r="BK20" s="143">
        <v>0.99999589222097052</v>
      </c>
      <c r="BL20" s="143">
        <v>315.130115159485</v>
      </c>
      <c r="BM20" s="143">
        <v>240.70345023629943</v>
      </c>
      <c r="BN20" s="143">
        <v>92.444644743827993</v>
      </c>
      <c r="BO20" s="143">
        <v>256.9051079597063</v>
      </c>
      <c r="BP20" s="143">
        <v>196.3249119042481</v>
      </c>
      <c r="BQ20" s="143">
        <v>162.50838858961095</v>
      </c>
      <c r="BR20" s="143">
        <v>603.74275704829427</v>
      </c>
      <c r="BS20" s="143">
        <v>222.78025050912353</v>
      </c>
      <c r="BT20" s="143">
        <v>354.59218093312796</v>
      </c>
      <c r="BU20" s="143">
        <v>212.31102721376496</v>
      </c>
      <c r="BV20" s="143">
        <v>1.0000002042406235</v>
      </c>
      <c r="BW20" s="143">
        <v>1.0000002042406235</v>
      </c>
      <c r="BX20" s="143">
        <v>0.9999986411407511</v>
      </c>
      <c r="BY20" s="143">
        <v>118.41130519006906</v>
      </c>
      <c r="BZ20" s="143">
        <v>1.0000000389305106</v>
      </c>
      <c r="CA20" s="143">
        <v>205.30848106067458</v>
      </c>
      <c r="CB20" s="143">
        <v>1.0000023710407648</v>
      </c>
      <c r="CC20" s="143">
        <v>0</v>
      </c>
      <c r="CD20" s="143">
        <v>1.0000128075298138</v>
      </c>
      <c r="CE20" s="143">
        <v>276.95527376050052</v>
      </c>
      <c r="CF20" s="143">
        <v>205.3073633086222</v>
      </c>
      <c r="CG20" s="143">
        <v>355.92579386492309</v>
      </c>
      <c r="CH20" s="143">
        <v>1.0000181821487646</v>
      </c>
      <c r="CI20" s="147">
        <v>0.99999982459670289</v>
      </c>
    </row>
    <row r="21" spans="2:87" x14ac:dyDescent="0.25">
      <c r="B21" s="253" t="s">
        <v>685</v>
      </c>
      <c r="C21" s="253"/>
      <c r="D21" s="253"/>
      <c r="E21" s="253"/>
      <c r="F21" s="253"/>
      <c r="I21" t="s">
        <v>352</v>
      </c>
      <c r="J21" s="76"/>
      <c r="K21" s="107"/>
      <c r="L21" s="76"/>
      <c r="M21" s="111"/>
      <c r="N21" s="111"/>
      <c r="O21" s="111"/>
      <c r="P21" s="107"/>
      <c r="Q21" s="107"/>
      <c r="R21" s="111"/>
      <c r="S21" s="134"/>
      <c r="T21" s="136"/>
      <c r="U21" s="137"/>
      <c r="V21" s="137"/>
      <c r="W21" s="136"/>
      <c r="X21" s="136"/>
      <c r="Y21" s="136"/>
      <c r="Z21" s="136"/>
      <c r="AA21" s="136"/>
      <c r="AB21" s="136"/>
      <c r="AC21" s="128"/>
      <c r="AD21" s="128"/>
      <c r="AE21" s="128"/>
      <c r="AF21" s="136"/>
      <c r="AG21" s="134"/>
      <c r="AH21" s="134"/>
      <c r="AI21" s="134"/>
      <c r="AJ21" s="128"/>
      <c r="AK21" s="128"/>
      <c r="AL21" s="128"/>
      <c r="AM21" s="134"/>
      <c r="AN21" s="128"/>
      <c r="AO21" s="128"/>
      <c r="AP21" s="128"/>
      <c r="AQ21" s="128"/>
      <c r="AR21" s="128"/>
      <c r="AS21" s="128"/>
    </row>
    <row r="22" spans="2:87" ht="60.75" thickBot="1" x14ac:dyDescent="0.3">
      <c r="B22" s="253"/>
      <c r="C22" s="253"/>
      <c r="D22" s="253"/>
      <c r="E22" s="253"/>
      <c r="F22" s="253"/>
      <c r="I22" t="s">
        <v>353</v>
      </c>
      <c r="J22" s="252" t="s">
        <v>554</v>
      </c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V22" s="251"/>
      <c r="AW22" s="251"/>
      <c r="AX22" s="251"/>
      <c r="AY22" s="133" t="s">
        <v>147</v>
      </c>
      <c r="AZ22" s="134" t="s">
        <v>148</v>
      </c>
      <c r="BA22" s="133" t="s">
        <v>279</v>
      </c>
      <c r="BB22" s="135" t="s">
        <v>278</v>
      </c>
      <c r="BC22" s="135" t="s">
        <v>198</v>
      </c>
      <c r="BD22" s="135" t="s">
        <v>280</v>
      </c>
      <c r="BE22" s="134" t="s">
        <v>281</v>
      </c>
      <c r="BF22" s="134" t="s">
        <v>196</v>
      </c>
      <c r="BG22" s="135" t="s">
        <v>197</v>
      </c>
      <c r="BH22" s="134" t="s">
        <v>144</v>
      </c>
      <c r="BI22" s="136" t="s">
        <v>149</v>
      </c>
      <c r="BJ22" s="137" t="s">
        <v>193</v>
      </c>
      <c r="BK22" s="137" t="s">
        <v>192</v>
      </c>
      <c r="BL22" s="136" t="s">
        <v>146</v>
      </c>
      <c r="BM22" s="136" t="s">
        <v>199</v>
      </c>
      <c r="BN22" s="136" t="s">
        <v>200</v>
      </c>
      <c r="BO22" s="136" t="s">
        <v>201</v>
      </c>
      <c r="BP22" s="136" t="s">
        <v>145</v>
      </c>
      <c r="BQ22" s="136" t="s">
        <v>191</v>
      </c>
      <c r="BR22" s="128" t="s">
        <v>206</v>
      </c>
      <c r="BS22" s="128" t="s">
        <v>284</v>
      </c>
      <c r="BT22" s="128" t="s">
        <v>207</v>
      </c>
      <c r="BU22" s="136" t="s">
        <v>150</v>
      </c>
      <c r="BV22" s="134" t="s">
        <v>152</v>
      </c>
      <c r="BW22" s="134" t="s">
        <v>204</v>
      </c>
      <c r="BX22" s="134" t="s">
        <v>153</v>
      </c>
      <c r="BY22" s="128" t="s">
        <v>342</v>
      </c>
      <c r="BZ22" s="128" t="s">
        <v>343</v>
      </c>
      <c r="CA22" s="128" t="s">
        <v>344</v>
      </c>
      <c r="CB22" s="134" t="s">
        <v>345</v>
      </c>
      <c r="CC22" s="134" t="s">
        <v>346</v>
      </c>
      <c r="CD22" s="134" t="s">
        <v>347</v>
      </c>
      <c r="CE22" s="128" t="s">
        <v>348</v>
      </c>
      <c r="CF22" s="128" t="s">
        <v>349</v>
      </c>
      <c r="CG22" s="128" t="s">
        <v>350</v>
      </c>
      <c r="CH22" s="128" t="s">
        <v>351</v>
      </c>
    </row>
    <row r="23" spans="2:87" ht="60" x14ac:dyDescent="0.25">
      <c r="B23" s="138" t="s">
        <v>354</v>
      </c>
      <c r="C23" s="121" t="s">
        <v>355</v>
      </c>
      <c r="D23" t="s">
        <v>356</v>
      </c>
      <c r="E23" s="138" t="s">
        <v>357</v>
      </c>
      <c r="F23" s="138" t="s">
        <v>358</v>
      </c>
      <c r="G23" s="121" t="s">
        <v>359</v>
      </c>
      <c r="H23" s="121" t="s">
        <v>360</v>
      </c>
      <c r="I23" s="121" t="s">
        <v>361</v>
      </c>
      <c r="J23" s="120">
        <v>1</v>
      </c>
      <c r="K23" s="107">
        <v>2</v>
      </c>
      <c r="L23" s="120">
        <v>3</v>
      </c>
      <c r="M23" s="120">
        <v>4</v>
      </c>
      <c r="N23" s="120">
        <v>5</v>
      </c>
      <c r="O23" s="120">
        <v>6</v>
      </c>
      <c r="P23" s="107">
        <v>7</v>
      </c>
      <c r="Q23" s="107">
        <v>8</v>
      </c>
      <c r="R23" s="120">
        <v>9</v>
      </c>
      <c r="S23" s="107">
        <v>10</v>
      </c>
      <c r="T23">
        <v>11</v>
      </c>
      <c r="U23" s="107">
        <v>12</v>
      </c>
      <c r="V23" s="107">
        <v>13</v>
      </c>
      <c r="W23">
        <v>14</v>
      </c>
      <c r="X23">
        <v>15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23</v>
      </c>
      <c r="AG23" s="107">
        <v>24</v>
      </c>
      <c r="AH23" s="107">
        <v>25</v>
      </c>
      <c r="AI23" s="107">
        <v>26</v>
      </c>
      <c r="AJ23">
        <v>27</v>
      </c>
      <c r="AK23">
        <v>28</v>
      </c>
      <c r="AL23">
        <v>29</v>
      </c>
      <c r="AM23" s="107">
        <v>30</v>
      </c>
      <c r="AN23" s="107">
        <v>31</v>
      </c>
      <c r="AO23" s="107">
        <v>32</v>
      </c>
      <c r="AP23">
        <v>33</v>
      </c>
      <c r="AQ23">
        <v>34</v>
      </c>
      <c r="AR23">
        <v>35</v>
      </c>
      <c r="AS23">
        <v>36</v>
      </c>
      <c r="AT23" s="121">
        <v>37</v>
      </c>
      <c r="AV23" s="122"/>
      <c r="AW23" s="190" t="s">
        <v>602</v>
      </c>
      <c r="AX23" s="191" t="s">
        <v>603</v>
      </c>
      <c r="AY23" s="235" t="s">
        <v>604</v>
      </c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</row>
    <row r="24" spans="2:87" x14ac:dyDescent="0.25">
      <c r="B24" t="s">
        <v>362</v>
      </c>
      <c r="C24">
        <v>58.621000000000002</v>
      </c>
      <c r="D24">
        <v>-117.16499999999999</v>
      </c>
      <c r="E24" t="s">
        <v>363</v>
      </c>
      <c r="F24" t="s">
        <v>304</v>
      </c>
      <c r="G24">
        <v>5229.7829000000002</v>
      </c>
      <c r="H24">
        <v>1854.6293000000001</v>
      </c>
      <c r="I24">
        <v>45320.954400000002</v>
      </c>
      <c r="J24">
        <v>0.20147999999999999</v>
      </c>
      <c r="K24">
        <v>1.3344</v>
      </c>
      <c r="L24">
        <v>2.4765999999999999</v>
      </c>
      <c r="M24">
        <v>0.87261</v>
      </c>
      <c r="N24">
        <v>3.2309999999999999E-4</v>
      </c>
      <c r="O24" s="139">
        <v>8.0795000000000001E-5</v>
      </c>
      <c r="P24">
        <v>0.36137000000000002</v>
      </c>
      <c r="Q24">
        <v>24.612500000000001</v>
      </c>
      <c r="R24">
        <v>1.9123999999999999E-2</v>
      </c>
      <c r="S24">
        <v>1098.972</v>
      </c>
      <c r="T24">
        <v>8.4110999999999995E-3</v>
      </c>
      <c r="U24">
        <v>1.9883999999999999</v>
      </c>
      <c r="V24">
        <v>2.6343999999999999</v>
      </c>
      <c r="W24">
        <v>1.831</v>
      </c>
      <c r="X24">
        <v>8.7106000000000006E-3</v>
      </c>
      <c r="Y24">
        <v>1.1105E-2</v>
      </c>
      <c r="Z24">
        <v>7.3550000000000004E-4</v>
      </c>
      <c r="AA24">
        <v>1.9855999999999999E-2</v>
      </c>
      <c r="AB24">
        <v>0.82047999999999999</v>
      </c>
      <c r="AC24">
        <v>1.244E-2</v>
      </c>
      <c r="AD24">
        <v>2.2545E-4</v>
      </c>
      <c r="AE24">
        <v>3.4245999999999999E-3</v>
      </c>
      <c r="AF24">
        <v>3.4816E-2</v>
      </c>
      <c r="AG24">
        <v>89.625699999999995</v>
      </c>
      <c r="AH24">
        <v>89.625699999999995</v>
      </c>
      <c r="AI24">
        <v>111.6776</v>
      </c>
      <c r="AJ24">
        <v>1.1006999999999999E-2</v>
      </c>
      <c r="AK24">
        <v>441.68079999999998</v>
      </c>
      <c r="AL24">
        <v>8.8555999999999996E-2</v>
      </c>
      <c r="AM24">
        <v>42.913499999999999</v>
      </c>
      <c r="AN24">
        <v>0</v>
      </c>
      <c r="AO24">
        <v>16.434200000000001</v>
      </c>
      <c r="AP24">
        <v>0.40286</v>
      </c>
      <c r="AQ24">
        <v>0.62368999999999997</v>
      </c>
      <c r="AR24">
        <v>2.0830000000000001E-2</v>
      </c>
      <c r="AS24">
        <v>-1.8332999999999999</v>
      </c>
      <c r="AT24">
        <v>-203.27070000000001</v>
      </c>
      <c r="AV24" s="129" t="s">
        <v>304</v>
      </c>
      <c r="AW24">
        <f>SUM(AY24:CI24)</f>
        <v>168.88139744497573</v>
      </c>
      <c r="AX24" s="140">
        <f>AW24/C7*100</f>
        <v>3.3855830262516338</v>
      </c>
      <c r="AY24">
        <f>AY7*AY$20</f>
        <v>18.443260074675976</v>
      </c>
      <c r="AZ24">
        <f t="shared" ref="AZ24:CI24" si="31">AZ7*AZ$20</f>
        <v>0.38271999630970571</v>
      </c>
      <c r="BA24">
        <f t="shared" si="31"/>
        <v>101.77872948169343</v>
      </c>
      <c r="BB24">
        <f t="shared" si="31"/>
        <v>18.336603120393033</v>
      </c>
      <c r="BC24">
        <f t="shared" si="31"/>
        <v>6.7611140595215086E-2</v>
      </c>
      <c r="BD24">
        <f t="shared" si="31"/>
        <v>2.1506166316144843E-2</v>
      </c>
      <c r="BE24">
        <f t="shared" si="31"/>
        <v>0.11601592616976077</v>
      </c>
      <c r="BF24">
        <f t="shared" si="31"/>
        <v>14.677141329343911</v>
      </c>
      <c r="BG24">
        <f t="shared" si="31"/>
        <v>10.23656397221219</v>
      </c>
      <c r="BH24">
        <f t="shared" si="31"/>
        <v>0</v>
      </c>
      <c r="BI24">
        <f t="shared" si="31"/>
        <v>3.8646670155095408E-16</v>
      </c>
      <c r="BJ24">
        <f t="shared" si="31"/>
        <v>0</v>
      </c>
      <c r="BK24">
        <f t="shared" si="31"/>
        <v>0</v>
      </c>
      <c r="BL24">
        <f t="shared" si="31"/>
        <v>0</v>
      </c>
      <c r="BM24">
        <f t="shared" si="31"/>
        <v>0</v>
      </c>
      <c r="BN24">
        <f t="shared" si="31"/>
        <v>1.6036589546545437E-16</v>
      </c>
      <c r="BO24">
        <f t="shared" si="31"/>
        <v>0</v>
      </c>
      <c r="BP24">
        <f t="shared" si="31"/>
        <v>6.8113886719875539E-16</v>
      </c>
      <c r="BQ24">
        <f t="shared" si="31"/>
        <v>1.8042055470691814E-14</v>
      </c>
      <c r="BR24">
        <f t="shared" si="31"/>
        <v>1.047326734102638E-15</v>
      </c>
      <c r="BS24">
        <f t="shared" si="31"/>
        <v>0</v>
      </c>
      <c r="BT24">
        <f t="shared" si="31"/>
        <v>0</v>
      </c>
      <c r="BU24">
        <f t="shared" si="31"/>
        <v>1.4732036924658753E-15</v>
      </c>
      <c r="BV24">
        <f t="shared" si="31"/>
        <v>1.4210857617635832E-14</v>
      </c>
      <c r="BW24">
        <f t="shared" si="31"/>
        <v>1.4210857617635832E-14</v>
      </c>
      <c r="BX24">
        <f t="shared" si="31"/>
        <v>1.4210835404650639E-14</v>
      </c>
      <c r="BY24">
        <f t="shared" si="31"/>
        <v>2.0541087093426713E-16</v>
      </c>
      <c r="BZ24">
        <f t="shared" si="31"/>
        <v>0</v>
      </c>
      <c r="CA24">
        <f t="shared" si="31"/>
        <v>2.849227535304735E-15</v>
      </c>
      <c r="CB24">
        <f t="shared" si="31"/>
        <v>3.6891530926340441</v>
      </c>
      <c r="CC24">
        <f t="shared" si="31"/>
        <v>0</v>
      </c>
      <c r="CD24">
        <f t="shared" si="31"/>
        <v>1.1320931446322782</v>
      </c>
      <c r="CE24">
        <f t="shared" si="31"/>
        <v>0</v>
      </c>
      <c r="CF24">
        <f t="shared" si="31"/>
        <v>0</v>
      </c>
      <c r="CG24">
        <f t="shared" si="31"/>
        <v>1.2348656606463278E-15</v>
      </c>
      <c r="CH24">
        <f t="shared" si="31"/>
        <v>0</v>
      </c>
      <c r="CI24">
        <f t="shared" si="31"/>
        <v>0</v>
      </c>
    </row>
    <row r="25" spans="2:87" x14ac:dyDescent="0.25">
      <c r="B25" t="s">
        <v>364</v>
      </c>
      <c r="C25">
        <v>55.292999999999999</v>
      </c>
      <c r="D25">
        <v>-114.77699999999999</v>
      </c>
      <c r="E25" t="s">
        <v>365</v>
      </c>
      <c r="F25" t="s">
        <v>304</v>
      </c>
      <c r="G25">
        <v>4985.5210999999999</v>
      </c>
      <c r="H25">
        <v>1881.7183</v>
      </c>
      <c r="I25">
        <v>40521.884299999998</v>
      </c>
      <c r="J25">
        <v>0.29976999999999998</v>
      </c>
      <c r="K25">
        <v>9.1050000000000006E-2</v>
      </c>
      <c r="L25">
        <v>2.0838000000000001</v>
      </c>
      <c r="M25">
        <v>0.77237</v>
      </c>
      <c r="N25" s="139">
        <v>3.9332999999999998E-5</v>
      </c>
      <c r="O25" s="139">
        <v>9.0688999999999999E-7</v>
      </c>
      <c r="P25">
        <v>9.0221999999999993E-3</v>
      </c>
      <c r="Q25">
        <v>40.623899999999999</v>
      </c>
      <c r="R25">
        <v>3.6107E-2</v>
      </c>
      <c r="S25">
        <v>1098.972</v>
      </c>
      <c r="T25">
        <v>8.4110999999999995E-3</v>
      </c>
      <c r="U25">
        <v>1.9883999999999999</v>
      </c>
      <c r="V25">
        <v>2.6343999999999999</v>
      </c>
      <c r="W25">
        <v>1.831</v>
      </c>
      <c r="X25">
        <v>8.7106000000000006E-3</v>
      </c>
      <c r="Y25">
        <v>1.1105E-2</v>
      </c>
      <c r="Z25">
        <v>7.3550000000000004E-4</v>
      </c>
      <c r="AA25">
        <v>1.9855999999999999E-2</v>
      </c>
      <c r="AB25">
        <v>0.82047999999999999</v>
      </c>
      <c r="AC25">
        <v>1.244E-2</v>
      </c>
      <c r="AD25">
        <v>2.2545E-4</v>
      </c>
      <c r="AE25">
        <v>3.4245999999999999E-3</v>
      </c>
      <c r="AF25">
        <v>3.4816E-2</v>
      </c>
      <c r="AG25">
        <v>89.625699999999995</v>
      </c>
      <c r="AH25">
        <v>89.625699999999995</v>
      </c>
      <c r="AI25">
        <v>111.6776</v>
      </c>
      <c r="AJ25">
        <v>1.1006999999999999E-2</v>
      </c>
      <c r="AK25">
        <v>441.68079999999998</v>
      </c>
      <c r="AL25">
        <v>8.8555999999999996E-2</v>
      </c>
      <c r="AM25">
        <v>52.619100000000003</v>
      </c>
      <c r="AN25">
        <v>0</v>
      </c>
      <c r="AO25">
        <v>13.932600000000001</v>
      </c>
      <c r="AP25">
        <v>0.40286</v>
      </c>
      <c r="AQ25">
        <v>0.62368999999999997</v>
      </c>
      <c r="AR25">
        <v>2.0830000000000001E-2</v>
      </c>
      <c r="AS25">
        <v>-1.8332999999999999</v>
      </c>
      <c r="AT25">
        <v>-203.27070000000001</v>
      </c>
      <c r="AV25" s="130" t="s">
        <v>303</v>
      </c>
      <c r="AW25">
        <f t="shared" ref="AW25:AW34" si="32">SUM(AY25:CI25)</f>
        <v>522.32854803197336</v>
      </c>
      <c r="AX25" s="140">
        <f t="shared" ref="AX25:AX29" si="33">AW25/C8*100</f>
        <v>17.103281279863523</v>
      </c>
      <c r="AY25">
        <f t="shared" ref="AY25:CI25" si="34">AY8*AY$20</f>
        <v>57.452583471951726</v>
      </c>
      <c r="AZ25">
        <f t="shared" si="34"/>
        <v>0.39685945864716987</v>
      </c>
      <c r="BA25">
        <f t="shared" si="34"/>
        <v>295.57302741789431</v>
      </c>
      <c r="BB25">
        <f t="shared" si="34"/>
        <v>141.62241979835559</v>
      </c>
      <c r="BC25">
        <f t="shared" si="34"/>
        <v>1.2048109698741822</v>
      </c>
      <c r="BD25">
        <f t="shared" si="34"/>
        <v>0.39150772399125638</v>
      </c>
      <c r="BE25">
        <f t="shared" si="34"/>
        <v>0.204726307909111</v>
      </c>
      <c r="BF25">
        <f t="shared" si="34"/>
        <v>2.5585438942918199</v>
      </c>
      <c r="BG25">
        <f t="shared" si="34"/>
        <v>22.248154357626351</v>
      </c>
      <c r="BH25">
        <f t="shared" si="34"/>
        <v>1.4210853512246123E-14</v>
      </c>
      <c r="BI25">
        <f t="shared" si="34"/>
        <v>3.8646670155095408E-16</v>
      </c>
      <c r="BJ25">
        <f t="shared" si="34"/>
        <v>2.775560838811983E-17</v>
      </c>
      <c r="BK25">
        <f t="shared" si="34"/>
        <v>8.3266384805572342E-17</v>
      </c>
      <c r="BL25">
        <f t="shared" si="34"/>
        <v>6.9972941920567467E-14</v>
      </c>
      <c r="BM25">
        <f t="shared" si="34"/>
        <v>0</v>
      </c>
      <c r="BN25">
        <f t="shared" si="34"/>
        <v>1.6036589546545437E-16</v>
      </c>
      <c r="BO25">
        <f t="shared" si="34"/>
        <v>0</v>
      </c>
      <c r="BP25">
        <f t="shared" si="34"/>
        <v>1.3622777343975108E-15</v>
      </c>
      <c r="BQ25">
        <f t="shared" si="34"/>
        <v>0</v>
      </c>
      <c r="BR25">
        <f t="shared" si="34"/>
        <v>2.094653468205276E-15</v>
      </c>
      <c r="BS25">
        <f t="shared" si="34"/>
        <v>1.2076941579442832E-17</v>
      </c>
      <c r="BT25">
        <f t="shared" si="34"/>
        <v>0</v>
      </c>
      <c r="BU25">
        <f t="shared" si="34"/>
        <v>1.4732036924658753E-15</v>
      </c>
      <c r="BV25">
        <f t="shared" si="34"/>
        <v>0</v>
      </c>
      <c r="BW25">
        <f t="shared" si="34"/>
        <v>0</v>
      </c>
      <c r="BX25">
        <f t="shared" si="34"/>
        <v>0</v>
      </c>
      <c r="BY25">
        <f t="shared" si="34"/>
        <v>2.0541087093426713E-16</v>
      </c>
      <c r="BZ25">
        <f t="shared" si="34"/>
        <v>5.6843421073751335E-14</v>
      </c>
      <c r="CA25">
        <f t="shared" si="34"/>
        <v>2.849227535304735E-15</v>
      </c>
      <c r="CB25">
        <f t="shared" si="34"/>
        <v>0.41814242216135644</v>
      </c>
      <c r="CC25">
        <f t="shared" si="34"/>
        <v>0</v>
      </c>
      <c r="CD25">
        <f t="shared" si="34"/>
        <v>0.25777220927032318</v>
      </c>
      <c r="CE25">
        <f t="shared" si="34"/>
        <v>3.0748212172027114E-14</v>
      </c>
      <c r="CF25">
        <f t="shared" si="34"/>
        <v>0</v>
      </c>
      <c r="CG25">
        <f t="shared" si="34"/>
        <v>2.4697313212926556E-15</v>
      </c>
      <c r="CH25">
        <f t="shared" si="34"/>
        <v>4.4409728434614086E-16</v>
      </c>
      <c r="CI25">
        <f t="shared" si="34"/>
        <v>0</v>
      </c>
    </row>
    <row r="26" spans="2:87" x14ac:dyDescent="0.25">
      <c r="B26" t="s">
        <v>366</v>
      </c>
      <c r="C26">
        <v>54.405000000000001</v>
      </c>
      <c r="D26">
        <v>-110.279</v>
      </c>
      <c r="E26" t="s">
        <v>367</v>
      </c>
      <c r="F26" t="s">
        <v>304</v>
      </c>
      <c r="G26">
        <v>5001.4701999999997</v>
      </c>
      <c r="H26">
        <v>1887.3415</v>
      </c>
      <c r="I26">
        <v>40728.754500000003</v>
      </c>
      <c r="J26">
        <v>0.24525</v>
      </c>
      <c r="K26">
        <v>0.69567000000000001</v>
      </c>
      <c r="L26">
        <v>2.1286</v>
      </c>
      <c r="M26">
        <v>0.79264000000000001</v>
      </c>
      <c r="N26">
        <v>2.0065999999999999E-4</v>
      </c>
      <c r="O26" s="139">
        <v>3.3262000000000001E-5</v>
      </c>
      <c r="P26">
        <v>0.11341</v>
      </c>
      <c r="Q26">
        <v>45.937100000000001</v>
      </c>
      <c r="R26">
        <v>4.1653999999999997E-2</v>
      </c>
      <c r="S26">
        <v>1098.972</v>
      </c>
      <c r="T26">
        <v>8.4110999999999995E-3</v>
      </c>
      <c r="U26">
        <v>1.9883999999999999</v>
      </c>
      <c r="V26">
        <v>2.6343999999999999</v>
      </c>
      <c r="W26">
        <v>1.831</v>
      </c>
      <c r="X26">
        <v>8.7106000000000006E-3</v>
      </c>
      <c r="Y26">
        <v>1.1105E-2</v>
      </c>
      <c r="Z26">
        <v>7.3550000000000004E-4</v>
      </c>
      <c r="AA26">
        <v>1.9855999999999999E-2</v>
      </c>
      <c r="AB26">
        <v>0.82047999999999999</v>
      </c>
      <c r="AC26">
        <v>1.244E-2</v>
      </c>
      <c r="AD26">
        <v>2.2545E-4</v>
      </c>
      <c r="AE26">
        <v>3.4245999999999999E-3</v>
      </c>
      <c r="AF26">
        <v>3.4816E-2</v>
      </c>
      <c r="AG26">
        <v>89.625699999999995</v>
      </c>
      <c r="AH26">
        <v>89.625699999999995</v>
      </c>
      <c r="AI26">
        <v>111.6776</v>
      </c>
      <c r="AJ26">
        <v>1.1006999999999999E-2</v>
      </c>
      <c r="AK26">
        <v>441.68079999999998</v>
      </c>
      <c r="AL26">
        <v>8.8555999999999996E-2</v>
      </c>
      <c r="AM26">
        <v>50.713900000000002</v>
      </c>
      <c r="AN26">
        <v>0</v>
      </c>
      <c r="AO26">
        <v>14.3035</v>
      </c>
      <c r="AP26">
        <v>0.40286</v>
      </c>
      <c r="AQ26">
        <v>0.62368999999999997</v>
      </c>
      <c r="AR26">
        <v>2.0830000000000001E-2</v>
      </c>
      <c r="AS26">
        <v>-1.8332999999999999</v>
      </c>
      <c r="AT26">
        <v>-203.27070000000001</v>
      </c>
      <c r="AV26" s="130" t="s">
        <v>305</v>
      </c>
      <c r="AW26">
        <f t="shared" si="32"/>
        <v>335.50543754340435</v>
      </c>
      <c r="AX26" s="140">
        <f t="shared" si="33"/>
        <v>8.6913386901353107</v>
      </c>
      <c r="AY26">
        <f t="shared" ref="AY26:CI26" si="35">AY9*AY$20</f>
        <v>19.869378083393862</v>
      </c>
      <c r="AZ26">
        <f t="shared" si="35"/>
        <v>7.1136017121712303E-2</v>
      </c>
      <c r="BA26">
        <f t="shared" si="35"/>
        <v>223.13159725862383</v>
      </c>
      <c r="BB26">
        <f t="shared" si="35"/>
        <v>56.996744497226551</v>
      </c>
      <c r="BC26">
        <f t="shared" si="35"/>
        <v>3.0408155918381124E-2</v>
      </c>
      <c r="BD26">
        <f t="shared" si="35"/>
        <v>1.2782995261470802E-3</v>
      </c>
      <c r="BE26">
        <f t="shared" si="35"/>
        <v>1.1939609011791745E-3</v>
      </c>
      <c r="BF26">
        <f t="shared" si="35"/>
        <v>3.5302311224093939</v>
      </c>
      <c r="BG26">
        <f t="shared" si="35"/>
        <v>31.438753037591376</v>
      </c>
      <c r="BH26">
        <f t="shared" si="35"/>
        <v>0</v>
      </c>
      <c r="BI26">
        <f t="shared" si="35"/>
        <v>0</v>
      </c>
      <c r="BJ26">
        <f t="shared" si="35"/>
        <v>2.775560838811983E-17</v>
      </c>
      <c r="BK26">
        <f t="shared" si="35"/>
        <v>0</v>
      </c>
      <c r="BL26">
        <f t="shared" si="35"/>
        <v>6.9972941920567467E-14</v>
      </c>
      <c r="BM26">
        <f t="shared" si="35"/>
        <v>0</v>
      </c>
      <c r="BN26">
        <f t="shared" si="35"/>
        <v>1.6036589546545437E-16</v>
      </c>
      <c r="BO26">
        <f t="shared" si="35"/>
        <v>0</v>
      </c>
      <c r="BP26">
        <f t="shared" si="35"/>
        <v>0</v>
      </c>
      <c r="BQ26">
        <f t="shared" si="35"/>
        <v>0</v>
      </c>
      <c r="BR26">
        <f t="shared" si="35"/>
        <v>0</v>
      </c>
      <c r="BS26">
        <f t="shared" si="35"/>
        <v>0</v>
      </c>
      <c r="BT26">
        <f t="shared" si="35"/>
        <v>0</v>
      </c>
      <c r="BU26">
        <f t="shared" si="35"/>
        <v>1.4732036924658753E-15</v>
      </c>
      <c r="BV26">
        <f t="shared" si="35"/>
        <v>0</v>
      </c>
      <c r="BW26">
        <f t="shared" si="35"/>
        <v>0</v>
      </c>
      <c r="BX26">
        <f t="shared" si="35"/>
        <v>0</v>
      </c>
      <c r="BY26">
        <f t="shared" si="35"/>
        <v>2.0541087093426713E-16</v>
      </c>
      <c r="BZ26">
        <f t="shared" si="35"/>
        <v>5.6843421073751335E-14</v>
      </c>
      <c r="CA26">
        <f t="shared" si="35"/>
        <v>2.849227535304735E-15</v>
      </c>
      <c r="CB26">
        <f t="shared" si="35"/>
        <v>0.27944471034188911</v>
      </c>
      <c r="CC26">
        <f t="shared" si="35"/>
        <v>0</v>
      </c>
      <c r="CD26">
        <f t="shared" si="35"/>
        <v>0.15527240034996803</v>
      </c>
      <c r="CE26">
        <f t="shared" si="35"/>
        <v>0</v>
      </c>
      <c r="CF26">
        <f t="shared" si="35"/>
        <v>0</v>
      </c>
      <c r="CG26">
        <f t="shared" si="35"/>
        <v>0</v>
      </c>
      <c r="CH26">
        <f t="shared" si="35"/>
        <v>2.2204864217307043E-16</v>
      </c>
      <c r="CI26">
        <f t="shared" si="35"/>
        <v>0</v>
      </c>
    </row>
    <row r="27" spans="2:87" x14ac:dyDescent="0.25">
      <c r="B27" t="s">
        <v>368</v>
      </c>
      <c r="C27">
        <v>53.667000000000002</v>
      </c>
      <c r="D27">
        <v>-113.46700000000001</v>
      </c>
      <c r="E27" t="s">
        <v>369</v>
      </c>
      <c r="F27" t="s">
        <v>304</v>
      </c>
      <c r="G27">
        <v>4929.5608000000002</v>
      </c>
      <c r="H27">
        <v>1874.2610999999999</v>
      </c>
      <c r="I27">
        <v>39619.243900000001</v>
      </c>
      <c r="J27">
        <v>0.25492999999999999</v>
      </c>
      <c r="K27">
        <v>0.45077</v>
      </c>
      <c r="L27">
        <v>2.0377000000000001</v>
      </c>
      <c r="M27">
        <v>0.80083000000000004</v>
      </c>
      <c r="N27">
        <v>1.7017000000000001E-4</v>
      </c>
      <c r="O27" s="139">
        <v>7.4985000000000001E-5</v>
      </c>
      <c r="P27">
        <v>0.24928</v>
      </c>
      <c r="Q27">
        <v>33.129800000000003</v>
      </c>
      <c r="R27">
        <v>2.7365E-2</v>
      </c>
      <c r="S27">
        <v>1098.972</v>
      </c>
      <c r="T27">
        <v>8.4110999999999995E-3</v>
      </c>
      <c r="U27">
        <v>1.9883999999999999</v>
      </c>
      <c r="V27">
        <v>2.6343999999999999</v>
      </c>
      <c r="W27">
        <v>1.831</v>
      </c>
      <c r="X27">
        <v>8.7106000000000006E-3</v>
      </c>
      <c r="Y27">
        <v>1.1105E-2</v>
      </c>
      <c r="Z27">
        <v>7.3550000000000004E-4</v>
      </c>
      <c r="AA27">
        <v>1.9855999999999999E-2</v>
      </c>
      <c r="AB27">
        <v>0.82047999999999999</v>
      </c>
      <c r="AC27">
        <v>1.244E-2</v>
      </c>
      <c r="AD27">
        <v>2.2545E-4</v>
      </c>
      <c r="AE27">
        <v>3.4245999999999999E-3</v>
      </c>
      <c r="AF27">
        <v>3.4816E-2</v>
      </c>
      <c r="AG27">
        <v>89.625699999999995</v>
      </c>
      <c r="AH27">
        <v>89.625699999999995</v>
      </c>
      <c r="AI27">
        <v>111.6776</v>
      </c>
      <c r="AJ27">
        <v>1.1006999999999999E-2</v>
      </c>
      <c r="AK27">
        <v>441.68079999999998</v>
      </c>
      <c r="AL27">
        <v>8.8555999999999996E-2</v>
      </c>
      <c r="AM27">
        <v>54.3947</v>
      </c>
      <c r="AN27">
        <v>0</v>
      </c>
      <c r="AO27">
        <v>13.099500000000001</v>
      </c>
      <c r="AP27">
        <v>0.40286</v>
      </c>
      <c r="AQ27">
        <v>0.62368999999999997</v>
      </c>
      <c r="AR27">
        <v>2.0830000000000001E-2</v>
      </c>
      <c r="AS27">
        <v>-1.8332999999999999</v>
      </c>
      <c r="AT27">
        <v>-203.27070000000001</v>
      </c>
      <c r="AV27" s="130" t="s">
        <v>306</v>
      </c>
      <c r="AW27">
        <f t="shared" si="32"/>
        <v>34.951118901334482</v>
      </c>
      <c r="AX27" s="140">
        <f t="shared" si="33"/>
        <v>0.8962878995536232</v>
      </c>
      <c r="AY27">
        <f t="shared" ref="AY27:CI27" si="36">AY10*AY$20</f>
        <v>11.230338131851468</v>
      </c>
      <c r="AZ27">
        <f t="shared" si="36"/>
        <v>0.38321817033218919</v>
      </c>
      <c r="BA27">
        <f t="shared" si="36"/>
        <v>7.9654980566777107</v>
      </c>
      <c r="BB27">
        <f t="shared" si="36"/>
        <v>5.8770682348437777</v>
      </c>
      <c r="BC27">
        <f t="shared" si="36"/>
        <v>2.2740805855162249E-3</v>
      </c>
      <c r="BD27">
        <f t="shared" si="36"/>
        <v>0</v>
      </c>
      <c r="BE27">
        <f t="shared" si="36"/>
        <v>0</v>
      </c>
      <c r="BF27">
        <f t="shared" si="36"/>
        <v>6.5705437770015536</v>
      </c>
      <c r="BG27">
        <f t="shared" si="36"/>
        <v>2.7498855000010973</v>
      </c>
      <c r="BH27">
        <f t="shared" si="36"/>
        <v>0</v>
      </c>
      <c r="BI27">
        <f t="shared" si="36"/>
        <v>0</v>
      </c>
      <c r="BJ27">
        <f t="shared" si="36"/>
        <v>0</v>
      </c>
      <c r="BK27">
        <f t="shared" si="36"/>
        <v>0</v>
      </c>
      <c r="BL27">
        <f t="shared" si="36"/>
        <v>6.9972941920567467E-14</v>
      </c>
      <c r="BM27">
        <f t="shared" si="36"/>
        <v>0</v>
      </c>
      <c r="BN27">
        <f t="shared" si="36"/>
        <v>1.6036589546545437E-16</v>
      </c>
      <c r="BO27">
        <f t="shared" si="36"/>
        <v>0</v>
      </c>
      <c r="BP27">
        <f t="shared" si="36"/>
        <v>0</v>
      </c>
      <c r="BQ27">
        <f t="shared" si="36"/>
        <v>0</v>
      </c>
      <c r="BR27">
        <f t="shared" si="36"/>
        <v>0</v>
      </c>
      <c r="BS27">
        <f t="shared" si="36"/>
        <v>0</v>
      </c>
      <c r="BT27">
        <f t="shared" si="36"/>
        <v>0</v>
      </c>
      <c r="BU27">
        <f t="shared" si="36"/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2.0541087093426713E-16</v>
      </c>
      <c r="BZ27">
        <f t="shared" si="36"/>
        <v>5.6843421073751335E-14</v>
      </c>
      <c r="CA27">
        <f t="shared" si="36"/>
        <v>2.849227535304735E-15</v>
      </c>
      <c r="CB27">
        <f t="shared" si="36"/>
        <v>0.1495677827542263</v>
      </c>
      <c r="CC27">
        <f t="shared" si="36"/>
        <v>0</v>
      </c>
      <c r="CD27">
        <f t="shared" si="36"/>
        <v>2.2725167286816544E-2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2.2204864217307043E-16</v>
      </c>
      <c r="CI27">
        <f t="shared" si="36"/>
        <v>0</v>
      </c>
    </row>
    <row r="28" spans="2:87" x14ac:dyDescent="0.25">
      <c r="B28" t="s">
        <v>370</v>
      </c>
      <c r="C28">
        <v>53.31</v>
      </c>
      <c r="D28">
        <v>-113.58000000000001</v>
      </c>
      <c r="E28" t="s">
        <v>371</v>
      </c>
      <c r="F28" t="s">
        <v>304</v>
      </c>
      <c r="G28">
        <v>5002.8249999999998</v>
      </c>
      <c r="H28">
        <v>1896.3107</v>
      </c>
      <c r="I28">
        <v>40624.002999999997</v>
      </c>
      <c r="J28">
        <v>0.27717000000000003</v>
      </c>
      <c r="K28">
        <v>0.50099000000000005</v>
      </c>
      <c r="L28">
        <v>2.0863999999999998</v>
      </c>
      <c r="M28">
        <v>0.78964000000000001</v>
      </c>
      <c r="N28">
        <v>1.7597000000000001E-4</v>
      </c>
      <c r="O28" s="139">
        <v>9.0941999999999998E-5</v>
      </c>
      <c r="P28">
        <v>0.29236000000000001</v>
      </c>
      <c r="Q28">
        <v>51.802300000000002</v>
      </c>
      <c r="R28">
        <v>4.6691999999999997E-2</v>
      </c>
      <c r="S28">
        <v>1098.972</v>
      </c>
      <c r="T28">
        <v>8.4110999999999995E-3</v>
      </c>
      <c r="U28">
        <v>1.9883999999999999</v>
      </c>
      <c r="V28">
        <v>2.6343999999999999</v>
      </c>
      <c r="W28">
        <v>1.831</v>
      </c>
      <c r="X28">
        <v>8.7106000000000006E-3</v>
      </c>
      <c r="Y28">
        <v>1.1105E-2</v>
      </c>
      <c r="Z28">
        <v>7.3550000000000004E-4</v>
      </c>
      <c r="AA28">
        <v>1.9855999999999999E-2</v>
      </c>
      <c r="AB28">
        <v>0.82047999999999999</v>
      </c>
      <c r="AC28">
        <v>1.244E-2</v>
      </c>
      <c r="AD28">
        <v>2.2545E-4</v>
      </c>
      <c r="AE28">
        <v>3.4245999999999999E-3</v>
      </c>
      <c r="AF28">
        <v>3.4816E-2</v>
      </c>
      <c r="AG28">
        <v>89.625699999999995</v>
      </c>
      <c r="AH28">
        <v>89.625699999999995</v>
      </c>
      <c r="AI28">
        <v>111.6776</v>
      </c>
      <c r="AJ28">
        <v>1.1006999999999999E-2</v>
      </c>
      <c r="AK28">
        <v>441.68079999999998</v>
      </c>
      <c r="AL28">
        <v>8.8555999999999996E-2</v>
      </c>
      <c r="AM28">
        <v>52.722099999999998</v>
      </c>
      <c r="AN28">
        <v>0</v>
      </c>
      <c r="AO28">
        <v>13.604100000000001</v>
      </c>
      <c r="AP28">
        <v>0.40286</v>
      </c>
      <c r="AQ28">
        <v>0.62368999999999997</v>
      </c>
      <c r="AR28">
        <v>2.0830000000000001E-2</v>
      </c>
      <c r="AS28">
        <v>-1.8332999999999999</v>
      </c>
      <c r="AT28">
        <v>-203.27070000000001</v>
      </c>
      <c r="AV28" s="130" t="s">
        <v>307</v>
      </c>
      <c r="AW28">
        <f t="shared" si="32"/>
        <v>460.31615651728674</v>
      </c>
      <c r="AX28" s="140">
        <f t="shared" si="33"/>
        <v>12.8037748325635</v>
      </c>
      <c r="AY28">
        <f t="shared" ref="AY28:CI28" si="37">AY11*AY$20</f>
        <v>50.777384308864441</v>
      </c>
      <c r="AZ28">
        <f t="shared" si="37"/>
        <v>1.6839437220589087E-2</v>
      </c>
      <c r="BA28">
        <f t="shared" si="37"/>
        <v>283.68634646462851</v>
      </c>
      <c r="BB28">
        <f t="shared" si="37"/>
        <v>91.127139882158119</v>
      </c>
      <c r="BC28">
        <f t="shared" si="37"/>
        <v>1.3391868973775306E-3</v>
      </c>
      <c r="BD28">
        <f t="shared" si="37"/>
        <v>0</v>
      </c>
      <c r="BE28">
        <f t="shared" si="37"/>
        <v>0</v>
      </c>
      <c r="BF28">
        <f t="shared" si="37"/>
        <v>4.3266163032406473</v>
      </c>
      <c r="BG28">
        <f t="shared" si="37"/>
        <v>29.381446985201627</v>
      </c>
      <c r="BH28">
        <f t="shared" si="37"/>
        <v>1.4210853512246123E-14</v>
      </c>
      <c r="BI28">
        <f t="shared" si="37"/>
        <v>0</v>
      </c>
      <c r="BJ28">
        <f t="shared" si="37"/>
        <v>0</v>
      </c>
      <c r="BK28">
        <f t="shared" si="37"/>
        <v>0</v>
      </c>
      <c r="BL28">
        <f t="shared" si="37"/>
        <v>6.9972941920567467E-14</v>
      </c>
      <c r="BM28">
        <f t="shared" si="37"/>
        <v>0</v>
      </c>
      <c r="BN28">
        <f t="shared" si="37"/>
        <v>1.6036589546545437E-16</v>
      </c>
      <c r="BO28">
        <f t="shared" si="37"/>
        <v>0</v>
      </c>
      <c r="BP28">
        <f t="shared" si="37"/>
        <v>6.8113886719875539E-16</v>
      </c>
      <c r="BQ28">
        <f t="shared" si="37"/>
        <v>0</v>
      </c>
      <c r="BR28">
        <f t="shared" si="37"/>
        <v>1.047326734102638E-15</v>
      </c>
      <c r="BS28">
        <f t="shared" si="37"/>
        <v>6.038470789721416E-18</v>
      </c>
      <c r="BT28">
        <f t="shared" si="37"/>
        <v>0</v>
      </c>
      <c r="BU28">
        <f t="shared" si="37"/>
        <v>1.4732036924658753E-15</v>
      </c>
      <c r="BV28">
        <f t="shared" si="37"/>
        <v>0</v>
      </c>
      <c r="BW28">
        <f t="shared" si="37"/>
        <v>0</v>
      </c>
      <c r="BX28">
        <f t="shared" si="37"/>
        <v>1.7763544255813299E-15</v>
      </c>
      <c r="BY28">
        <f t="shared" si="37"/>
        <v>2.0541087093426713E-16</v>
      </c>
      <c r="BZ28">
        <f t="shared" si="37"/>
        <v>5.6843421073751335E-14</v>
      </c>
      <c r="CA28">
        <f t="shared" si="37"/>
        <v>2.849227535304735E-15</v>
      </c>
      <c r="CB28">
        <f t="shared" si="37"/>
        <v>0.68679966635137979</v>
      </c>
      <c r="CC28">
        <f t="shared" si="37"/>
        <v>0</v>
      </c>
      <c r="CD28">
        <f t="shared" si="37"/>
        <v>0.31224428272387345</v>
      </c>
      <c r="CE28">
        <f t="shared" si="37"/>
        <v>0</v>
      </c>
      <c r="CF28">
        <f t="shared" si="37"/>
        <v>0</v>
      </c>
      <c r="CG28">
        <f t="shared" si="37"/>
        <v>1.2348656606463278E-15</v>
      </c>
      <c r="CH28">
        <f t="shared" si="37"/>
        <v>2.2204864217307043E-16</v>
      </c>
      <c r="CI28">
        <f t="shared" si="37"/>
        <v>0</v>
      </c>
    </row>
    <row r="29" spans="2:87" x14ac:dyDescent="0.25">
      <c r="B29" t="s">
        <v>372</v>
      </c>
      <c r="C29">
        <v>53.308999999999997</v>
      </c>
      <c r="D29">
        <v>-110.072</v>
      </c>
      <c r="E29" t="s">
        <v>373</v>
      </c>
      <c r="F29" t="s">
        <v>304</v>
      </c>
      <c r="G29">
        <v>5033.9032999999999</v>
      </c>
      <c r="H29">
        <v>1895.3109999999999</v>
      </c>
      <c r="I29">
        <v>41199.357100000001</v>
      </c>
      <c r="J29">
        <v>0.27937000000000001</v>
      </c>
      <c r="K29">
        <v>0.43364999999999998</v>
      </c>
      <c r="L29">
        <v>2.1332</v>
      </c>
      <c r="M29">
        <v>0.78417999999999999</v>
      </c>
      <c r="N29">
        <v>1.8599E-4</v>
      </c>
      <c r="O29" s="139">
        <v>4.5420000000000002E-5</v>
      </c>
      <c r="P29">
        <v>0.16614999999999999</v>
      </c>
      <c r="Q29">
        <v>52.2577</v>
      </c>
      <c r="R29">
        <v>4.8519E-2</v>
      </c>
      <c r="S29">
        <v>1098.972</v>
      </c>
      <c r="T29">
        <v>8.4110999999999995E-3</v>
      </c>
      <c r="U29">
        <v>1.9883999999999999</v>
      </c>
      <c r="V29">
        <v>2.6343999999999999</v>
      </c>
      <c r="W29">
        <v>1.831</v>
      </c>
      <c r="X29">
        <v>8.7106000000000006E-3</v>
      </c>
      <c r="Y29">
        <v>1.1105E-2</v>
      </c>
      <c r="Z29">
        <v>7.3550000000000004E-4</v>
      </c>
      <c r="AA29">
        <v>1.9855999999999999E-2</v>
      </c>
      <c r="AB29">
        <v>0.82047999999999999</v>
      </c>
      <c r="AC29">
        <v>1.244E-2</v>
      </c>
      <c r="AD29">
        <v>2.2545E-4</v>
      </c>
      <c r="AE29">
        <v>3.4245999999999999E-3</v>
      </c>
      <c r="AF29">
        <v>3.4816E-2</v>
      </c>
      <c r="AG29">
        <v>89.625699999999995</v>
      </c>
      <c r="AH29">
        <v>89.625699999999995</v>
      </c>
      <c r="AI29">
        <v>111.6776</v>
      </c>
      <c r="AJ29">
        <v>1.1006999999999999E-2</v>
      </c>
      <c r="AK29">
        <v>441.68079999999998</v>
      </c>
      <c r="AL29">
        <v>8.8555999999999996E-2</v>
      </c>
      <c r="AM29">
        <v>50.675600000000003</v>
      </c>
      <c r="AN29">
        <v>0</v>
      </c>
      <c r="AO29">
        <v>14.5909</v>
      </c>
      <c r="AP29">
        <v>0.40286</v>
      </c>
      <c r="AQ29">
        <v>0.62368999999999997</v>
      </c>
      <c r="AR29">
        <v>2.0830000000000001E-2</v>
      </c>
      <c r="AS29">
        <v>-1.8332999999999999</v>
      </c>
      <c r="AT29">
        <v>-203.27070000000001</v>
      </c>
      <c r="AV29" s="130" t="s">
        <v>308</v>
      </c>
      <c r="AW29">
        <f t="shared" si="32"/>
        <v>167.59802427354555</v>
      </c>
      <c r="AX29" s="140">
        <f t="shared" si="33"/>
        <v>3.4282224596821766</v>
      </c>
      <c r="AY29">
        <f t="shared" ref="AY29:CI29" si="38">AY12*AY$20</f>
        <v>11.422699104211759</v>
      </c>
      <c r="AZ29">
        <f t="shared" si="38"/>
        <v>1.0378203193685227</v>
      </c>
      <c r="BA29">
        <f t="shared" si="38"/>
        <v>82.396346758991953</v>
      </c>
      <c r="BB29">
        <f t="shared" si="38"/>
        <v>38.087958001941516</v>
      </c>
      <c r="BC29">
        <f t="shared" si="38"/>
        <v>0</v>
      </c>
      <c r="BD29">
        <f t="shared" si="38"/>
        <v>0</v>
      </c>
      <c r="BE29">
        <f t="shared" si="38"/>
        <v>0</v>
      </c>
      <c r="BF29">
        <f t="shared" si="38"/>
        <v>21.915222917991667</v>
      </c>
      <c r="BG29">
        <f t="shared" si="38"/>
        <v>10.612737230000635</v>
      </c>
      <c r="BH29">
        <f t="shared" si="38"/>
        <v>0</v>
      </c>
      <c r="BI29">
        <f t="shared" si="38"/>
        <v>0</v>
      </c>
      <c r="BJ29">
        <f t="shared" si="38"/>
        <v>0</v>
      </c>
      <c r="BK29">
        <f t="shared" si="38"/>
        <v>0</v>
      </c>
      <c r="BL29">
        <f t="shared" si="38"/>
        <v>0</v>
      </c>
      <c r="BM29">
        <f t="shared" si="38"/>
        <v>0</v>
      </c>
      <c r="BN29">
        <f t="shared" si="38"/>
        <v>0</v>
      </c>
      <c r="BO29">
        <f t="shared" si="38"/>
        <v>0</v>
      </c>
      <c r="BP29">
        <f t="shared" si="38"/>
        <v>0</v>
      </c>
      <c r="BQ29">
        <f t="shared" si="38"/>
        <v>1.8042055470691814E-14</v>
      </c>
      <c r="BR29">
        <f t="shared" si="38"/>
        <v>0</v>
      </c>
      <c r="BS29">
        <f t="shared" si="38"/>
        <v>0</v>
      </c>
      <c r="BT29">
        <f t="shared" si="38"/>
        <v>0</v>
      </c>
      <c r="BU29">
        <f t="shared" si="38"/>
        <v>0</v>
      </c>
      <c r="BV29">
        <f t="shared" si="38"/>
        <v>0</v>
      </c>
      <c r="BW29">
        <f t="shared" si="38"/>
        <v>0</v>
      </c>
      <c r="BX29">
        <f t="shared" si="38"/>
        <v>0</v>
      </c>
      <c r="BY29">
        <f t="shared" si="38"/>
        <v>0</v>
      </c>
      <c r="BZ29">
        <f t="shared" si="38"/>
        <v>0</v>
      </c>
      <c r="CA29">
        <f t="shared" si="38"/>
        <v>0</v>
      </c>
      <c r="CB29">
        <f t="shared" si="38"/>
        <v>1.244722195125846</v>
      </c>
      <c r="CC29">
        <f t="shared" si="38"/>
        <v>0</v>
      </c>
      <c r="CD29">
        <f t="shared" si="38"/>
        <v>0.88051774591361953</v>
      </c>
      <c r="CE29">
        <f t="shared" si="38"/>
        <v>0</v>
      </c>
      <c r="CF29">
        <f t="shared" si="38"/>
        <v>0</v>
      </c>
      <c r="CG29">
        <f t="shared" si="38"/>
        <v>0</v>
      </c>
      <c r="CH29">
        <f t="shared" si="38"/>
        <v>0</v>
      </c>
      <c r="CI29">
        <f t="shared" si="38"/>
        <v>0</v>
      </c>
    </row>
    <row r="30" spans="2:87" x14ac:dyDescent="0.25">
      <c r="B30" t="s">
        <v>374</v>
      </c>
      <c r="C30">
        <v>51.113999999999997</v>
      </c>
      <c r="D30">
        <v>-114.02000000000001</v>
      </c>
      <c r="E30" t="s">
        <v>375</v>
      </c>
      <c r="F30" t="s">
        <v>304</v>
      </c>
      <c r="G30">
        <v>4783.6804000000002</v>
      </c>
      <c r="H30">
        <v>1853.5672999999999</v>
      </c>
      <c r="I30">
        <v>37284.256099999999</v>
      </c>
      <c r="J30">
        <v>0.25224000000000002</v>
      </c>
      <c r="K30">
        <v>1.3542000000000001</v>
      </c>
      <c r="L30">
        <v>1.8569</v>
      </c>
      <c r="M30">
        <v>0.81794</v>
      </c>
      <c r="N30">
        <v>4.1454000000000003E-4</v>
      </c>
      <c r="O30" s="139">
        <v>3.3270999999999999E-6</v>
      </c>
      <c r="P30">
        <v>2.5714999999999998E-2</v>
      </c>
      <c r="Q30">
        <v>13.3171</v>
      </c>
      <c r="R30">
        <v>9.5545999999999999E-3</v>
      </c>
      <c r="S30">
        <v>1098.972</v>
      </c>
      <c r="T30">
        <v>8.4110999999999995E-3</v>
      </c>
      <c r="U30">
        <v>1.9883999999999999</v>
      </c>
      <c r="V30">
        <v>2.6343999999999999</v>
      </c>
      <c r="W30">
        <v>1.831</v>
      </c>
      <c r="X30">
        <v>8.7106000000000006E-3</v>
      </c>
      <c r="Y30">
        <v>1.1105E-2</v>
      </c>
      <c r="Z30">
        <v>7.3550000000000004E-4</v>
      </c>
      <c r="AA30">
        <v>1.9855999999999999E-2</v>
      </c>
      <c r="AB30">
        <v>0.82047999999999999</v>
      </c>
      <c r="AC30">
        <v>1.244E-2</v>
      </c>
      <c r="AD30">
        <v>2.2545E-4</v>
      </c>
      <c r="AE30">
        <v>3.4245999999999999E-3</v>
      </c>
      <c r="AF30">
        <v>3.4816E-2</v>
      </c>
      <c r="AG30">
        <v>89.625699999999995</v>
      </c>
      <c r="AH30">
        <v>89.625699999999995</v>
      </c>
      <c r="AI30">
        <v>111.6776</v>
      </c>
      <c r="AJ30">
        <v>1.1006999999999999E-2</v>
      </c>
      <c r="AK30">
        <v>441.68079999999998</v>
      </c>
      <c r="AL30">
        <v>8.8555999999999996E-2</v>
      </c>
      <c r="AM30">
        <v>58.3949</v>
      </c>
      <c r="AN30">
        <v>0</v>
      </c>
      <c r="AO30">
        <v>11.7165</v>
      </c>
      <c r="AP30">
        <v>0.40286</v>
      </c>
      <c r="AQ30">
        <v>0.62368999999999997</v>
      </c>
      <c r="AR30">
        <v>2.0830000000000001E-2</v>
      </c>
      <c r="AS30">
        <v>-1.8332999999999999</v>
      </c>
      <c r="AT30">
        <v>-203.27070000000001</v>
      </c>
      <c r="AV30" s="130" t="s">
        <v>311</v>
      </c>
      <c r="AW30">
        <f t="shared" si="32"/>
        <v>404.19987576219944</v>
      </c>
      <c r="AX30" s="140">
        <f>AW30/C15*100</f>
        <v>12.04452209681515</v>
      </c>
      <c r="AY30">
        <f t="shared" ref="AY30:CI30" si="39">AY15*AY$20</f>
        <v>27.138807932765225</v>
      </c>
      <c r="AZ30">
        <f t="shared" si="39"/>
        <v>0.12822401877323644</v>
      </c>
      <c r="BA30">
        <f t="shared" si="39"/>
        <v>252.23640467735405</v>
      </c>
      <c r="BB30">
        <f t="shared" si="39"/>
        <v>73.26392890051288</v>
      </c>
      <c r="BC30">
        <f t="shared" si="39"/>
        <v>9.1609783249790994E-3</v>
      </c>
      <c r="BD30">
        <f t="shared" si="39"/>
        <v>0</v>
      </c>
      <c r="BE30">
        <f t="shared" si="39"/>
        <v>0</v>
      </c>
      <c r="BF30">
        <f t="shared" si="39"/>
        <v>7.835168840990872</v>
      </c>
      <c r="BG30">
        <f t="shared" si="39"/>
        <v>42.870781883420165</v>
      </c>
      <c r="BH30">
        <f t="shared" si="39"/>
        <v>0</v>
      </c>
      <c r="BI30">
        <f t="shared" si="39"/>
        <v>3.8646670155095408E-16</v>
      </c>
      <c r="BJ30">
        <f t="shared" si="39"/>
        <v>2.775560838811983E-17</v>
      </c>
      <c r="BK30">
        <f t="shared" si="39"/>
        <v>0</v>
      </c>
      <c r="BL30">
        <f t="shared" si="39"/>
        <v>6.9972941920567467E-14</v>
      </c>
      <c r="BM30">
        <f t="shared" si="39"/>
        <v>0</v>
      </c>
      <c r="BN30">
        <f t="shared" si="39"/>
        <v>1.6036589546545437E-16</v>
      </c>
      <c r="BO30">
        <f t="shared" si="39"/>
        <v>0</v>
      </c>
      <c r="BP30">
        <f t="shared" si="39"/>
        <v>6.8113886719875539E-16</v>
      </c>
      <c r="BQ30">
        <f t="shared" si="39"/>
        <v>0</v>
      </c>
      <c r="BR30">
        <f t="shared" si="39"/>
        <v>1.047326734102638E-15</v>
      </c>
      <c r="BS30">
        <f t="shared" si="39"/>
        <v>6.038470789721416E-18</v>
      </c>
      <c r="BT30">
        <f t="shared" si="39"/>
        <v>0</v>
      </c>
      <c r="BU30">
        <f t="shared" si="39"/>
        <v>1.4732036924658753E-15</v>
      </c>
      <c r="BV30">
        <f t="shared" si="39"/>
        <v>8.8817860110223947E-16</v>
      </c>
      <c r="BW30">
        <f t="shared" si="39"/>
        <v>8.8817860110223947E-16</v>
      </c>
      <c r="BX30">
        <f t="shared" si="39"/>
        <v>1.7763544255813299E-15</v>
      </c>
      <c r="BY30">
        <f t="shared" si="39"/>
        <v>2.0541087093426713E-16</v>
      </c>
      <c r="BZ30">
        <f t="shared" si="39"/>
        <v>5.6843421073751335E-14</v>
      </c>
      <c r="CA30">
        <f t="shared" si="39"/>
        <v>2.849227535304735E-15</v>
      </c>
      <c r="CB30">
        <f t="shared" si="39"/>
        <v>0.48981417557601853</v>
      </c>
      <c r="CC30">
        <f t="shared" si="39"/>
        <v>0</v>
      </c>
      <c r="CD30">
        <f t="shared" si="39"/>
        <v>0.22758435448181044</v>
      </c>
      <c r="CE30">
        <f t="shared" si="39"/>
        <v>0</v>
      </c>
      <c r="CF30">
        <f t="shared" si="39"/>
        <v>0</v>
      </c>
      <c r="CG30">
        <f t="shared" si="39"/>
        <v>1.2348656606463278E-15</v>
      </c>
      <c r="CH30">
        <f t="shared" si="39"/>
        <v>2.2204864217307043E-16</v>
      </c>
      <c r="CI30">
        <f t="shared" si="39"/>
        <v>0</v>
      </c>
    </row>
    <row r="31" spans="2:87" x14ac:dyDescent="0.25">
      <c r="B31" t="s">
        <v>376</v>
      </c>
      <c r="C31">
        <v>52.183</v>
      </c>
      <c r="D31">
        <v>-113.9</v>
      </c>
      <c r="E31" t="s">
        <v>377</v>
      </c>
      <c r="F31" t="s">
        <v>304</v>
      </c>
      <c r="G31">
        <v>4958.2280000000001</v>
      </c>
      <c r="H31">
        <v>1860.682</v>
      </c>
      <c r="I31">
        <v>40332.29</v>
      </c>
      <c r="J31">
        <v>0.26995999999999998</v>
      </c>
      <c r="K31">
        <v>0.42070000000000002</v>
      </c>
      <c r="L31">
        <v>2.0922000000000001</v>
      </c>
      <c r="M31">
        <v>0.79686000000000001</v>
      </c>
      <c r="N31">
        <v>1.5327E-4</v>
      </c>
      <c r="O31" s="139">
        <v>2.0174999999999999E-5</v>
      </c>
      <c r="P31">
        <v>6.4042000000000002E-2</v>
      </c>
      <c r="Q31">
        <v>23.4648</v>
      </c>
      <c r="R31">
        <v>1.7972999999999999E-2</v>
      </c>
      <c r="S31">
        <v>1098.972</v>
      </c>
      <c r="T31">
        <v>8.4110999999999995E-3</v>
      </c>
      <c r="U31">
        <v>1.9883999999999999</v>
      </c>
      <c r="V31">
        <v>2.6343999999999999</v>
      </c>
      <c r="W31">
        <v>1.831</v>
      </c>
      <c r="X31">
        <v>8.7106000000000006E-3</v>
      </c>
      <c r="Y31">
        <v>1.1105E-2</v>
      </c>
      <c r="Z31">
        <v>7.3550000000000004E-4</v>
      </c>
      <c r="AA31">
        <v>1.9855999999999999E-2</v>
      </c>
      <c r="AB31">
        <v>0.82047999999999999</v>
      </c>
      <c r="AC31">
        <v>1.244E-2</v>
      </c>
      <c r="AD31">
        <v>2.2545E-4</v>
      </c>
      <c r="AE31">
        <v>3.4245999999999999E-3</v>
      </c>
      <c r="AF31">
        <v>3.4816E-2</v>
      </c>
      <c r="AG31">
        <v>89.625699999999995</v>
      </c>
      <c r="AH31">
        <v>89.625699999999995</v>
      </c>
      <c r="AI31">
        <v>111.6776</v>
      </c>
      <c r="AJ31">
        <v>1.1006999999999999E-2</v>
      </c>
      <c r="AK31">
        <v>441.68079999999998</v>
      </c>
      <c r="AL31">
        <v>8.8555999999999996E-2</v>
      </c>
      <c r="AM31">
        <v>52.855699999999999</v>
      </c>
      <c r="AN31">
        <v>0</v>
      </c>
      <c r="AO31">
        <v>13.6814</v>
      </c>
      <c r="AP31">
        <v>0.40286</v>
      </c>
      <c r="AQ31">
        <v>0.62368999999999997</v>
      </c>
      <c r="AR31">
        <v>2.0830000000000001E-2</v>
      </c>
      <c r="AS31">
        <v>-1.8332999999999999</v>
      </c>
      <c r="AT31">
        <v>-203.27070000000001</v>
      </c>
      <c r="AV31" s="130" t="s">
        <v>312</v>
      </c>
      <c r="AW31">
        <f t="shared" si="32"/>
        <v>0</v>
      </c>
      <c r="AX31" s="140">
        <f>AW31/C16*100</f>
        <v>0</v>
      </c>
      <c r="AY31">
        <f t="shared" ref="AY31:CI31" si="40">AY16*AY$20</f>
        <v>0</v>
      </c>
      <c r="AZ31">
        <f t="shared" si="40"/>
        <v>0</v>
      </c>
      <c r="BA31">
        <f t="shared" si="40"/>
        <v>0</v>
      </c>
      <c r="BB31">
        <f t="shared" si="40"/>
        <v>0</v>
      </c>
      <c r="BC31">
        <f t="shared" si="40"/>
        <v>0</v>
      </c>
      <c r="BD31">
        <f t="shared" si="40"/>
        <v>0</v>
      </c>
      <c r="BE31">
        <f t="shared" si="40"/>
        <v>0</v>
      </c>
      <c r="BF31">
        <f t="shared" si="40"/>
        <v>0</v>
      </c>
      <c r="BG31">
        <f t="shared" si="40"/>
        <v>0</v>
      </c>
      <c r="BH31">
        <f t="shared" si="40"/>
        <v>0</v>
      </c>
      <c r="BI31">
        <f t="shared" si="40"/>
        <v>0</v>
      </c>
      <c r="BJ31">
        <f t="shared" si="40"/>
        <v>0</v>
      </c>
      <c r="BK31">
        <f t="shared" si="40"/>
        <v>0</v>
      </c>
      <c r="BL31">
        <f t="shared" si="40"/>
        <v>0</v>
      </c>
      <c r="BM31">
        <f t="shared" si="40"/>
        <v>0</v>
      </c>
      <c r="BN31">
        <f t="shared" si="40"/>
        <v>0</v>
      </c>
      <c r="BO31">
        <f t="shared" si="40"/>
        <v>0</v>
      </c>
      <c r="BP31">
        <f t="shared" si="40"/>
        <v>0</v>
      </c>
      <c r="BQ31">
        <f t="shared" si="40"/>
        <v>0</v>
      </c>
      <c r="BR31">
        <f t="shared" si="40"/>
        <v>0</v>
      </c>
      <c r="BS31">
        <f t="shared" si="40"/>
        <v>0</v>
      </c>
      <c r="BT31">
        <f t="shared" si="40"/>
        <v>0</v>
      </c>
      <c r="BU31">
        <f t="shared" si="40"/>
        <v>0</v>
      </c>
      <c r="BV31">
        <f t="shared" si="40"/>
        <v>0</v>
      </c>
      <c r="BW31">
        <f t="shared" si="40"/>
        <v>0</v>
      </c>
      <c r="BX31">
        <f t="shared" si="40"/>
        <v>0</v>
      </c>
      <c r="BY31">
        <f t="shared" si="40"/>
        <v>0</v>
      </c>
      <c r="BZ31">
        <f t="shared" si="40"/>
        <v>0</v>
      </c>
      <c r="CA31">
        <f t="shared" si="40"/>
        <v>0</v>
      </c>
      <c r="CB31">
        <f t="shared" si="40"/>
        <v>0</v>
      </c>
      <c r="CC31">
        <f t="shared" si="40"/>
        <v>0</v>
      </c>
      <c r="CD31">
        <f t="shared" si="40"/>
        <v>0</v>
      </c>
      <c r="CE31">
        <f t="shared" si="40"/>
        <v>0</v>
      </c>
      <c r="CF31">
        <f t="shared" si="40"/>
        <v>0</v>
      </c>
      <c r="CG31">
        <f t="shared" si="40"/>
        <v>0</v>
      </c>
      <c r="CH31">
        <f t="shared" si="40"/>
        <v>0</v>
      </c>
      <c r="CI31">
        <f t="shared" si="40"/>
        <v>0</v>
      </c>
    </row>
    <row r="32" spans="2:87" x14ac:dyDescent="0.25">
      <c r="B32" t="s">
        <v>378</v>
      </c>
      <c r="C32">
        <v>53.579000000000001</v>
      </c>
      <c r="D32">
        <v>-116.465</v>
      </c>
      <c r="E32" t="s">
        <v>379</v>
      </c>
      <c r="F32" t="s">
        <v>304</v>
      </c>
      <c r="G32">
        <v>4961.3780999999999</v>
      </c>
      <c r="H32">
        <v>1849.4963</v>
      </c>
      <c r="I32">
        <v>40550.282599999999</v>
      </c>
      <c r="J32">
        <v>0.28622999999999998</v>
      </c>
      <c r="K32">
        <v>0.49081999999999998</v>
      </c>
      <c r="L32">
        <v>2.0924</v>
      </c>
      <c r="M32">
        <v>0.80542999999999998</v>
      </c>
      <c r="N32">
        <v>2.196E-4</v>
      </c>
      <c r="O32" s="139">
        <v>1.9967999999999999E-5</v>
      </c>
      <c r="P32">
        <v>4.3900000000000002E-2</v>
      </c>
      <c r="Q32">
        <v>13.400499999999999</v>
      </c>
      <c r="R32">
        <v>1.0106E-2</v>
      </c>
      <c r="S32">
        <v>1098.972</v>
      </c>
      <c r="T32">
        <v>8.4110999999999995E-3</v>
      </c>
      <c r="U32">
        <v>1.9883999999999999</v>
      </c>
      <c r="V32">
        <v>2.6343999999999999</v>
      </c>
      <c r="W32">
        <v>1.831</v>
      </c>
      <c r="X32">
        <v>8.7106000000000006E-3</v>
      </c>
      <c r="Y32">
        <v>1.1105E-2</v>
      </c>
      <c r="Z32">
        <v>7.3550000000000004E-4</v>
      </c>
      <c r="AA32">
        <v>1.9855999999999999E-2</v>
      </c>
      <c r="AB32">
        <v>0.82047999999999999</v>
      </c>
      <c r="AC32">
        <v>1.244E-2</v>
      </c>
      <c r="AD32">
        <v>2.2545E-4</v>
      </c>
      <c r="AE32">
        <v>3.4245999999999999E-3</v>
      </c>
      <c r="AF32">
        <v>3.4816E-2</v>
      </c>
      <c r="AG32">
        <v>89.625699999999995</v>
      </c>
      <c r="AH32">
        <v>89.625699999999995</v>
      </c>
      <c r="AI32">
        <v>111.6776</v>
      </c>
      <c r="AJ32">
        <v>1.1006999999999999E-2</v>
      </c>
      <c r="AK32">
        <v>441.68079999999998</v>
      </c>
      <c r="AL32">
        <v>8.8555999999999996E-2</v>
      </c>
      <c r="AM32">
        <v>53.369599999999998</v>
      </c>
      <c r="AN32">
        <v>0</v>
      </c>
      <c r="AO32">
        <v>14.2545</v>
      </c>
      <c r="AP32">
        <v>0.40286</v>
      </c>
      <c r="AQ32">
        <v>0.62368999999999997</v>
      </c>
      <c r="AR32">
        <v>2.0830000000000001E-2</v>
      </c>
      <c r="AS32">
        <v>-1.8332999999999999</v>
      </c>
      <c r="AT32">
        <v>-203.27070000000001</v>
      </c>
      <c r="AV32" s="130" t="s">
        <v>313</v>
      </c>
      <c r="AW32">
        <f t="shared" si="32"/>
        <v>414.23811403095704</v>
      </c>
      <c r="AX32" s="140">
        <f>AW32/C17*100</f>
        <v>11.833108674461682</v>
      </c>
      <c r="AY32">
        <f t="shared" ref="AY32:CI32" si="41">AY17*AY$20</f>
        <v>22.993431751831899</v>
      </c>
      <c r="AZ32">
        <f t="shared" si="41"/>
        <v>2.0269037555090953E-2</v>
      </c>
      <c r="BA32">
        <f t="shared" si="41"/>
        <v>279.35443733674947</v>
      </c>
      <c r="BB32">
        <f t="shared" si="41"/>
        <v>73.925564987603607</v>
      </c>
      <c r="BC32">
        <f t="shared" si="41"/>
        <v>2.672639949967166E-2</v>
      </c>
      <c r="BD32">
        <f t="shared" si="41"/>
        <v>7.893644747894356E-4</v>
      </c>
      <c r="BE32">
        <f t="shared" si="41"/>
        <v>1.5927502912980762E-4</v>
      </c>
      <c r="BF32">
        <f t="shared" si="41"/>
        <v>1.3272091451926098</v>
      </c>
      <c r="BG32">
        <f t="shared" si="41"/>
        <v>36.42073523021034</v>
      </c>
      <c r="BH32">
        <f t="shared" si="41"/>
        <v>3.5527133780615308E-15</v>
      </c>
      <c r="BI32">
        <f t="shared" si="41"/>
        <v>3.8646670155095408E-16</v>
      </c>
      <c r="BJ32">
        <f t="shared" si="41"/>
        <v>6.9389020970299575E-18</v>
      </c>
      <c r="BK32">
        <f t="shared" si="41"/>
        <v>0</v>
      </c>
      <c r="BL32">
        <f t="shared" si="41"/>
        <v>6.9972941920567467E-14</v>
      </c>
      <c r="BM32">
        <f t="shared" si="41"/>
        <v>0</v>
      </c>
      <c r="BN32">
        <f t="shared" si="41"/>
        <v>1.6036589546545437E-16</v>
      </c>
      <c r="BO32">
        <f t="shared" si="41"/>
        <v>0</v>
      </c>
      <c r="BP32">
        <f t="shared" si="41"/>
        <v>6.8113886719875539E-16</v>
      </c>
      <c r="BQ32">
        <f t="shared" si="41"/>
        <v>0</v>
      </c>
      <c r="BR32">
        <f t="shared" si="41"/>
        <v>1.047326734102638E-15</v>
      </c>
      <c r="BS32">
        <f t="shared" si="41"/>
        <v>6.038470789721416E-18</v>
      </c>
      <c r="BT32">
        <f t="shared" si="41"/>
        <v>0</v>
      </c>
      <c r="BU32">
        <f t="shared" si="41"/>
        <v>1.4732036924658753E-15</v>
      </c>
      <c r="BV32">
        <f t="shared" si="41"/>
        <v>2.2204465027555987E-16</v>
      </c>
      <c r="BW32">
        <f t="shared" si="41"/>
        <v>2.2204465027555987E-16</v>
      </c>
      <c r="BX32">
        <f t="shared" si="41"/>
        <v>0</v>
      </c>
      <c r="BY32">
        <f t="shared" si="41"/>
        <v>2.0541087093426713E-16</v>
      </c>
      <c r="BZ32">
        <f t="shared" si="41"/>
        <v>5.6843421073751335E-14</v>
      </c>
      <c r="CA32">
        <f t="shared" si="41"/>
        <v>2.849227535304735E-15</v>
      </c>
      <c r="CB32">
        <f t="shared" si="41"/>
        <v>0.11809439777684939</v>
      </c>
      <c r="CC32">
        <f t="shared" si="41"/>
        <v>0</v>
      </c>
      <c r="CD32">
        <f t="shared" si="41"/>
        <v>5.069710503348622E-2</v>
      </c>
      <c r="CE32">
        <f t="shared" si="41"/>
        <v>0</v>
      </c>
      <c r="CF32">
        <f t="shared" si="41"/>
        <v>0</v>
      </c>
      <c r="CG32">
        <f t="shared" si="41"/>
        <v>1.2348656606463278E-15</v>
      </c>
      <c r="CH32">
        <f t="shared" si="41"/>
        <v>2.2204864217307043E-16</v>
      </c>
      <c r="CI32">
        <f t="shared" si="41"/>
        <v>0</v>
      </c>
    </row>
    <row r="33" spans="2:87" x14ac:dyDescent="0.25">
      <c r="B33" t="s">
        <v>380</v>
      </c>
      <c r="C33">
        <v>55.18</v>
      </c>
      <c r="D33">
        <v>-118.88499999999999</v>
      </c>
      <c r="E33" t="s">
        <v>381</v>
      </c>
      <c r="F33" t="s">
        <v>304</v>
      </c>
      <c r="G33">
        <v>4996.1656000000003</v>
      </c>
      <c r="H33">
        <v>1850.9423999999999</v>
      </c>
      <c r="I33">
        <v>41157.354800000001</v>
      </c>
      <c r="J33">
        <v>0.24851000000000001</v>
      </c>
      <c r="K33">
        <v>0.64163000000000003</v>
      </c>
      <c r="L33">
        <v>2.1674000000000002</v>
      </c>
      <c r="M33">
        <v>0.81442999999999999</v>
      </c>
      <c r="N33">
        <v>1.6265999999999999E-4</v>
      </c>
      <c r="O33" s="139">
        <v>2.8795000000000001E-5</v>
      </c>
      <c r="P33">
        <v>7.8131999999999993E-2</v>
      </c>
      <c r="Q33">
        <v>15.7959</v>
      </c>
      <c r="R33">
        <v>1.1613999999999999E-2</v>
      </c>
      <c r="S33">
        <v>1098.972</v>
      </c>
      <c r="T33">
        <v>8.4110999999999995E-3</v>
      </c>
      <c r="U33">
        <v>1.9883999999999999</v>
      </c>
      <c r="V33">
        <v>2.6343999999999999</v>
      </c>
      <c r="W33">
        <v>1.831</v>
      </c>
      <c r="X33">
        <v>8.7106000000000006E-3</v>
      </c>
      <c r="Y33">
        <v>1.1105E-2</v>
      </c>
      <c r="Z33">
        <v>7.3550000000000004E-4</v>
      </c>
      <c r="AA33">
        <v>1.9855999999999999E-2</v>
      </c>
      <c r="AB33">
        <v>0.82047999999999999</v>
      </c>
      <c r="AC33">
        <v>1.244E-2</v>
      </c>
      <c r="AD33">
        <v>2.2545E-4</v>
      </c>
      <c r="AE33">
        <v>3.4245999999999999E-3</v>
      </c>
      <c r="AF33">
        <v>3.4816E-2</v>
      </c>
      <c r="AG33">
        <v>89.625699999999995</v>
      </c>
      <c r="AH33">
        <v>89.625699999999995</v>
      </c>
      <c r="AI33">
        <v>111.6776</v>
      </c>
      <c r="AJ33">
        <v>1.1006999999999999E-2</v>
      </c>
      <c r="AK33">
        <v>441.68079999999998</v>
      </c>
      <c r="AL33">
        <v>8.8555999999999996E-2</v>
      </c>
      <c r="AM33">
        <v>51.886200000000002</v>
      </c>
      <c r="AN33">
        <v>0</v>
      </c>
      <c r="AO33">
        <v>14.3116</v>
      </c>
      <c r="AP33">
        <v>0.40286</v>
      </c>
      <c r="AQ33">
        <v>0.62368999999999997</v>
      </c>
      <c r="AR33">
        <v>2.0830000000000001E-2</v>
      </c>
      <c r="AS33">
        <v>-1.8332999999999999</v>
      </c>
      <c r="AT33">
        <v>-203.27070000000001</v>
      </c>
      <c r="AV33" s="130" t="s">
        <v>314</v>
      </c>
      <c r="AW33">
        <f t="shared" si="32"/>
        <v>141.92926361702828</v>
      </c>
      <c r="AX33" s="140">
        <f>AW33/C18*100</f>
        <v>2.8738857629529839</v>
      </c>
      <c r="AY33">
        <f t="shared" ref="AY33:CI33" si="42">AY18*AY$20</f>
        <v>12.534692432751497</v>
      </c>
      <c r="AZ33">
        <f t="shared" si="42"/>
        <v>0.90872846865928147</v>
      </c>
      <c r="BA33">
        <f t="shared" si="42"/>
        <v>79.104171877684422</v>
      </c>
      <c r="BB33">
        <f t="shared" si="42"/>
        <v>17.793058121921579</v>
      </c>
      <c r="BC33">
        <f t="shared" si="42"/>
        <v>0.11432271468000661</v>
      </c>
      <c r="BD33">
        <f t="shared" si="42"/>
        <v>1.1631161158154438E-2</v>
      </c>
      <c r="BE33">
        <f t="shared" si="42"/>
        <v>6.9763587664433663E-2</v>
      </c>
      <c r="BF33">
        <f t="shared" si="42"/>
        <v>16.990860655260317</v>
      </c>
      <c r="BG33">
        <f t="shared" si="42"/>
        <v>11.786258633743985</v>
      </c>
      <c r="BH33">
        <f t="shared" si="42"/>
        <v>1.1368682809796899E-13</v>
      </c>
      <c r="BI33">
        <f t="shared" si="42"/>
        <v>0</v>
      </c>
      <c r="BJ33">
        <f t="shared" si="42"/>
        <v>0</v>
      </c>
      <c r="BK33">
        <f t="shared" si="42"/>
        <v>0</v>
      </c>
      <c r="BL33">
        <f t="shared" si="42"/>
        <v>0</v>
      </c>
      <c r="BM33">
        <f t="shared" si="42"/>
        <v>0</v>
      </c>
      <c r="BN33">
        <f t="shared" si="42"/>
        <v>0</v>
      </c>
      <c r="BO33">
        <f t="shared" si="42"/>
        <v>0</v>
      </c>
      <c r="BP33">
        <f t="shared" si="42"/>
        <v>0</v>
      </c>
      <c r="BQ33">
        <f t="shared" si="42"/>
        <v>1.8042055470691814E-14</v>
      </c>
      <c r="BR33">
        <f t="shared" si="42"/>
        <v>0</v>
      </c>
      <c r="BS33">
        <f t="shared" si="42"/>
        <v>0</v>
      </c>
      <c r="BT33">
        <f t="shared" si="42"/>
        <v>0</v>
      </c>
      <c r="BU33">
        <f t="shared" si="42"/>
        <v>0</v>
      </c>
      <c r="BV33">
        <f t="shared" si="42"/>
        <v>0</v>
      </c>
      <c r="BW33">
        <f t="shared" si="42"/>
        <v>0</v>
      </c>
      <c r="BX33">
        <f t="shared" si="42"/>
        <v>0</v>
      </c>
      <c r="BY33">
        <f t="shared" si="42"/>
        <v>0</v>
      </c>
      <c r="BZ33">
        <f t="shared" si="42"/>
        <v>0</v>
      </c>
      <c r="CA33">
        <f t="shared" si="42"/>
        <v>0</v>
      </c>
      <c r="CB33">
        <f t="shared" si="42"/>
        <v>1.8612346294418645</v>
      </c>
      <c r="CC33">
        <f t="shared" si="42"/>
        <v>0</v>
      </c>
      <c r="CD33">
        <f t="shared" si="42"/>
        <v>0.75454133406260104</v>
      </c>
      <c r="CE33">
        <f t="shared" si="42"/>
        <v>0</v>
      </c>
      <c r="CF33">
        <f t="shared" si="42"/>
        <v>0</v>
      </c>
      <c r="CG33">
        <f t="shared" si="42"/>
        <v>0</v>
      </c>
      <c r="CH33">
        <f t="shared" si="42"/>
        <v>0</v>
      </c>
      <c r="CI33">
        <f t="shared" si="42"/>
        <v>0</v>
      </c>
    </row>
    <row r="34" spans="2:87" ht="15.75" thickBot="1" x14ac:dyDescent="0.3">
      <c r="B34" t="s">
        <v>382</v>
      </c>
      <c r="C34">
        <v>53.25</v>
      </c>
      <c r="D34">
        <v>-131.81700000000001</v>
      </c>
      <c r="E34" t="s">
        <v>383</v>
      </c>
      <c r="F34" t="s">
        <v>303</v>
      </c>
      <c r="G34">
        <v>2756.3002000000001</v>
      </c>
      <c r="H34">
        <v>1895.8635999999999</v>
      </c>
      <c r="I34">
        <v>25258.2333</v>
      </c>
      <c r="J34">
        <v>0.44641999999999998</v>
      </c>
      <c r="K34">
        <v>0</v>
      </c>
      <c r="L34">
        <v>1.1589</v>
      </c>
      <c r="M34">
        <v>0.33166000000000001</v>
      </c>
      <c r="N34">
        <v>0</v>
      </c>
      <c r="O34">
        <v>0</v>
      </c>
      <c r="P34">
        <v>0</v>
      </c>
      <c r="Q34">
        <v>3.8</v>
      </c>
      <c r="R34">
        <v>5.2722999999999999E-2</v>
      </c>
      <c r="S34">
        <v>85.868799999999993</v>
      </c>
      <c r="T34">
        <v>8.4110999999999995E-3</v>
      </c>
      <c r="U34">
        <v>0.15536</v>
      </c>
      <c r="V34">
        <v>0.20584</v>
      </c>
      <c r="W34">
        <v>1.831</v>
      </c>
      <c r="X34">
        <v>8.7106000000000006E-3</v>
      </c>
      <c r="Y34">
        <v>1.1105E-2</v>
      </c>
      <c r="Z34">
        <v>7.3550000000000004E-4</v>
      </c>
      <c r="AA34">
        <v>1.9855999999999999E-2</v>
      </c>
      <c r="AB34">
        <v>0.82047999999999999</v>
      </c>
      <c r="AC34">
        <v>1.244E-2</v>
      </c>
      <c r="AD34">
        <v>2.2545E-4</v>
      </c>
      <c r="AE34">
        <v>3.4245999999999999E-3</v>
      </c>
      <c r="AF34">
        <v>3.4816E-2</v>
      </c>
      <c r="AG34">
        <v>7.0030000000000001</v>
      </c>
      <c r="AH34">
        <v>7.0030000000000001</v>
      </c>
      <c r="AI34">
        <v>8.7260000000000009</v>
      </c>
      <c r="AJ34">
        <v>1.1006999999999999E-2</v>
      </c>
      <c r="AK34">
        <v>441.68079999999998</v>
      </c>
      <c r="AL34">
        <v>8.8555999999999996E-2</v>
      </c>
      <c r="AM34">
        <v>4.9791999999999996</v>
      </c>
      <c r="AN34">
        <v>0</v>
      </c>
      <c r="AO34">
        <v>0.48487999999999998</v>
      </c>
      <c r="AP34">
        <v>0.40286</v>
      </c>
      <c r="AQ34">
        <v>0.62368999999999997</v>
      </c>
      <c r="AR34">
        <v>2.0830000000000001E-2</v>
      </c>
      <c r="AS34">
        <v>-1.8332999999999999</v>
      </c>
      <c r="AT34">
        <v>-203.27070000000001</v>
      </c>
      <c r="AV34" s="132" t="s">
        <v>315</v>
      </c>
      <c r="AW34" s="27">
        <f t="shared" si="32"/>
        <v>100.54704208345846</v>
      </c>
      <c r="AX34" s="153">
        <f>AW34/C19*100</f>
        <v>2.286565470960082</v>
      </c>
      <c r="AY34">
        <f t="shared" ref="AY34:CI34" si="43">AY19*AY$20</f>
        <v>3.2032020380851423</v>
      </c>
      <c r="AZ34">
        <f t="shared" si="43"/>
        <v>4.1445975776078163E-2</v>
      </c>
      <c r="BA34">
        <f t="shared" si="43"/>
        <v>88.581118461928313</v>
      </c>
      <c r="BB34">
        <f t="shared" si="43"/>
        <v>5.086390599704381</v>
      </c>
      <c r="BC34">
        <f t="shared" si="43"/>
        <v>2.4773467139239783E-2</v>
      </c>
      <c r="BD34">
        <f t="shared" si="43"/>
        <v>7.807589725513933E-3</v>
      </c>
      <c r="BE34">
        <f t="shared" si="43"/>
        <v>9.0347927598374254E-3</v>
      </c>
      <c r="BF34">
        <f t="shared" si="43"/>
        <v>0.65597140766753159</v>
      </c>
      <c r="BG34">
        <f t="shared" si="43"/>
        <v>2.0098069864030821</v>
      </c>
      <c r="BH34">
        <f t="shared" si="43"/>
        <v>2.8421707024492246E-14</v>
      </c>
      <c r="BI34">
        <f t="shared" si="43"/>
        <v>0</v>
      </c>
      <c r="BJ34">
        <f t="shared" si="43"/>
        <v>5.551121677623966E-17</v>
      </c>
      <c r="BK34">
        <f t="shared" si="43"/>
        <v>5.5510923203714897E-17</v>
      </c>
      <c r="BL34">
        <f t="shared" si="43"/>
        <v>6.9972941920567467E-14</v>
      </c>
      <c r="BM34">
        <f t="shared" si="43"/>
        <v>0</v>
      </c>
      <c r="BN34">
        <f t="shared" si="43"/>
        <v>1.6036589546545437E-16</v>
      </c>
      <c r="BO34">
        <f t="shared" si="43"/>
        <v>0</v>
      </c>
      <c r="BP34">
        <f t="shared" si="43"/>
        <v>0</v>
      </c>
      <c r="BQ34">
        <f t="shared" si="43"/>
        <v>0</v>
      </c>
      <c r="BR34">
        <f t="shared" si="43"/>
        <v>0</v>
      </c>
      <c r="BS34">
        <f t="shared" si="43"/>
        <v>0</v>
      </c>
      <c r="BT34">
        <f t="shared" si="43"/>
        <v>0</v>
      </c>
      <c r="BU34">
        <f t="shared" si="43"/>
        <v>0</v>
      </c>
      <c r="BV34">
        <f t="shared" si="43"/>
        <v>0</v>
      </c>
      <c r="BW34">
        <f t="shared" si="43"/>
        <v>0</v>
      </c>
      <c r="BX34">
        <f t="shared" si="43"/>
        <v>0</v>
      </c>
      <c r="BY34">
        <f t="shared" si="43"/>
        <v>2.0541087093426713E-16</v>
      </c>
      <c r="BZ34">
        <f t="shared" si="43"/>
        <v>5.6843421073751335E-14</v>
      </c>
      <c r="CA34">
        <f t="shared" si="43"/>
        <v>2.849227535304735E-15</v>
      </c>
      <c r="CB34">
        <f t="shared" si="43"/>
        <v>0.76232927141343887</v>
      </c>
      <c r="CC34">
        <f t="shared" si="43"/>
        <v>0</v>
      </c>
      <c r="CD34">
        <f t="shared" si="43"/>
        <v>0.16516149285574164</v>
      </c>
      <c r="CE34">
        <f t="shared" si="43"/>
        <v>0</v>
      </c>
      <c r="CF34">
        <f t="shared" si="43"/>
        <v>0</v>
      </c>
      <c r="CG34">
        <f t="shared" si="43"/>
        <v>0</v>
      </c>
      <c r="CH34">
        <f t="shared" si="43"/>
        <v>2.2204864217307043E-16</v>
      </c>
      <c r="CI34">
        <f t="shared" si="43"/>
        <v>0</v>
      </c>
    </row>
    <row r="35" spans="2:87" x14ac:dyDescent="0.25">
      <c r="B35" t="s">
        <v>384</v>
      </c>
      <c r="C35">
        <v>53.026000000000003</v>
      </c>
      <c r="D35">
        <v>-122.50999999999999</v>
      </c>
      <c r="E35" t="s">
        <v>385</v>
      </c>
      <c r="F35" t="s">
        <v>303</v>
      </c>
      <c r="G35">
        <v>3284.2793999999999</v>
      </c>
      <c r="H35">
        <v>1857.6088</v>
      </c>
      <c r="I35">
        <v>34831.137499999997</v>
      </c>
      <c r="J35">
        <v>0.33700999999999998</v>
      </c>
      <c r="K35">
        <v>0.19786000000000001</v>
      </c>
      <c r="L35">
        <v>1.7257</v>
      </c>
      <c r="M35">
        <v>0.66847999999999996</v>
      </c>
      <c r="N35">
        <v>4.2939999999999997E-4</v>
      </c>
      <c r="O35" s="139">
        <v>4.9320999999999998E-5</v>
      </c>
      <c r="P35">
        <v>1.9474999999999999E-2</v>
      </c>
      <c r="Q35">
        <v>1.2375</v>
      </c>
      <c r="R35">
        <v>1.2141000000000001E-2</v>
      </c>
      <c r="S35">
        <v>85.868799999999993</v>
      </c>
      <c r="T35">
        <v>8.4110999999999995E-3</v>
      </c>
      <c r="U35">
        <v>0.15536</v>
      </c>
      <c r="V35">
        <v>0.20584</v>
      </c>
      <c r="W35">
        <v>1.831</v>
      </c>
      <c r="X35">
        <v>8.7106000000000006E-3</v>
      </c>
      <c r="Y35">
        <v>1.1105E-2</v>
      </c>
      <c r="Z35">
        <v>7.3550000000000004E-4</v>
      </c>
      <c r="AA35">
        <v>1.9855999999999999E-2</v>
      </c>
      <c r="AB35">
        <v>0.82047999999999999</v>
      </c>
      <c r="AC35">
        <v>1.244E-2</v>
      </c>
      <c r="AD35">
        <v>2.2545E-4</v>
      </c>
      <c r="AE35">
        <v>3.4245999999999999E-3</v>
      </c>
      <c r="AF35">
        <v>3.4816E-2</v>
      </c>
      <c r="AG35">
        <v>7.0030000000000001</v>
      </c>
      <c r="AH35">
        <v>7.0030000000000001</v>
      </c>
      <c r="AI35">
        <v>8.7260000000000009</v>
      </c>
      <c r="AJ35">
        <v>1.1006999999999999E-2</v>
      </c>
      <c r="AK35">
        <v>441.68079999999998</v>
      </c>
      <c r="AL35">
        <v>8.8555999999999996E-2</v>
      </c>
      <c r="AM35">
        <v>4.625</v>
      </c>
      <c r="AN35">
        <v>0</v>
      </c>
      <c r="AO35">
        <v>0.79876999999999998</v>
      </c>
      <c r="AP35">
        <v>0.40286</v>
      </c>
      <c r="AQ35">
        <v>0.62368999999999997</v>
      </c>
      <c r="AR35">
        <v>2.0830000000000001E-2</v>
      </c>
      <c r="AS35">
        <v>-1.8332999999999999</v>
      </c>
      <c r="AT35">
        <v>-203.27070000000001</v>
      </c>
    </row>
    <row r="36" spans="2:87" x14ac:dyDescent="0.25">
      <c r="B36" t="s">
        <v>386</v>
      </c>
      <c r="C36">
        <v>52.183</v>
      </c>
      <c r="D36">
        <v>-122.054</v>
      </c>
      <c r="E36" t="s">
        <v>387</v>
      </c>
      <c r="F36" t="s">
        <v>303</v>
      </c>
      <c r="G36">
        <v>3385.63</v>
      </c>
      <c r="H36">
        <v>1843.0432000000001</v>
      </c>
      <c r="I36">
        <v>36676.876100000001</v>
      </c>
      <c r="J36">
        <v>0.29300999999999999</v>
      </c>
      <c r="K36">
        <v>0.17343</v>
      </c>
      <c r="L36">
        <v>1.8231999999999999</v>
      </c>
      <c r="M36">
        <v>0.76939000000000002</v>
      </c>
      <c r="N36">
        <v>8.2333999999999999E-4</v>
      </c>
      <c r="O36" s="139">
        <v>6.5920000000000006E-5</v>
      </c>
      <c r="P36">
        <v>3.8046999999999997E-2</v>
      </c>
      <c r="Q36">
        <v>0.26834999999999998</v>
      </c>
      <c r="R36">
        <v>2.7396E-3</v>
      </c>
      <c r="S36">
        <v>85.868799999999993</v>
      </c>
      <c r="T36">
        <v>8.4110999999999995E-3</v>
      </c>
      <c r="U36">
        <v>0.15536</v>
      </c>
      <c r="V36">
        <v>0.20584</v>
      </c>
      <c r="W36">
        <v>1.831</v>
      </c>
      <c r="X36">
        <v>8.7106000000000006E-3</v>
      </c>
      <c r="Y36">
        <v>1.1105E-2</v>
      </c>
      <c r="Z36">
        <v>7.3550000000000004E-4</v>
      </c>
      <c r="AA36">
        <v>1.9855999999999999E-2</v>
      </c>
      <c r="AB36">
        <v>0.82047999999999999</v>
      </c>
      <c r="AC36">
        <v>1.244E-2</v>
      </c>
      <c r="AD36">
        <v>2.2545E-4</v>
      </c>
      <c r="AE36">
        <v>3.4245999999999999E-3</v>
      </c>
      <c r="AF36">
        <v>3.4816E-2</v>
      </c>
      <c r="AG36">
        <v>7.0030000000000001</v>
      </c>
      <c r="AH36">
        <v>7.0030000000000001</v>
      </c>
      <c r="AI36">
        <v>8.7260000000000009</v>
      </c>
      <c r="AJ36">
        <v>1.1006999999999999E-2</v>
      </c>
      <c r="AK36">
        <v>441.68079999999998</v>
      </c>
      <c r="AL36">
        <v>8.8555999999999996E-2</v>
      </c>
      <c r="AM36">
        <v>4.6035000000000004</v>
      </c>
      <c r="AN36">
        <v>0</v>
      </c>
      <c r="AO36">
        <v>0.88697000000000004</v>
      </c>
      <c r="AP36">
        <v>0.40286</v>
      </c>
      <c r="AQ36">
        <v>0.62368999999999997</v>
      </c>
      <c r="AR36">
        <v>2.0830000000000001E-2</v>
      </c>
      <c r="AS36">
        <v>-1.8332999999999999</v>
      </c>
      <c r="AT36">
        <v>-203.27070000000001</v>
      </c>
    </row>
    <row r="37" spans="2:87" x14ac:dyDescent="0.25">
      <c r="B37" t="s">
        <v>388</v>
      </c>
      <c r="C37">
        <v>49.024999999999999</v>
      </c>
      <c r="D37">
        <v>-122.363</v>
      </c>
      <c r="E37" t="s">
        <v>389</v>
      </c>
      <c r="F37" t="s">
        <v>303</v>
      </c>
      <c r="G37">
        <v>2678.6631000000002</v>
      </c>
      <c r="H37">
        <v>1967.0365999999999</v>
      </c>
      <c r="I37">
        <v>23776.800899999998</v>
      </c>
      <c r="J37">
        <v>0.36462</v>
      </c>
      <c r="K37">
        <v>0.12745999999999999</v>
      </c>
      <c r="L37">
        <v>1.0736000000000001</v>
      </c>
      <c r="M37">
        <v>0.34405999999999998</v>
      </c>
      <c r="N37">
        <v>0</v>
      </c>
      <c r="O37">
        <v>0</v>
      </c>
      <c r="P37">
        <v>0</v>
      </c>
      <c r="Q37">
        <v>8.1008999999999993</v>
      </c>
      <c r="R37">
        <v>9.0740000000000001E-2</v>
      </c>
      <c r="S37">
        <v>85.868799999999993</v>
      </c>
      <c r="T37">
        <v>8.4110999999999995E-3</v>
      </c>
      <c r="U37">
        <v>0.15536</v>
      </c>
      <c r="V37">
        <v>0.20584</v>
      </c>
      <c r="W37">
        <v>1.831</v>
      </c>
      <c r="X37">
        <v>8.7106000000000006E-3</v>
      </c>
      <c r="Y37">
        <v>1.1105E-2</v>
      </c>
      <c r="Z37">
        <v>7.3550000000000004E-4</v>
      </c>
      <c r="AA37">
        <v>1.9855999999999999E-2</v>
      </c>
      <c r="AB37">
        <v>0.82047999999999999</v>
      </c>
      <c r="AC37">
        <v>1.244E-2</v>
      </c>
      <c r="AD37">
        <v>2.2545E-4</v>
      </c>
      <c r="AE37">
        <v>3.4245999999999999E-3</v>
      </c>
      <c r="AF37">
        <v>3.4816E-2</v>
      </c>
      <c r="AG37">
        <v>7.0030000000000001</v>
      </c>
      <c r="AH37">
        <v>7.0030000000000001</v>
      </c>
      <c r="AI37">
        <v>8.7260000000000009</v>
      </c>
      <c r="AJ37">
        <v>1.1006999999999999E-2</v>
      </c>
      <c r="AK37">
        <v>441.68079999999998</v>
      </c>
      <c r="AL37">
        <v>8.8555999999999996E-2</v>
      </c>
      <c r="AM37">
        <v>5.0471000000000004</v>
      </c>
      <c r="AN37">
        <v>0</v>
      </c>
      <c r="AO37">
        <v>0.42703999999999998</v>
      </c>
      <c r="AP37">
        <v>0.40286</v>
      </c>
      <c r="AQ37">
        <v>0.62368999999999997</v>
      </c>
      <c r="AR37">
        <v>2.0830000000000001E-2</v>
      </c>
      <c r="AS37">
        <v>-1.8332999999999999</v>
      </c>
      <c r="AT37">
        <v>-203.27070000000001</v>
      </c>
    </row>
    <row r="38" spans="2:87" x14ac:dyDescent="0.25">
      <c r="B38" t="s">
        <v>390</v>
      </c>
      <c r="C38">
        <v>50.680999999999997</v>
      </c>
      <c r="D38">
        <v>-127.36699999999999</v>
      </c>
      <c r="E38" t="s">
        <v>391</v>
      </c>
      <c r="F38" t="s">
        <v>303</v>
      </c>
      <c r="G38">
        <v>2796.1280000000002</v>
      </c>
      <c r="H38">
        <v>1878.8851</v>
      </c>
      <c r="I38">
        <v>25996.222399999999</v>
      </c>
      <c r="J38">
        <v>0.44861000000000001</v>
      </c>
      <c r="K38">
        <v>0</v>
      </c>
      <c r="L38">
        <v>1.2175</v>
      </c>
      <c r="M38">
        <v>0.34589999999999999</v>
      </c>
      <c r="N38">
        <v>0</v>
      </c>
      <c r="O38">
        <v>0</v>
      </c>
      <c r="P38">
        <v>0</v>
      </c>
      <c r="Q38">
        <v>2.7334999999999998</v>
      </c>
      <c r="R38">
        <v>3.5897999999999999E-2</v>
      </c>
      <c r="S38">
        <v>85.868799999999993</v>
      </c>
      <c r="T38">
        <v>8.4110999999999995E-3</v>
      </c>
      <c r="U38">
        <v>0.15536</v>
      </c>
      <c r="V38">
        <v>0.20584</v>
      </c>
      <c r="W38">
        <v>1.831</v>
      </c>
      <c r="X38">
        <v>8.7106000000000006E-3</v>
      </c>
      <c r="Y38">
        <v>1.1105E-2</v>
      </c>
      <c r="Z38">
        <v>7.3550000000000004E-4</v>
      </c>
      <c r="AA38">
        <v>1.9855999999999999E-2</v>
      </c>
      <c r="AB38">
        <v>0.82047999999999999</v>
      </c>
      <c r="AC38">
        <v>1.244E-2</v>
      </c>
      <c r="AD38">
        <v>2.2545E-4</v>
      </c>
      <c r="AE38">
        <v>3.4245999999999999E-3</v>
      </c>
      <c r="AF38">
        <v>3.4816E-2</v>
      </c>
      <c r="AG38">
        <v>7.0030000000000001</v>
      </c>
      <c r="AH38">
        <v>7.0030000000000001</v>
      </c>
      <c r="AI38">
        <v>8.7260000000000009</v>
      </c>
      <c r="AJ38">
        <v>1.1006999999999999E-2</v>
      </c>
      <c r="AK38">
        <v>441.68079999999998</v>
      </c>
      <c r="AL38">
        <v>8.8555999999999996E-2</v>
      </c>
      <c r="AM38">
        <v>4.9386000000000001</v>
      </c>
      <c r="AN38">
        <v>0</v>
      </c>
      <c r="AO38">
        <v>0.5333</v>
      </c>
      <c r="AP38">
        <v>0.40286</v>
      </c>
      <c r="AQ38">
        <v>0.62368999999999997</v>
      </c>
      <c r="AR38">
        <v>2.0830000000000001E-2</v>
      </c>
      <c r="AS38">
        <v>-1.8332999999999999</v>
      </c>
      <c r="AT38">
        <v>-203.27070000000001</v>
      </c>
    </row>
    <row r="39" spans="2:87" x14ac:dyDescent="0.25">
      <c r="B39" t="s">
        <v>392</v>
      </c>
      <c r="C39">
        <v>48.646999999999998</v>
      </c>
      <c r="D39">
        <v>-123.42599999999999</v>
      </c>
      <c r="E39" t="s">
        <v>393</v>
      </c>
      <c r="F39" t="s">
        <v>303</v>
      </c>
      <c r="G39">
        <v>2640.4580999999998</v>
      </c>
      <c r="H39">
        <v>1894.7947999999999</v>
      </c>
      <c r="I39">
        <v>23168.527600000001</v>
      </c>
      <c r="J39">
        <v>0.36408000000000001</v>
      </c>
      <c r="K39">
        <v>1.3731999999999999E-2</v>
      </c>
      <c r="L39">
        <v>1.1012999999999999</v>
      </c>
      <c r="M39">
        <v>0.31957999999999998</v>
      </c>
      <c r="N39">
        <v>0</v>
      </c>
      <c r="O39">
        <v>0</v>
      </c>
      <c r="P39">
        <v>0</v>
      </c>
      <c r="Q39">
        <v>3.7401</v>
      </c>
      <c r="R39">
        <v>4.0143999999999999E-2</v>
      </c>
      <c r="S39">
        <v>85.868799999999993</v>
      </c>
      <c r="T39">
        <v>8.4110999999999995E-3</v>
      </c>
      <c r="U39">
        <v>0.15536</v>
      </c>
      <c r="V39">
        <v>0.20584</v>
      </c>
      <c r="W39">
        <v>1.831</v>
      </c>
      <c r="X39">
        <v>8.7106000000000006E-3</v>
      </c>
      <c r="Y39">
        <v>1.1105E-2</v>
      </c>
      <c r="Z39">
        <v>7.3550000000000004E-4</v>
      </c>
      <c r="AA39">
        <v>1.9855999999999999E-2</v>
      </c>
      <c r="AB39">
        <v>0.82047999999999999</v>
      </c>
      <c r="AC39">
        <v>1.244E-2</v>
      </c>
      <c r="AD39">
        <v>2.2545E-4</v>
      </c>
      <c r="AE39">
        <v>3.4245999999999999E-3</v>
      </c>
      <c r="AF39">
        <v>3.4816E-2</v>
      </c>
      <c r="AG39">
        <v>7.0030000000000001</v>
      </c>
      <c r="AH39">
        <v>7.0030000000000001</v>
      </c>
      <c r="AI39">
        <v>8.7260000000000009</v>
      </c>
      <c r="AJ39">
        <v>1.1006999999999999E-2</v>
      </c>
      <c r="AK39">
        <v>441.68079999999998</v>
      </c>
      <c r="AL39">
        <v>8.8555999999999996E-2</v>
      </c>
      <c r="AM39">
        <v>5.0343</v>
      </c>
      <c r="AN39">
        <v>0</v>
      </c>
      <c r="AO39">
        <v>0.40943000000000002</v>
      </c>
      <c r="AP39">
        <v>0.40286</v>
      </c>
      <c r="AQ39">
        <v>0.62368999999999997</v>
      </c>
      <c r="AR39">
        <v>2.0830000000000001E-2</v>
      </c>
      <c r="AS39">
        <v>-1.8332999999999999</v>
      </c>
      <c r="AT39">
        <v>-203.27070000000001</v>
      </c>
    </row>
    <row r="40" spans="2:87" x14ac:dyDescent="0.25">
      <c r="B40" t="s">
        <v>394</v>
      </c>
      <c r="C40">
        <v>50.701999999999998</v>
      </c>
      <c r="D40">
        <v>-120.44399999999999</v>
      </c>
      <c r="E40" t="s">
        <v>395</v>
      </c>
      <c r="F40" t="s">
        <v>303</v>
      </c>
      <c r="G40">
        <v>2930.3444</v>
      </c>
      <c r="H40">
        <v>1889.4612</v>
      </c>
      <c r="I40">
        <v>28406.878199999999</v>
      </c>
      <c r="J40">
        <v>0.2361</v>
      </c>
      <c r="K40">
        <v>1.2591000000000001</v>
      </c>
      <c r="L40">
        <v>1.3731</v>
      </c>
      <c r="M40">
        <v>0.60912999999999995</v>
      </c>
      <c r="N40">
        <v>6.8649999999999996E-3</v>
      </c>
      <c r="O40">
        <v>2.2921E-3</v>
      </c>
      <c r="P40">
        <v>0.84436999999999995</v>
      </c>
      <c r="Q40">
        <v>1.2808999999999999</v>
      </c>
      <c r="R40">
        <v>1.0252000000000001E-2</v>
      </c>
      <c r="S40">
        <v>85.868799999999993</v>
      </c>
      <c r="T40">
        <v>8.4110999999999995E-3</v>
      </c>
      <c r="U40">
        <v>0.15536</v>
      </c>
      <c r="V40">
        <v>0.20584</v>
      </c>
      <c r="W40">
        <v>1.831</v>
      </c>
      <c r="X40">
        <v>8.7106000000000006E-3</v>
      </c>
      <c r="Y40">
        <v>1.1105E-2</v>
      </c>
      <c r="Z40">
        <v>7.3550000000000004E-4</v>
      </c>
      <c r="AA40">
        <v>1.9855999999999999E-2</v>
      </c>
      <c r="AB40">
        <v>0.82047999999999999</v>
      </c>
      <c r="AC40">
        <v>1.244E-2</v>
      </c>
      <c r="AD40">
        <v>2.2545E-4</v>
      </c>
      <c r="AE40">
        <v>3.4245999999999999E-3</v>
      </c>
      <c r="AF40">
        <v>3.4816E-2</v>
      </c>
      <c r="AG40">
        <v>7.0030000000000001</v>
      </c>
      <c r="AH40">
        <v>7.0030000000000001</v>
      </c>
      <c r="AI40">
        <v>8.7260000000000009</v>
      </c>
      <c r="AJ40">
        <v>1.1006999999999999E-2</v>
      </c>
      <c r="AK40">
        <v>441.68079999999998</v>
      </c>
      <c r="AL40">
        <v>8.8555999999999996E-2</v>
      </c>
      <c r="AM40">
        <v>4.9020999999999999</v>
      </c>
      <c r="AN40">
        <v>0</v>
      </c>
      <c r="AO40">
        <v>0.57852000000000003</v>
      </c>
      <c r="AP40">
        <v>0.40286</v>
      </c>
      <c r="AQ40">
        <v>0.62368999999999997</v>
      </c>
      <c r="AR40">
        <v>2.0830000000000001E-2</v>
      </c>
      <c r="AS40">
        <v>-1.8332999999999999</v>
      </c>
      <c r="AT40">
        <v>-203.27070000000001</v>
      </c>
    </row>
    <row r="41" spans="2:87" x14ac:dyDescent="0.25">
      <c r="B41" t="s">
        <v>396</v>
      </c>
      <c r="C41">
        <v>49.463000000000001</v>
      </c>
      <c r="D41">
        <v>-119.602</v>
      </c>
      <c r="E41" t="s">
        <v>397</v>
      </c>
      <c r="F41" t="s">
        <v>303</v>
      </c>
      <c r="G41">
        <v>2871.4389999999999</v>
      </c>
      <c r="H41">
        <v>1890.8402000000001</v>
      </c>
      <c r="I41">
        <v>27342.104500000001</v>
      </c>
      <c r="J41">
        <v>0.22742000000000001</v>
      </c>
      <c r="K41">
        <v>1.2467999999999999</v>
      </c>
      <c r="L41">
        <v>1.3396999999999999</v>
      </c>
      <c r="M41">
        <v>0.56766000000000005</v>
      </c>
      <c r="N41">
        <v>2.6829000000000002E-3</v>
      </c>
      <c r="O41">
        <v>4.8368E-4</v>
      </c>
      <c r="P41">
        <v>0.17713000000000001</v>
      </c>
      <c r="Q41">
        <v>2.0339999999999998</v>
      </c>
      <c r="R41">
        <v>1.5960999999999999E-2</v>
      </c>
      <c r="S41">
        <v>85.868799999999993</v>
      </c>
      <c r="T41">
        <v>8.4110999999999995E-3</v>
      </c>
      <c r="U41">
        <v>0.15536</v>
      </c>
      <c r="V41">
        <v>0.20584</v>
      </c>
      <c r="W41">
        <v>1.831</v>
      </c>
      <c r="X41">
        <v>8.7106000000000006E-3</v>
      </c>
      <c r="Y41">
        <v>1.1105E-2</v>
      </c>
      <c r="Z41">
        <v>7.3550000000000004E-4</v>
      </c>
      <c r="AA41">
        <v>1.9855999999999999E-2</v>
      </c>
      <c r="AB41">
        <v>0.82047999999999999</v>
      </c>
      <c r="AC41">
        <v>1.244E-2</v>
      </c>
      <c r="AD41">
        <v>2.2545E-4</v>
      </c>
      <c r="AE41">
        <v>3.4245999999999999E-3</v>
      </c>
      <c r="AF41">
        <v>3.4816E-2</v>
      </c>
      <c r="AG41">
        <v>7.0030000000000001</v>
      </c>
      <c r="AH41">
        <v>7.0030000000000001</v>
      </c>
      <c r="AI41">
        <v>8.7260000000000009</v>
      </c>
      <c r="AJ41">
        <v>1.1006999999999999E-2</v>
      </c>
      <c r="AK41">
        <v>441.68079999999998</v>
      </c>
      <c r="AL41">
        <v>8.8555999999999996E-2</v>
      </c>
      <c r="AM41">
        <v>4.9375999999999998</v>
      </c>
      <c r="AN41">
        <v>0</v>
      </c>
      <c r="AO41">
        <v>0.55527000000000004</v>
      </c>
      <c r="AP41">
        <v>0.40286</v>
      </c>
      <c r="AQ41">
        <v>0.62368999999999997</v>
      </c>
      <c r="AR41">
        <v>2.0830000000000001E-2</v>
      </c>
      <c r="AS41">
        <v>-1.8332999999999999</v>
      </c>
      <c r="AT41">
        <v>-203.27070000000001</v>
      </c>
    </row>
    <row r="42" spans="2:87" x14ac:dyDescent="0.25">
      <c r="B42" t="s">
        <v>398</v>
      </c>
      <c r="C42">
        <v>49.194000000000003</v>
      </c>
      <c r="D42">
        <v>-123.184</v>
      </c>
      <c r="E42" t="s">
        <v>399</v>
      </c>
      <c r="F42" t="s">
        <v>303</v>
      </c>
      <c r="G42">
        <v>2647.9499000000001</v>
      </c>
      <c r="H42">
        <v>1988.4939999999999</v>
      </c>
      <c r="I42">
        <v>23198.284599999999</v>
      </c>
      <c r="J42">
        <v>0.39689000000000002</v>
      </c>
      <c r="K42">
        <v>1.5880999999999999E-2</v>
      </c>
      <c r="L42">
        <v>1.0133000000000001</v>
      </c>
      <c r="M42">
        <v>0.29914000000000002</v>
      </c>
      <c r="N42">
        <v>0</v>
      </c>
      <c r="O42">
        <v>0</v>
      </c>
      <c r="P42">
        <v>0</v>
      </c>
      <c r="Q42">
        <v>9.5455000000000005</v>
      </c>
      <c r="R42">
        <v>0.11808</v>
      </c>
      <c r="S42">
        <v>85.868799999999993</v>
      </c>
      <c r="T42">
        <v>8.4110999999999995E-3</v>
      </c>
      <c r="U42">
        <v>0.15536</v>
      </c>
      <c r="V42">
        <v>0.20584</v>
      </c>
      <c r="W42">
        <v>1.831</v>
      </c>
      <c r="X42">
        <v>8.7106000000000006E-3</v>
      </c>
      <c r="Y42">
        <v>1.1105E-2</v>
      </c>
      <c r="Z42">
        <v>7.3550000000000004E-4</v>
      </c>
      <c r="AA42">
        <v>1.9855999999999999E-2</v>
      </c>
      <c r="AB42">
        <v>0.82047999999999999</v>
      </c>
      <c r="AC42">
        <v>1.244E-2</v>
      </c>
      <c r="AD42">
        <v>2.2545E-4</v>
      </c>
      <c r="AE42">
        <v>3.4245999999999999E-3</v>
      </c>
      <c r="AF42">
        <v>3.4816E-2</v>
      </c>
      <c r="AG42">
        <v>7.0030000000000001</v>
      </c>
      <c r="AH42">
        <v>7.0030000000000001</v>
      </c>
      <c r="AI42">
        <v>8.7260000000000009</v>
      </c>
      <c r="AJ42">
        <v>1.1006999999999999E-2</v>
      </c>
      <c r="AK42">
        <v>441.68079999999998</v>
      </c>
      <c r="AL42">
        <v>8.8555999999999996E-2</v>
      </c>
      <c r="AM42">
        <v>5.0641999999999996</v>
      </c>
      <c r="AN42">
        <v>0</v>
      </c>
      <c r="AO42">
        <v>0.41498000000000002</v>
      </c>
      <c r="AP42">
        <v>0.40286</v>
      </c>
      <c r="AQ42">
        <v>0.62368999999999997</v>
      </c>
      <c r="AR42">
        <v>2.0830000000000001E-2</v>
      </c>
      <c r="AS42">
        <v>-1.8332999999999999</v>
      </c>
      <c r="AT42">
        <v>-203.27070000000001</v>
      </c>
    </row>
    <row r="43" spans="2:87" x14ac:dyDescent="0.25">
      <c r="B43" t="s">
        <v>400</v>
      </c>
      <c r="C43">
        <v>49.710999999999999</v>
      </c>
      <c r="D43">
        <v>-124.887</v>
      </c>
      <c r="E43" t="s">
        <v>401</v>
      </c>
      <c r="F43" t="s">
        <v>303</v>
      </c>
      <c r="G43">
        <v>2645.9719</v>
      </c>
      <c r="H43">
        <v>1917.6361999999999</v>
      </c>
      <c r="I43">
        <v>23242.339100000001</v>
      </c>
      <c r="J43">
        <v>0.37159999999999999</v>
      </c>
      <c r="K43">
        <v>4.2700000000000002E-2</v>
      </c>
      <c r="L43">
        <v>1.0849</v>
      </c>
      <c r="M43">
        <v>0.31640000000000001</v>
      </c>
      <c r="N43">
        <v>0</v>
      </c>
      <c r="O43">
        <v>0</v>
      </c>
      <c r="P43">
        <v>0</v>
      </c>
      <c r="Q43">
        <v>5.0819000000000001</v>
      </c>
      <c r="R43">
        <v>5.8004E-2</v>
      </c>
      <c r="S43">
        <v>85.868799999999993</v>
      </c>
      <c r="T43">
        <v>8.4110999999999995E-3</v>
      </c>
      <c r="U43">
        <v>0.15536</v>
      </c>
      <c r="V43">
        <v>0.20584</v>
      </c>
      <c r="W43">
        <v>1.831</v>
      </c>
      <c r="X43">
        <v>8.7106000000000006E-3</v>
      </c>
      <c r="Y43">
        <v>1.1105E-2</v>
      </c>
      <c r="Z43">
        <v>7.3550000000000004E-4</v>
      </c>
      <c r="AA43">
        <v>1.9855999999999999E-2</v>
      </c>
      <c r="AB43">
        <v>0.82047999999999999</v>
      </c>
      <c r="AC43">
        <v>1.244E-2</v>
      </c>
      <c r="AD43">
        <v>2.2545E-4</v>
      </c>
      <c r="AE43">
        <v>3.4245999999999999E-3</v>
      </c>
      <c r="AF43">
        <v>3.4816E-2</v>
      </c>
      <c r="AG43">
        <v>7.0030000000000001</v>
      </c>
      <c r="AH43">
        <v>7.0030000000000001</v>
      </c>
      <c r="AI43">
        <v>8.7260000000000009</v>
      </c>
      <c r="AJ43">
        <v>1.1006999999999999E-2</v>
      </c>
      <c r="AK43">
        <v>441.68079999999998</v>
      </c>
      <c r="AL43">
        <v>8.8555999999999996E-2</v>
      </c>
      <c r="AM43">
        <v>5.0519999999999996</v>
      </c>
      <c r="AN43">
        <v>0</v>
      </c>
      <c r="AO43">
        <v>0.44527</v>
      </c>
      <c r="AP43">
        <v>0.40286</v>
      </c>
      <c r="AQ43">
        <v>0.62368999999999997</v>
      </c>
      <c r="AR43">
        <v>2.0830000000000001E-2</v>
      </c>
      <c r="AS43">
        <v>-1.8332999999999999</v>
      </c>
      <c r="AT43">
        <v>-203.27070000000001</v>
      </c>
    </row>
    <row r="44" spans="2:87" x14ac:dyDescent="0.25">
      <c r="B44" t="s">
        <v>402</v>
      </c>
      <c r="C44">
        <v>53.889000000000003</v>
      </c>
      <c r="D44">
        <v>-122.679</v>
      </c>
      <c r="E44" t="s">
        <v>403</v>
      </c>
      <c r="F44" t="s">
        <v>303</v>
      </c>
      <c r="G44">
        <v>3404.5248000000001</v>
      </c>
      <c r="H44">
        <v>1853.3280999999999</v>
      </c>
      <c r="I44">
        <v>37006.3436</v>
      </c>
      <c r="J44">
        <v>0.32286999999999999</v>
      </c>
      <c r="K44">
        <v>9.2144000000000004E-2</v>
      </c>
      <c r="L44">
        <v>1.8573999999999999</v>
      </c>
      <c r="M44">
        <v>0.72389000000000003</v>
      </c>
      <c r="N44">
        <v>1.6072999999999999E-4</v>
      </c>
      <c r="O44">
        <v>0</v>
      </c>
      <c r="P44">
        <v>0</v>
      </c>
      <c r="Q44">
        <v>1.0749</v>
      </c>
      <c r="R44">
        <v>1.0876E-2</v>
      </c>
      <c r="S44">
        <v>85.868799999999993</v>
      </c>
      <c r="T44">
        <v>8.4110999999999995E-3</v>
      </c>
      <c r="U44">
        <v>0.15536</v>
      </c>
      <c r="V44">
        <v>0.20584</v>
      </c>
      <c r="W44">
        <v>1.831</v>
      </c>
      <c r="X44">
        <v>8.7106000000000006E-3</v>
      </c>
      <c r="Y44">
        <v>1.1105E-2</v>
      </c>
      <c r="Z44">
        <v>7.3550000000000004E-4</v>
      </c>
      <c r="AA44">
        <v>1.9855999999999999E-2</v>
      </c>
      <c r="AB44">
        <v>0.82047999999999999</v>
      </c>
      <c r="AC44">
        <v>1.244E-2</v>
      </c>
      <c r="AD44">
        <v>2.2545E-4</v>
      </c>
      <c r="AE44">
        <v>3.4245999999999999E-3</v>
      </c>
      <c r="AF44">
        <v>3.4816E-2</v>
      </c>
      <c r="AG44">
        <v>7.0030000000000001</v>
      </c>
      <c r="AH44">
        <v>7.0030000000000001</v>
      </c>
      <c r="AI44">
        <v>8.7260000000000009</v>
      </c>
      <c r="AJ44">
        <v>1.1006999999999999E-2</v>
      </c>
      <c r="AK44">
        <v>441.68079999999998</v>
      </c>
      <c r="AL44">
        <v>8.8555999999999996E-2</v>
      </c>
      <c r="AM44">
        <v>4.5286999999999997</v>
      </c>
      <c r="AN44">
        <v>0</v>
      </c>
      <c r="AO44">
        <v>0.91586000000000001</v>
      </c>
      <c r="AP44">
        <v>0.40286</v>
      </c>
      <c r="AQ44">
        <v>0.62368999999999997</v>
      </c>
      <c r="AR44">
        <v>2.0830000000000001E-2</v>
      </c>
      <c r="AS44">
        <v>-1.8332999999999999</v>
      </c>
      <c r="AT44">
        <v>-203.27070000000001</v>
      </c>
    </row>
    <row r="45" spans="2:87" x14ac:dyDescent="0.25">
      <c r="B45" t="s">
        <v>404</v>
      </c>
      <c r="C45">
        <v>54.283000000000001</v>
      </c>
      <c r="D45">
        <v>-130.44999999999999</v>
      </c>
      <c r="E45" t="s">
        <v>405</v>
      </c>
      <c r="F45" t="s">
        <v>303</v>
      </c>
      <c r="G45">
        <v>2868.7224999999999</v>
      </c>
      <c r="H45">
        <v>1879.8889999999999</v>
      </c>
      <c r="I45">
        <v>27305.398300000001</v>
      </c>
      <c r="J45">
        <v>0.46450000000000002</v>
      </c>
      <c r="K45">
        <v>0</v>
      </c>
      <c r="L45">
        <v>1.2616000000000001</v>
      </c>
      <c r="M45">
        <v>0.38566</v>
      </c>
      <c r="N45">
        <v>0</v>
      </c>
      <c r="O45">
        <v>0</v>
      </c>
      <c r="P45">
        <v>0</v>
      </c>
      <c r="Q45">
        <v>2.7797000000000001</v>
      </c>
      <c r="R45">
        <v>3.9279000000000001E-2</v>
      </c>
      <c r="S45">
        <v>85.868799999999993</v>
      </c>
      <c r="T45">
        <v>8.4110999999999995E-3</v>
      </c>
      <c r="U45">
        <v>0.15536</v>
      </c>
      <c r="V45">
        <v>0.20584</v>
      </c>
      <c r="W45">
        <v>1.831</v>
      </c>
      <c r="X45">
        <v>8.7106000000000006E-3</v>
      </c>
      <c r="Y45">
        <v>1.1105E-2</v>
      </c>
      <c r="Z45">
        <v>7.3550000000000004E-4</v>
      </c>
      <c r="AA45">
        <v>1.9855999999999999E-2</v>
      </c>
      <c r="AB45">
        <v>0.82047999999999999</v>
      </c>
      <c r="AC45">
        <v>1.244E-2</v>
      </c>
      <c r="AD45">
        <v>2.2545E-4</v>
      </c>
      <c r="AE45">
        <v>3.4245999999999999E-3</v>
      </c>
      <c r="AF45">
        <v>3.4816E-2</v>
      </c>
      <c r="AG45">
        <v>7.0030000000000001</v>
      </c>
      <c r="AH45">
        <v>7.0030000000000001</v>
      </c>
      <c r="AI45">
        <v>8.7260000000000009</v>
      </c>
      <c r="AJ45">
        <v>1.1006999999999999E-2</v>
      </c>
      <c r="AK45">
        <v>441.68079999999998</v>
      </c>
      <c r="AL45">
        <v>8.8555999999999996E-2</v>
      </c>
      <c r="AM45">
        <v>4.9112</v>
      </c>
      <c r="AN45">
        <v>0</v>
      </c>
      <c r="AO45">
        <v>0.57706000000000002</v>
      </c>
      <c r="AP45">
        <v>0.40286</v>
      </c>
      <c r="AQ45">
        <v>0.62368999999999997</v>
      </c>
      <c r="AR45">
        <v>2.0830000000000001E-2</v>
      </c>
      <c r="AS45">
        <v>-1.8332999999999999</v>
      </c>
      <c r="AT45">
        <v>-203.27070000000001</v>
      </c>
    </row>
    <row r="46" spans="2:87" x14ac:dyDescent="0.25">
      <c r="B46" t="s">
        <v>406</v>
      </c>
      <c r="C46">
        <v>56.238</v>
      </c>
      <c r="D46">
        <v>-120.74000000000001</v>
      </c>
      <c r="E46" t="s">
        <v>407</v>
      </c>
      <c r="F46" t="s">
        <v>303</v>
      </c>
      <c r="G46">
        <v>3648.4101999999998</v>
      </c>
      <c r="H46">
        <v>1848.6198999999999</v>
      </c>
      <c r="I46">
        <v>41413.690300000002</v>
      </c>
      <c r="J46">
        <v>0.22247</v>
      </c>
      <c r="K46">
        <v>4.1642999999999999E-2</v>
      </c>
      <c r="L46">
        <v>2.1743999999999999</v>
      </c>
      <c r="M46">
        <v>0.85538999999999998</v>
      </c>
      <c r="N46">
        <v>1.7009999999999999E-4</v>
      </c>
      <c r="O46" s="139">
        <v>5.9907000000000001E-6</v>
      </c>
      <c r="P46">
        <v>1.1098E-3</v>
      </c>
      <c r="Q46">
        <v>1.0403</v>
      </c>
      <c r="R46">
        <v>9.9287999999999998E-3</v>
      </c>
      <c r="S46">
        <v>85.868799999999993</v>
      </c>
      <c r="T46">
        <v>8.4110999999999995E-3</v>
      </c>
      <c r="U46">
        <v>0.15536</v>
      </c>
      <c r="V46">
        <v>0.20584</v>
      </c>
      <c r="W46">
        <v>1.831</v>
      </c>
      <c r="X46">
        <v>8.7106000000000006E-3</v>
      </c>
      <c r="Y46">
        <v>1.1105E-2</v>
      </c>
      <c r="Z46">
        <v>7.3550000000000004E-4</v>
      </c>
      <c r="AA46">
        <v>1.9855999999999999E-2</v>
      </c>
      <c r="AB46">
        <v>0.82047999999999999</v>
      </c>
      <c r="AC46">
        <v>1.244E-2</v>
      </c>
      <c r="AD46">
        <v>2.2545E-4</v>
      </c>
      <c r="AE46">
        <v>3.4245999999999999E-3</v>
      </c>
      <c r="AF46">
        <v>3.4816E-2</v>
      </c>
      <c r="AG46">
        <v>7.0030000000000001</v>
      </c>
      <c r="AH46">
        <v>7.0030000000000001</v>
      </c>
      <c r="AI46">
        <v>8.7260000000000009</v>
      </c>
      <c r="AJ46">
        <v>1.1006999999999999E-2</v>
      </c>
      <c r="AK46">
        <v>441.68079999999998</v>
      </c>
      <c r="AL46">
        <v>8.8555999999999996E-2</v>
      </c>
      <c r="AM46">
        <v>4.1367000000000003</v>
      </c>
      <c r="AN46">
        <v>0</v>
      </c>
      <c r="AO46">
        <v>1.0983000000000001</v>
      </c>
      <c r="AP46">
        <v>0.40286</v>
      </c>
      <c r="AQ46">
        <v>0.62368999999999997</v>
      </c>
      <c r="AR46">
        <v>2.0830000000000001E-2</v>
      </c>
      <c r="AS46">
        <v>-1.8332999999999999</v>
      </c>
      <c r="AT46">
        <v>-203.27070000000001</v>
      </c>
    </row>
    <row r="47" spans="2:87" x14ac:dyDescent="0.25">
      <c r="B47" t="s">
        <v>408</v>
      </c>
      <c r="C47">
        <v>58.832999999999998</v>
      </c>
      <c r="D47">
        <v>-122.6</v>
      </c>
      <c r="E47" t="s">
        <v>409</v>
      </c>
      <c r="F47" t="s">
        <v>303</v>
      </c>
      <c r="G47">
        <v>3853.4699000000001</v>
      </c>
      <c r="H47">
        <v>1844.4394</v>
      </c>
      <c r="I47">
        <v>45119.653299999998</v>
      </c>
      <c r="J47">
        <v>0.18837000000000001</v>
      </c>
      <c r="K47">
        <v>0.11644</v>
      </c>
      <c r="L47">
        <v>2.4714999999999998</v>
      </c>
      <c r="M47">
        <v>0.88285999999999998</v>
      </c>
      <c r="N47">
        <v>3.2809000000000001E-4</v>
      </c>
      <c r="O47" s="139">
        <v>3.2223E-5</v>
      </c>
      <c r="P47">
        <v>1.6615999999999999E-2</v>
      </c>
      <c r="Q47">
        <v>1.2357</v>
      </c>
      <c r="R47">
        <v>1.1204E-2</v>
      </c>
      <c r="S47">
        <v>85.868799999999993</v>
      </c>
      <c r="T47">
        <v>8.4110999999999995E-3</v>
      </c>
      <c r="U47">
        <v>0.15536</v>
      </c>
      <c r="V47">
        <v>0.20584</v>
      </c>
      <c r="W47">
        <v>1.831</v>
      </c>
      <c r="X47">
        <v>8.7106000000000006E-3</v>
      </c>
      <c r="Y47">
        <v>1.1105E-2</v>
      </c>
      <c r="Z47">
        <v>7.3550000000000004E-4</v>
      </c>
      <c r="AA47">
        <v>1.9855999999999999E-2</v>
      </c>
      <c r="AB47">
        <v>0.82047999999999999</v>
      </c>
      <c r="AC47">
        <v>1.244E-2</v>
      </c>
      <c r="AD47">
        <v>2.2545E-4</v>
      </c>
      <c r="AE47">
        <v>3.4245999999999999E-3</v>
      </c>
      <c r="AF47">
        <v>3.4816E-2</v>
      </c>
      <c r="AG47">
        <v>7.0030000000000001</v>
      </c>
      <c r="AH47">
        <v>7.0030000000000001</v>
      </c>
      <c r="AI47">
        <v>8.7260000000000009</v>
      </c>
      <c r="AJ47">
        <v>1.1006999999999999E-2</v>
      </c>
      <c r="AK47">
        <v>441.68079999999998</v>
      </c>
      <c r="AL47">
        <v>8.8555999999999996E-2</v>
      </c>
      <c r="AM47">
        <v>3.4113000000000002</v>
      </c>
      <c r="AN47">
        <v>0</v>
      </c>
      <c r="AO47">
        <v>1.2773000000000001</v>
      </c>
      <c r="AP47">
        <v>0.40286</v>
      </c>
      <c r="AQ47">
        <v>0.62368999999999997</v>
      </c>
      <c r="AR47">
        <v>2.0830000000000001E-2</v>
      </c>
      <c r="AS47">
        <v>-1.8332999999999999</v>
      </c>
      <c r="AT47">
        <v>-203.27070000000001</v>
      </c>
    </row>
    <row r="48" spans="2:87" x14ac:dyDescent="0.25">
      <c r="B48" t="s">
        <v>410</v>
      </c>
      <c r="C48">
        <v>54.825000000000003</v>
      </c>
      <c r="D48">
        <v>-127.18299999999999</v>
      </c>
      <c r="E48" t="s">
        <v>411</v>
      </c>
      <c r="F48" t="s">
        <v>303</v>
      </c>
      <c r="G48">
        <v>3362.9050999999999</v>
      </c>
      <c r="H48">
        <v>1853.673</v>
      </c>
      <c r="I48">
        <v>36254.733800000002</v>
      </c>
      <c r="J48">
        <v>0.33957999999999999</v>
      </c>
      <c r="K48">
        <v>8.8914999999999994E-2</v>
      </c>
      <c r="L48">
        <v>1.8126</v>
      </c>
      <c r="M48">
        <v>0.69262999999999997</v>
      </c>
      <c r="N48">
        <v>1.4653999999999999E-4</v>
      </c>
      <c r="O48" s="139">
        <v>2.7765999999999998E-6</v>
      </c>
      <c r="P48">
        <v>4.8782000000000001E-3</v>
      </c>
      <c r="Q48">
        <v>1.0381</v>
      </c>
      <c r="R48">
        <v>1.1041E-2</v>
      </c>
      <c r="S48">
        <v>85.868799999999993</v>
      </c>
      <c r="T48">
        <v>8.4110999999999995E-3</v>
      </c>
      <c r="U48">
        <v>0.15536</v>
      </c>
      <c r="V48">
        <v>0.20584</v>
      </c>
      <c r="W48">
        <v>1.831</v>
      </c>
      <c r="X48">
        <v>8.7106000000000006E-3</v>
      </c>
      <c r="Y48">
        <v>1.1105E-2</v>
      </c>
      <c r="Z48">
        <v>7.3550000000000004E-4</v>
      </c>
      <c r="AA48">
        <v>1.9855999999999999E-2</v>
      </c>
      <c r="AB48">
        <v>0.82047999999999999</v>
      </c>
      <c r="AC48">
        <v>1.244E-2</v>
      </c>
      <c r="AD48">
        <v>2.2545E-4</v>
      </c>
      <c r="AE48">
        <v>3.4245999999999999E-3</v>
      </c>
      <c r="AF48">
        <v>3.4816E-2</v>
      </c>
      <c r="AG48">
        <v>7.0030000000000001</v>
      </c>
      <c r="AH48">
        <v>7.0030000000000001</v>
      </c>
      <c r="AI48">
        <v>8.7260000000000009</v>
      </c>
      <c r="AJ48">
        <v>1.1006999999999999E-2</v>
      </c>
      <c r="AK48">
        <v>441.68079999999998</v>
      </c>
      <c r="AL48">
        <v>8.8555999999999996E-2</v>
      </c>
      <c r="AM48">
        <v>4.5838000000000001</v>
      </c>
      <c r="AN48">
        <v>0</v>
      </c>
      <c r="AO48">
        <v>0.91737999999999997</v>
      </c>
      <c r="AP48">
        <v>0.40286</v>
      </c>
      <c r="AQ48">
        <v>0.62368999999999997</v>
      </c>
      <c r="AR48">
        <v>2.0830000000000001E-2</v>
      </c>
      <c r="AS48">
        <v>-1.8332999999999999</v>
      </c>
      <c r="AT48">
        <v>-203.27070000000001</v>
      </c>
    </row>
    <row r="49" spans="2:46" x14ac:dyDescent="0.25">
      <c r="B49" t="s">
        <v>412</v>
      </c>
      <c r="C49">
        <v>54.469000000000001</v>
      </c>
      <c r="D49">
        <v>-128.57599999999999</v>
      </c>
      <c r="E49" t="s">
        <v>413</v>
      </c>
      <c r="F49" t="s">
        <v>303</v>
      </c>
      <c r="G49">
        <v>3088.2737999999999</v>
      </c>
      <c r="H49">
        <v>1865.3052</v>
      </c>
      <c r="I49">
        <v>31284.640299999999</v>
      </c>
      <c r="J49">
        <v>0.35370000000000001</v>
      </c>
      <c r="K49">
        <v>2.4563000000000001E-2</v>
      </c>
      <c r="L49">
        <v>1.5424</v>
      </c>
      <c r="M49">
        <v>0.54930999999999996</v>
      </c>
      <c r="N49">
        <v>0</v>
      </c>
      <c r="O49">
        <v>0</v>
      </c>
      <c r="P49">
        <v>0</v>
      </c>
      <c r="Q49">
        <v>1.8360000000000001</v>
      </c>
      <c r="R49">
        <v>1.9057999999999999E-2</v>
      </c>
      <c r="S49">
        <v>85.868799999999993</v>
      </c>
      <c r="T49">
        <v>8.4110999999999995E-3</v>
      </c>
      <c r="U49">
        <v>0.15536</v>
      </c>
      <c r="V49">
        <v>0.20584</v>
      </c>
      <c r="W49">
        <v>1.831</v>
      </c>
      <c r="X49">
        <v>8.7106000000000006E-3</v>
      </c>
      <c r="Y49">
        <v>1.1105E-2</v>
      </c>
      <c r="Z49">
        <v>7.3550000000000004E-4</v>
      </c>
      <c r="AA49">
        <v>1.9855999999999999E-2</v>
      </c>
      <c r="AB49">
        <v>0.82047999999999999</v>
      </c>
      <c r="AC49">
        <v>1.244E-2</v>
      </c>
      <c r="AD49">
        <v>2.2545E-4</v>
      </c>
      <c r="AE49">
        <v>3.4245999999999999E-3</v>
      </c>
      <c r="AF49">
        <v>3.4816E-2</v>
      </c>
      <c r="AG49">
        <v>7.0030000000000001</v>
      </c>
      <c r="AH49">
        <v>7.0030000000000001</v>
      </c>
      <c r="AI49">
        <v>8.7260000000000009</v>
      </c>
      <c r="AJ49">
        <v>1.1006999999999999E-2</v>
      </c>
      <c r="AK49">
        <v>441.68079999999998</v>
      </c>
      <c r="AL49">
        <v>8.8555999999999996E-2</v>
      </c>
      <c r="AM49">
        <v>4.7381000000000002</v>
      </c>
      <c r="AN49">
        <v>0</v>
      </c>
      <c r="AO49">
        <v>0.75988999999999995</v>
      </c>
      <c r="AP49">
        <v>0.40286</v>
      </c>
      <c r="AQ49">
        <v>0.62368999999999997</v>
      </c>
      <c r="AR49">
        <v>2.0830000000000001E-2</v>
      </c>
      <c r="AS49">
        <v>-1.8332999999999999</v>
      </c>
      <c r="AT49">
        <v>-203.27070000000001</v>
      </c>
    </row>
    <row r="50" spans="2:46" x14ac:dyDescent="0.25">
      <c r="B50" t="s">
        <v>414</v>
      </c>
      <c r="C50">
        <v>56.863999999999997</v>
      </c>
      <c r="D50">
        <v>-101.07600000000002</v>
      </c>
      <c r="E50" t="s">
        <v>415</v>
      </c>
      <c r="F50" t="s">
        <v>305</v>
      </c>
      <c r="G50">
        <v>4058.8796000000002</v>
      </c>
      <c r="H50">
        <v>1843.0436999999999</v>
      </c>
      <c r="I50">
        <v>49175.101499999997</v>
      </c>
      <c r="J50">
        <v>0.19225999999999999</v>
      </c>
      <c r="K50">
        <v>5.2754000000000002E-2</v>
      </c>
      <c r="L50">
        <v>2.7532999999999999</v>
      </c>
      <c r="M50">
        <v>0.91444999999999999</v>
      </c>
      <c r="N50">
        <v>1.7359E-4</v>
      </c>
      <c r="O50" s="139">
        <v>2.7066999999999997E-7</v>
      </c>
      <c r="P50">
        <v>5.5491000000000004E-4</v>
      </c>
      <c r="Q50">
        <v>1.0826</v>
      </c>
      <c r="R50">
        <v>1.3598000000000001E-2</v>
      </c>
      <c r="S50">
        <v>71.534400000000005</v>
      </c>
      <c r="T50">
        <v>8.4110999999999995E-3</v>
      </c>
      <c r="U50">
        <v>0.12942999999999999</v>
      </c>
      <c r="V50">
        <v>0.17147999999999999</v>
      </c>
      <c r="W50">
        <v>1.831</v>
      </c>
      <c r="X50">
        <v>8.7106000000000006E-3</v>
      </c>
      <c r="Y50">
        <v>1.1105E-2</v>
      </c>
      <c r="Z50">
        <v>7.3550000000000004E-4</v>
      </c>
      <c r="AA50">
        <v>1.9855999999999999E-2</v>
      </c>
      <c r="AB50">
        <v>0.82047999999999999</v>
      </c>
      <c r="AC50">
        <v>1.244E-2</v>
      </c>
      <c r="AD50">
        <v>2.2545E-4</v>
      </c>
      <c r="AE50">
        <v>3.4245999999999999E-3</v>
      </c>
      <c r="AF50">
        <v>3.4816E-2</v>
      </c>
      <c r="AG50">
        <v>5.8338999999999999</v>
      </c>
      <c r="AH50">
        <v>5.8338999999999999</v>
      </c>
      <c r="AI50">
        <v>7.2693000000000003</v>
      </c>
      <c r="AJ50">
        <v>1.1006999999999999E-2</v>
      </c>
      <c r="AK50">
        <v>441.68079999999998</v>
      </c>
      <c r="AL50">
        <v>8.8555999999999996E-2</v>
      </c>
      <c r="AM50">
        <v>2.5796000000000001</v>
      </c>
      <c r="AN50">
        <v>0</v>
      </c>
      <c r="AO50">
        <v>1.2581</v>
      </c>
      <c r="AP50">
        <v>0.40286</v>
      </c>
      <c r="AQ50">
        <v>0.62368999999999997</v>
      </c>
      <c r="AR50">
        <v>2.0830000000000001E-2</v>
      </c>
      <c r="AS50">
        <v>-1.8332999999999999</v>
      </c>
      <c r="AT50">
        <v>-203.27070000000001</v>
      </c>
    </row>
    <row r="51" spans="2:46" x14ac:dyDescent="0.25">
      <c r="B51" t="s">
        <v>416</v>
      </c>
      <c r="C51">
        <v>55.801000000000002</v>
      </c>
      <c r="D51">
        <v>-97.863999999999976</v>
      </c>
      <c r="E51" t="s">
        <v>417</v>
      </c>
      <c r="F51" t="s">
        <v>305</v>
      </c>
      <c r="G51">
        <v>4045.8442</v>
      </c>
      <c r="H51">
        <v>1853.3520000000001</v>
      </c>
      <c r="I51">
        <v>48930.152000000002</v>
      </c>
      <c r="J51">
        <v>0.19363</v>
      </c>
      <c r="K51">
        <v>4.7534E-2</v>
      </c>
      <c r="L51">
        <v>2.7315999999999998</v>
      </c>
      <c r="M51">
        <v>0.90891</v>
      </c>
      <c r="N51" s="139">
        <v>7.8950999999999997E-5</v>
      </c>
      <c r="O51">
        <v>0</v>
      </c>
      <c r="P51">
        <v>0</v>
      </c>
      <c r="Q51">
        <v>1.6404000000000001</v>
      </c>
      <c r="R51">
        <v>2.0272999999999999E-2</v>
      </c>
      <c r="S51">
        <v>71.534400000000005</v>
      </c>
      <c r="T51">
        <v>8.4110999999999995E-3</v>
      </c>
      <c r="U51">
        <v>0.12942999999999999</v>
      </c>
      <c r="V51">
        <v>0.17147999999999999</v>
      </c>
      <c r="W51">
        <v>1.831</v>
      </c>
      <c r="X51">
        <v>8.7106000000000006E-3</v>
      </c>
      <c r="Y51">
        <v>1.1105E-2</v>
      </c>
      <c r="Z51">
        <v>7.3550000000000004E-4</v>
      </c>
      <c r="AA51">
        <v>1.9855999999999999E-2</v>
      </c>
      <c r="AB51">
        <v>0.82047999999999999</v>
      </c>
      <c r="AC51">
        <v>1.244E-2</v>
      </c>
      <c r="AD51">
        <v>2.2545E-4</v>
      </c>
      <c r="AE51">
        <v>3.4245999999999999E-3</v>
      </c>
      <c r="AF51">
        <v>3.4816E-2</v>
      </c>
      <c r="AG51">
        <v>5.8338999999999999</v>
      </c>
      <c r="AH51">
        <v>5.8338999999999999</v>
      </c>
      <c r="AI51">
        <v>7.2693000000000003</v>
      </c>
      <c r="AJ51">
        <v>1.1006999999999999E-2</v>
      </c>
      <c r="AK51">
        <v>441.68079999999998</v>
      </c>
      <c r="AL51">
        <v>8.8555999999999996E-2</v>
      </c>
      <c r="AM51">
        <v>2.6044999999999998</v>
      </c>
      <c r="AN51">
        <v>0</v>
      </c>
      <c r="AO51">
        <v>1.2166999999999999</v>
      </c>
      <c r="AP51">
        <v>0.40286</v>
      </c>
      <c r="AQ51">
        <v>0.62368999999999997</v>
      </c>
      <c r="AR51">
        <v>2.0830000000000001E-2</v>
      </c>
      <c r="AS51">
        <v>-1.8332999999999999</v>
      </c>
      <c r="AT51">
        <v>-203.27070000000001</v>
      </c>
    </row>
    <row r="52" spans="2:46" x14ac:dyDescent="0.25">
      <c r="B52" t="s">
        <v>418</v>
      </c>
      <c r="C52">
        <v>49.917000000000002</v>
      </c>
      <c r="D52">
        <v>-99.949999999999989</v>
      </c>
      <c r="E52" t="s">
        <v>419</v>
      </c>
      <c r="F52" t="s">
        <v>305</v>
      </c>
      <c r="G52">
        <v>3624.0848999999998</v>
      </c>
      <c r="H52">
        <v>1991.8433</v>
      </c>
      <c r="I52">
        <v>41187.68</v>
      </c>
      <c r="J52">
        <v>0.25569999999999998</v>
      </c>
      <c r="K52">
        <v>0.16453999999999999</v>
      </c>
      <c r="L52">
        <v>2.1291000000000002</v>
      </c>
      <c r="M52">
        <v>0.75175000000000003</v>
      </c>
      <c r="N52" s="139">
        <v>8.9166000000000007E-5</v>
      </c>
      <c r="O52" s="139">
        <v>1.2925999999999999E-6</v>
      </c>
      <c r="P52">
        <v>2.8912E-3</v>
      </c>
      <c r="Q52">
        <v>8.4499999999999993</v>
      </c>
      <c r="R52">
        <v>0.10789</v>
      </c>
      <c r="S52">
        <v>71.534400000000005</v>
      </c>
      <c r="T52">
        <v>8.4110999999999995E-3</v>
      </c>
      <c r="U52">
        <v>0.12942999999999999</v>
      </c>
      <c r="V52">
        <v>0.17147999999999999</v>
      </c>
      <c r="W52">
        <v>1.831</v>
      </c>
      <c r="X52">
        <v>8.7106000000000006E-3</v>
      </c>
      <c r="Y52">
        <v>1.1105E-2</v>
      </c>
      <c r="Z52">
        <v>7.3550000000000004E-4</v>
      </c>
      <c r="AA52">
        <v>1.9855999999999999E-2</v>
      </c>
      <c r="AB52">
        <v>0.82047999999999999</v>
      </c>
      <c r="AC52">
        <v>1.244E-2</v>
      </c>
      <c r="AD52">
        <v>2.2545E-4</v>
      </c>
      <c r="AE52">
        <v>3.4245999999999999E-3</v>
      </c>
      <c r="AF52">
        <v>3.4816E-2</v>
      </c>
      <c r="AG52">
        <v>5.8338999999999999</v>
      </c>
      <c r="AH52">
        <v>5.8338999999999999</v>
      </c>
      <c r="AI52">
        <v>7.2693000000000003</v>
      </c>
      <c r="AJ52">
        <v>1.1006999999999999E-2</v>
      </c>
      <c r="AK52">
        <v>441.68079999999998</v>
      </c>
      <c r="AL52">
        <v>8.8555999999999996E-2</v>
      </c>
      <c r="AM52">
        <v>3.1404999999999998</v>
      </c>
      <c r="AN52">
        <v>0</v>
      </c>
      <c r="AO52">
        <v>0.94591999999999998</v>
      </c>
      <c r="AP52">
        <v>0.40286</v>
      </c>
      <c r="AQ52">
        <v>0.62368999999999997</v>
      </c>
      <c r="AR52">
        <v>2.0830000000000001E-2</v>
      </c>
      <c r="AS52">
        <v>-1.8332999999999999</v>
      </c>
      <c r="AT52">
        <v>-203.27070000000001</v>
      </c>
    </row>
    <row r="53" spans="2:46" x14ac:dyDescent="0.25">
      <c r="B53" t="s">
        <v>420</v>
      </c>
      <c r="C53">
        <v>49.91</v>
      </c>
      <c r="D53">
        <v>-97.240000000000009</v>
      </c>
      <c r="E53" t="s">
        <v>421</v>
      </c>
      <c r="F53" t="s">
        <v>305</v>
      </c>
      <c r="G53">
        <v>3548.5747999999999</v>
      </c>
      <c r="H53">
        <v>2021.7891999999999</v>
      </c>
      <c r="I53">
        <v>39796.669800000003</v>
      </c>
      <c r="J53">
        <v>0.25791999999999998</v>
      </c>
      <c r="K53">
        <v>0.21439</v>
      </c>
      <c r="L53">
        <v>2.0270999999999999</v>
      </c>
      <c r="M53">
        <v>0.7268</v>
      </c>
      <c r="N53">
        <v>1.081E-4</v>
      </c>
      <c r="O53">
        <v>0</v>
      </c>
      <c r="P53">
        <v>0</v>
      </c>
      <c r="Q53">
        <v>9.9093999999999998</v>
      </c>
      <c r="R53">
        <v>0.12309</v>
      </c>
      <c r="S53">
        <v>71.534400000000005</v>
      </c>
      <c r="T53">
        <v>8.4110999999999995E-3</v>
      </c>
      <c r="U53">
        <v>0.12942999999999999</v>
      </c>
      <c r="V53">
        <v>0.17147999999999999</v>
      </c>
      <c r="W53">
        <v>1.831</v>
      </c>
      <c r="X53">
        <v>8.7106000000000006E-3</v>
      </c>
      <c r="Y53">
        <v>1.1105E-2</v>
      </c>
      <c r="Z53">
        <v>7.3550000000000004E-4</v>
      </c>
      <c r="AA53">
        <v>1.9855999999999999E-2</v>
      </c>
      <c r="AB53">
        <v>0.82047999999999999</v>
      </c>
      <c r="AC53">
        <v>1.244E-2</v>
      </c>
      <c r="AD53">
        <v>2.2545E-4</v>
      </c>
      <c r="AE53">
        <v>3.4245999999999999E-3</v>
      </c>
      <c r="AF53">
        <v>3.4816E-2</v>
      </c>
      <c r="AG53">
        <v>5.8338999999999999</v>
      </c>
      <c r="AH53">
        <v>5.8338999999999999</v>
      </c>
      <c r="AI53">
        <v>7.2693000000000003</v>
      </c>
      <c r="AJ53">
        <v>1.1006999999999999E-2</v>
      </c>
      <c r="AK53">
        <v>441.68079999999998</v>
      </c>
      <c r="AL53">
        <v>8.8555999999999996E-2</v>
      </c>
      <c r="AM53">
        <v>3.2292000000000001</v>
      </c>
      <c r="AN53">
        <v>0</v>
      </c>
      <c r="AO53">
        <v>0.90651999999999999</v>
      </c>
      <c r="AP53">
        <v>0.40286</v>
      </c>
      <c r="AQ53">
        <v>0.62368999999999997</v>
      </c>
      <c r="AR53">
        <v>2.0830000000000001E-2</v>
      </c>
      <c r="AS53">
        <v>-1.8332999999999999</v>
      </c>
      <c r="AT53">
        <v>-203.27070000000001</v>
      </c>
    </row>
    <row r="54" spans="2:46" x14ac:dyDescent="0.25">
      <c r="B54" t="s">
        <v>422</v>
      </c>
      <c r="C54">
        <v>53.966999999999999</v>
      </c>
      <c r="D54">
        <v>-101.10000000000002</v>
      </c>
      <c r="E54" t="s">
        <v>423</v>
      </c>
      <c r="F54" t="s">
        <v>305</v>
      </c>
      <c r="G54">
        <v>3761.1606000000002</v>
      </c>
      <c r="H54">
        <v>1914.9654</v>
      </c>
      <c r="I54">
        <v>43733.936900000001</v>
      </c>
      <c r="J54">
        <v>0.23183999999999999</v>
      </c>
      <c r="K54">
        <v>5.9406E-2</v>
      </c>
      <c r="L54">
        <v>2.3353999999999999</v>
      </c>
      <c r="M54">
        <v>0.80930000000000002</v>
      </c>
      <c r="N54" s="139">
        <v>9.5126999999999999E-5</v>
      </c>
      <c r="O54" s="139">
        <v>5.0328000000000003E-6</v>
      </c>
      <c r="P54">
        <v>2.3365999999999999E-3</v>
      </c>
      <c r="Q54">
        <v>4.6619999999999999</v>
      </c>
      <c r="R54">
        <v>6.8501999999999993E-2</v>
      </c>
      <c r="S54">
        <v>71.534400000000005</v>
      </c>
      <c r="T54">
        <v>8.4110999999999995E-3</v>
      </c>
      <c r="U54">
        <v>0.12942999999999999</v>
      </c>
      <c r="V54">
        <v>0.17147999999999999</v>
      </c>
      <c r="W54">
        <v>1.831</v>
      </c>
      <c r="X54">
        <v>8.7106000000000006E-3</v>
      </c>
      <c r="Y54">
        <v>1.1105E-2</v>
      </c>
      <c r="Z54">
        <v>7.3550000000000004E-4</v>
      </c>
      <c r="AA54">
        <v>1.9855999999999999E-2</v>
      </c>
      <c r="AB54">
        <v>0.82047999999999999</v>
      </c>
      <c r="AC54">
        <v>1.244E-2</v>
      </c>
      <c r="AD54">
        <v>2.2545E-4</v>
      </c>
      <c r="AE54">
        <v>3.4245999999999999E-3</v>
      </c>
      <c r="AF54">
        <v>3.4816E-2</v>
      </c>
      <c r="AG54">
        <v>5.8338999999999999</v>
      </c>
      <c r="AH54">
        <v>5.8338999999999999</v>
      </c>
      <c r="AI54">
        <v>7.2693000000000003</v>
      </c>
      <c r="AJ54">
        <v>1.1006999999999999E-2</v>
      </c>
      <c r="AK54">
        <v>441.68079999999998</v>
      </c>
      <c r="AL54">
        <v>8.8555999999999996E-2</v>
      </c>
      <c r="AM54">
        <v>2.9569999999999999</v>
      </c>
      <c r="AN54">
        <v>0</v>
      </c>
      <c r="AO54">
        <v>1.0291999999999999</v>
      </c>
      <c r="AP54">
        <v>0.40286</v>
      </c>
      <c r="AQ54">
        <v>0.62368999999999997</v>
      </c>
      <c r="AR54">
        <v>2.0830000000000001E-2</v>
      </c>
      <c r="AS54">
        <v>-1.8332999999999999</v>
      </c>
      <c r="AT54">
        <v>-203.27070000000001</v>
      </c>
    </row>
    <row r="55" spans="2:46" x14ac:dyDescent="0.25">
      <c r="B55" t="s">
        <v>424</v>
      </c>
      <c r="C55">
        <v>56.35</v>
      </c>
      <c r="D55">
        <v>-94.716999999999985</v>
      </c>
      <c r="E55" t="s">
        <v>425</v>
      </c>
      <c r="F55" t="s">
        <v>305</v>
      </c>
      <c r="G55">
        <v>4122.8203000000003</v>
      </c>
      <c r="H55">
        <v>1847.2429</v>
      </c>
      <c r="I55">
        <v>50325.273399999998</v>
      </c>
      <c r="J55">
        <v>0.19796</v>
      </c>
      <c r="K55">
        <v>1.7541999999999999E-2</v>
      </c>
      <c r="L55">
        <v>2.8233000000000001</v>
      </c>
      <c r="M55">
        <v>0.92700000000000005</v>
      </c>
      <c r="N55" s="139">
        <v>2.7344000000000001E-5</v>
      </c>
      <c r="O55">
        <v>0</v>
      </c>
      <c r="P55">
        <v>0</v>
      </c>
      <c r="Q55">
        <v>1.333</v>
      </c>
      <c r="R55">
        <v>1.6060999999999999E-2</v>
      </c>
      <c r="S55">
        <v>71.534400000000005</v>
      </c>
      <c r="T55">
        <v>8.4110999999999995E-3</v>
      </c>
      <c r="U55">
        <v>0.12942999999999999</v>
      </c>
      <c r="V55">
        <v>0.17147999999999999</v>
      </c>
      <c r="W55">
        <v>1.831</v>
      </c>
      <c r="X55">
        <v>8.7106000000000006E-3</v>
      </c>
      <c r="Y55">
        <v>1.1105E-2</v>
      </c>
      <c r="Z55">
        <v>7.3550000000000004E-4</v>
      </c>
      <c r="AA55">
        <v>1.9855999999999999E-2</v>
      </c>
      <c r="AB55">
        <v>0.82047999999999999</v>
      </c>
      <c r="AC55">
        <v>1.244E-2</v>
      </c>
      <c r="AD55">
        <v>2.2545E-4</v>
      </c>
      <c r="AE55">
        <v>3.4245999999999999E-3</v>
      </c>
      <c r="AF55">
        <v>3.4816E-2</v>
      </c>
      <c r="AG55">
        <v>5.8338999999999999</v>
      </c>
      <c r="AH55">
        <v>5.8338999999999999</v>
      </c>
      <c r="AI55">
        <v>7.2693000000000003</v>
      </c>
      <c r="AJ55">
        <v>1.1006999999999999E-2</v>
      </c>
      <c r="AK55">
        <v>441.68079999999998</v>
      </c>
      <c r="AL55">
        <v>8.8555999999999996E-2</v>
      </c>
      <c r="AM55">
        <v>2.5402999999999998</v>
      </c>
      <c r="AN55">
        <v>0</v>
      </c>
      <c r="AO55">
        <v>1.3009999999999999</v>
      </c>
      <c r="AP55">
        <v>0.40286</v>
      </c>
      <c r="AQ55">
        <v>0.62368999999999997</v>
      </c>
      <c r="AR55">
        <v>2.0830000000000001E-2</v>
      </c>
      <c r="AS55">
        <v>-1.8332999999999999</v>
      </c>
      <c r="AT55">
        <v>-203.27070000000001</v>
      </c>
    </row>
    <row r="56" spans="2:46" x14ac:dyDescent="0.25">
      <c r="B56" t="s">
        <v>426</v>
      </c>
      <c r="C56">
        <v>45.317</v>
      </c>
      <c r="D56">
        <v>-65.882999999999981</v>
      </c>
      <c r="E56" t="s">
        <v>427</v>
      </c>
      <c r="F56" t="s">
        <v>306</v>
      </c>
      <c r="G56">
        <v>3887.0383999999999</v>
      </c>
      <c r="H56">
        <v>2031.1932999999999</v>
      </c>
      <c r="I56">
        <v>34286.7713</v>
      </c>
      <c r="J56">
        <v>0.38834000000000002</v>
      </c>
      <c r="K56">
        <v>0.21401000000000001</v>
      </c>
      <c r="L56">
        <v>1.5760000000000001</v>
      </c>
      <c r="M56">
        <v>0.59533000000000003</v>
      </c>
      <c r="N56">
        <v>0</v>
      </c>
      <c r="O56">
        <v>0</v>
      </c>
      <c r="P56">
        <v>0</v>
      </c>
      <c r="Q56">
        <v>72.620400000000004</v>
      </c>
      <c r="R56">
        <v>0.14124999999999999</v>
      </c>
      <c r="S56">
        <v>507.59809999999999</v>
      </c>
      <c r="T56">
        <v>8.4110999999999995E-3</v>
      </c>
      <c r="U56">
        <v>0.91839999999999999</v>
      </c>
      <c r="V56">
        <v>1.2168000000000001</v>
      </c>
      <c r="W56">
        <v>1.831</v>
      </c>
      <c r="X56">
        <v>8.7106000000000006E-3</v>
      </c>
      <c r="Y56">
        <v>1.1105E-2</v>
      </c>
      <c r="Z56">
        <v>7.3550000000000004E-4</v>
      </c>
      <c r="AA56">
        <v>1.9855999999999999E-2</v>
      </c>
      <c r="AB56">
        <v>0.82047999999999999</v>
      </c>
      <c r="AC56">
        <v>1.244E-2</v>
      </c>
      <c r="AD56">
        <v>2.2545E-4</v>
      </c>
      <c r="AE56">
        <v>3.4245999999999999E-3</v>
      </c>
      <c r="AF56">
        <v>3.4816E-2</v>
      </c>
      <c r="AG56">
        <v>41.396700000000003</v>
      </c>
      <c r="AH56">
        <v>41.396700000000003</v>
      </c>
      <c r="AI56">
        <v>51.582099999999997</v>
      </c>
      <c r="AJ56">
        <v>1.1006999999999999E-2</v>
      </c>
      <c r="AK56">
        <v>441.68079999999998</v>
      </c>
      <c r="AL56">
        <v>8.8555999999999996E-2</v>
      </c>
      <c r="AM56">
        <v>27.4617</v>
      </c>
      <c r="AN56">
        <v>0</v>
      </c>
      <c r="AO56">
        <v>4.3537999999999997</v>
      </c>
      <c r="AP56">
        <v>0.40286</v>
      </c>
      <c r="AQ56">
        <v>0.62368999999999997</v>
      </c>
      <c r="AR56">
        <v>2.0830000000000001E-2</v>
      </c>
      <c r="AS56">
        <v>-1.8332999999999999</v>
      </c>
      <c r="AT56">
        <v>-203.27070000000001</v>
      </c>
    </row>
    <row r="57" spans="2:46" x14ac:dyDescent="0.25">
      <c r="B57" t="s">
        <v>428</v>
      </c>
      <c r="C57">
        <v>45.866999999999997</v>
      </c>
      <c r="D57">
        <v>-66.533000000000015</v>
      </c>
      <c r="E57" t="s">
        <v>429</v>
      </c>
      <c r="F57" t="s">
        <v>306</v>
      </c>
      <c r="G57">
        <v>3909.1878999999999</v>
      </c>
      <c r="H57">
        <v>2067.4517000000001</v>
      </c>
      <c r="I57">
        <v>34445.311399999999</v>
      </c>
      <c r="J57">
        <v>0.34922999999999998</v>
      </c>
      <c r="K57">
        <v>1.1420999999999999</v>
      </c>
      <c r="L57">
        <v>1.6022000000000001</v>
      </c>
      <c r="M57">
        <v>0.61482000000000003</v>
      </c>
      <c r="N57" s="139">
        <v>6.8591000000000001E-6</v>
      </c>
      <c r="O57">
        <v>0</v>
      </c>
      <c r="P57">
        <v>0</v>
      </c>
      <c r="Q57">
        <v>85.385599999999997</v>
      </c>
      <c r="R57">
        <v>0.14717</v>
      </c>
      <c r="S57">
        <v>507.59809999999999</v>
      </c>
      <c r="T57">
        <v>8.4110999999999995E-3</v>
      </c>
      <c r="U57">
        <v>0.91839999999999999</v>
      </c>
      <c r="V57">
        <v>1.2168000000000001</v>
      </c>
      <c r="W57">
        <v>1.831</v>
      </c>
      <c r="X57">
        <v>8.7106000000000006E-3</v>
      </c>
      <c r="Y57">
        <v>1.1105E-2</v>
      </c>
      <c r="Z57">
        <v>7.3550000000000004E-4</v>
      </c>
      <c r="AA57">
        <v>1.9855999999999999E-2</v>
      </c>
      <c r="AB57">
        <v>0.82047999999999999</v>
      </c>
      <c r="AC57">
        <v>1.244E-2</v>
      </c>
      <c r="AD57">
        <v>2.2545E-4</v>
      </c>
      <c r="AE57">
        <v>3.4245999999999999E-3</v>
      </c>
      <c r="AF57">
        <v>3.4816E-2</v>
      </c>
      <c r="AG57">
        <v>41.396700000000003</v>
      </c>
      <c r="AH57">
        <v>41.396700000000003</v>
      </c>
      <c r="AI57">
        <v>51.582099999999997</v>
      </c>
      <c r="AJ57">
        <v>1.1006999999999999E-2</v>
      </c>
      <c r="AK57">
        <v>441.68079999999998</v>
      </c>
      <c r="AL57">
        <v>8.8555999999999996E-2</v>
      </c>
      <c r="AM57">
        <v>27.183800000000002</v>
      </c>
      <c r="AN57">
        <v>0</v>
      </c>
      <c r="AO57">
        <v>4.3042999999999996</v>
      </c>
      <c r="AP57">
        <v>0.40286</v>
      </c>
      <c r="AQ57">
        <v>0.62368999999999997</v>
      </c>
      <c r="AR57">
        <v>2.0830000000000001E-2</v>
      </c>
      <c r="AS57">
        <v>-1.8332999999999999</v>
      </c>
      <c r="AT57">
        <v>-203.27070000000001</v>
      </c>
    </row>
    <row r="58" spans="2:46" x14ac:dyDescent="0.25">
      <c r="B58" t="s">
        <v>430</v>
      </c>
      <c r="C58">
        <v>46.112000000000002</v>
      </c>
      <c r="D58">
        <v>-64.678999999999974</v>
      </c>
      <c r="E58" t="s">
        <v>431</v>
      </c>
      <c r="F58" t="s">
        <v>306</v>
      </c>
      <c r="G58">
        <v>3902.3982999999998</v>
      </c>
      <c r="H58">
        <v>2073.1821</v>
      </c>
      <c r="I58">
        <v>34284.634599999998</v>
      </c>
      <c r="J58">
        <v>0.36920999999999998</v>
      </c>
      <c r="K58">
        <v>0.79990000000000006</v>
      </c>
      <c r="L58">
        <v>1.5811999999999999</v>
      </c>
      <c r="M58">
        <v>0.59965999999999997</v>
      </c>
      <c r="N58">
        <v>0</v>
      </c>
      <c r="O58">
        <v>0</v>
      </c>
      <c r="P58">
        <v>0</v>
      </c>
      <c r="Q58">
        <v>87.491900000000001</v>
      </c>
      <c r="R58">
        <v>0.15073</v>
      </c>
      <c r="S58">
        <v>507.59809999999999</v>
      </c>
      <c r="T58">
        <v>8.4110999999999995E-3</v>
      </c>
      <c r="U58">
        <v>0.91839999999999999</v>
      </c>
      <c r="V58">
        <v>1.2168000000000001</v>
      </c>
      <c r="W58">
        <v>1.831</v>
      </c>
      <c r="X58">
        <v>8.7106000000000006E-3</v>
      </c>
      <c r="Y58">
        <v>1.1105E-2</v>
      </c>
      <c r="Z58">
        <v>7.3550000000000004E-4</v>
      </c>
      <c r="AA58">
        <v>1.9855999999999999E-2</v>
      </c>
      <c r="AB58">
        <v>0.82047999999999999</v>
      </c>
      <c r="AC58">
        <v>1.244E-2</v>
      </c>
      <c r="AD58">
        <v>2.2545E-4</v>
      </c>
      <c r="AE58">
        <v>3.4245999999999999E-3</v>
      </c>
      <c r="AF58">
        <v>3.4816E-2</v>
      </c>
      <c r="AG58">
        <v>41.396700000000003</v>
      </c>
      <c r="AH58">
        <v>41.396700000000003</v>
      </c>
      <c r="AI58">
        <v>51.582099999999997</v>
      </c>
      <c r="AJ58">
        <v>1.1006999999999999E-2</v>
      </c>
      <c r="AK58">
        <v>441.68079999999998</v>
      </c>
      <c r="AL58">
        <v>8.8555999999999996E-2</v>
      </c>
      <c r="AM58">
        <v>27.529499999999999</v>
      </c>
      <c r="AN58">
        <v>0</v>
      </c>
      <c r="AO58">
        <v>4.3070000000000004</v>
      </c>
      <c r="AP58">
        <v>0.40286</v>
      </c>
      <c r="AQ58">
        <v>0.62368999999999997</v>
      </c>
      <c r="AR58">
        <v>2.0830000000000001E-2</v>
      </c>
      <c r="AS58">
        <v>-1.8332999999999999</v>
      </c>
      <c r="AT58">
        <v>-203.27070000000001</v>
      </c>
    </row>
    <row r="59" spans="2:46" x14ac:dyDescent="0.25">
      <c r="B59" t="s">
        <v>432</v>
      </c>
      <c r="C59">
        <v>47.619</v>
      </c>
      <c r="D59">
        <v>-52.75200000000001</v>
      </c>
      <c r="E59" t="s">
        <v>433</v>
      </c>
      <c r="F59" t="s">
        <v>307</v>
      </c>
      <c r="G59">
        <v>3295.6397999999999</v>
      </c>
      <c r="H59">
        <v>1951.47</v>
      </c>
      <c r="I59">
        <v>34232.765299999999</v>
      </c>
      <c r="J59">
        <v>0.39451000000000003</v>
      </c>
      <c r="K59">
        <v>7.4909E-4</v>
      </c>
      <c r="L59">
        <v>1.6303000000000001</v>
      </c>
      <c r="M59">
        <v>0.57401999999999997</v>
      </c>
      <c r="N59">
        <v>0</v>
      </c>
      <c r="O59">
        <v>0</v>
      </c>
      <c r="P59">
        <v>0</v>
      </c>
      <c r="Q59">
        <v>9.6423000000000005</v>
      </c>
      <c r="R59">
        <v>9.7897999999999999E-2</v>
      </c>
      <c r="S59">
        <v>113.1469</v>
      </c>
      <c r="T59">
        <v>8.4110999999999995E-3</v>
      </c>
      <c r="U59">
        <v>0.20472000000000001</v>
      </c>
      <c r="V59">
        <v>0.27123000000000003</v>
      </c>
      <c r="W59">
        <v>1.831</v>
      </c>
      <c r="X59">
        <v>8.7106000000000006E-3</v>
      </c>
      <c r="Y59">
        <v>1.1105E-2</v>
      </c>
      <c r="Z59">
        <v>7.3550000000000004E-4</v>
      </c>
      <c r="AA59">
        <v>1.9855999999999999E-2</v>
      </c>
      <c r="AB59">
        <v>0.82047999999999999</v>
      </c>
      <c r="AC59">
        <v>1.244E-2</v>
      </c>
      <c r="AD59">
        <v>2.2545E-4</v>
      </c>
      <c r="AE59">
        <v>3.4245999999999999E-3</v>
      </c>
      <c r="AF59">
        <v>3.4816E-2</v>
      </c>
      <c r="AG59">
        <v>9.2276000000000007</v>
      </c>
      <c r="AH59">
        <v>9.2276000000000007</v>
      </c>
      <c r="AI59">
        <v>11.497999999999999</v>
      </c>
      <c r="AJ59">
        <v>1.1006999999999999E-2</v>
      </c>
      <c r="AK59">
        <v>441.68079999999998</v>
      </c>
      <c r="AL59">
        <v>8.8555999999999996E-2</v>
      </c>
      <c r="AM59">
        <v>6.1379999999999999</v>
      </c>
      <c r="AN59">
        <v>0</v>
      </c>
      <c r="AO59">
        <v>0.99526999999999999</v>
      </c>
      <c r="AP59">
        <v>0.40286</v>
      </c>
      <c r="AQ59">
        <v>0.62368999999999997</v>
      </c>
      <c r="AR59">
        <v>2.0830000000000001E-2</v>
      </c>
      <c r="AS59">
        <v>-1.8332999999999999</v>
      </c>
      <c r="AT59">
        <v>-203.27070000000001</v>
      </c>
    </row>
    <row r="60" spans="2:46" x14ac:dyDescent="0.25">
      <c r="B60" t="s">
        <v>434</v>
      </c>
      <c r="C60">
        <v>48.936999999999998</v>
      </c>
      <c r="D60">
        <v>-54.567999999999984</v>
      </c>
      <c r="E60" t="s">
        <v>435</v>
      </c>
      <c r="F60" t="s">
        <v>307</v>
      </c>
      <c r="G60">
        <v>3394.1437999999998</v>
      </c>
      <c r="H60">
        <v>1932.2098000000001</v>
      </c>
      <c r="I60">
        <v>36039.293799999999</v>
      </c>
      <c r="J60">
        <v>0.37234</v>
      </c>
      <c r="K60">
        <v>1.6591999999999999E-2</v>
      </c>
      <c r="L60">
        <v>1.7513000000000001</v>
      </c>
      <c r="M60">
        <v>0.64000999999999997</v>
      </c>
      <c r="N60">
        <v>0</v>
      </c>
      <c r="O60">
        <v>0</v>
      </c>
      <c r="P60">
        <v>0</v>
      </c>
      <c r="Q60">
        <v>8.0728000000000009</v>
      </c>
      <c r="R60">
        <v>7.5380000000000003E-2</v>
      </c>
      <c r="S60">
        <v>113.1469</v>
      </c>
      <c r="T60">
        <v>8.4110999999999995E-3</v>
      </c>
      <c r="U60">
        <v>0.20472000000000001</v>
      </c>
      <c r="V60">
        <v>0.27123000000000003</v>
      </c>
      <c r="W60">
        <v>1.831</v>
      </c>
      <c r="X60">
        <v>8.7106000000000006E-3</v>
      </c>
      <c r="Y60">
        <v>1.1105E-2</v>
      </c>
      <c r="Z60">
        <v>7.3550000000000004E-4</v>
      </c>
      <c r="AA60">
        <v>1.9855999999999999E-2</v>
      </c>
      <c r="AB60">
        <v>0.82047999999999999</v>
      </c>
      <c r="AC60">
        <v>1.244E-2</v>
      </c>
      <c r="AD60">
        <v>2.2545E-4</v>
      </c>
      <c r="AE60">
        <v>3.4245999999999999E-3</v>
      </c>
      <c r="AF60">
        <v>3.4816E-2</v>
      </c>
      <c r="AG60">
        <v>9.2276000000000007</v>
      </c>
      <c r="AH60">
        <v>9.2276000000000007</v>
      </c>
      <c r="AI60">
        <v>11.497999999999999</v>
      </c>
      <c r="AJ60">
        <v>1.1006999999999999E-2</v>
      </c>
      <c r="AK60">
        <v>441.68079999999998</v>
      </c>
      <c r="AL60">
        <v>8.8555999999999996E-2</v>
      </c>
      <c r="AM60">
        <v>6.04</v>
      </c>
      <c r="AN60">
        <v>0</v>
      </c>
      <c r="AO60">
        <v>1.0643</v>
      </c>
      <c r="AP60">
        <v>0.40286</v>
      </c>
      <c r="AQ60">
        <v>0.62368999999999997</v>
      </c>
      <c r="AR60">
        <v>2.0830000000000001E-2</v>
      </c>
      <c r="AS60">
        <v>-1.8332999999999999</v>
      </c>
      <c r="AT60">
        <v>-203.27070000000001</v>
      </c>
    </row>
    <row r="61" spans="2:46" x14ac:dyDescent="0.25">
      <c r="B61" t="s">
        <v>436</v>
      </c>
      <c r="C61">
        <v>49.216999999999999</v>
      </c>
      <c r="D61">
        <v>-57.399999999999977</v>
      </c>
      <c r="E61" t="s">
        <v>437</v>
      </c>
      <c r="F61" t="s">
        <v>307</v>
      </c>
      <c r="G61">
        <v>3418.7458999999999</v>
      </c>
      <c r="H61">
        <v>1948.4873</v>
      </c>
      <c r="I61">
        <v>36459.211900000002</v>
      </c>
      <c r="J61">
        <v>0.36033999999999999</v>
      </c>
      <c r="K61">
        <v>5.0945999999999998E-2</v>
      </c>
      <c r="L61">
        <v>1.7718</v>
      </c>
      <c r="M61">
        <v>0.65686</v>
      </c>
      <c r="N61">
        <v>0</v>
      </c>
      <c r="O61">
        <v>0</v>
      </c>
      <c r="P61">
        <v>0</v>
      </c>
      <c r="Q61">
        <v>9.3962000000000003</v>
      </c>
      <c r="R61">
        <v>8.3107E-2</v>
      </c>
      <c r="S61">
        <v>113.1469</v>
      </c>
      <c r="T61">
        <v>8.4110999999999995E-3</v>
      </c>
      <c r="U61">
        <v>0.20472000000000001</v>
      </c>
      <c r="V61">
        <v>0.27123000000000003</v>
      </c>
      <c r="W61">
        <v>1.831</v>
      </c>
      <c r="X61">
        <v>8.7106000000000006E-3</v>
      </c>
      <c r="Y61">
        <v>1.1105E-2</v>
      </c>
      <c r="Z61">
        <v>7.3550000000000004E-4</v>
      </c>
      <c r="AA61">
        <v>1.9855999999999999E-2</v>
      </c>
      <c r="AB61">
        <v>0.82047999999999999</v>
      </c>
      <c r="AC61">
        <v>1.244E-2</v>
      </c>
      <c r="AD61">
        <v>2.2545E-4</v>
      </c>
      <c r="AE61">
        <v>3.4245999999999999E-3</v>
      </c>
      <c r="AF61">
        <v>3.4816E-2</v>
      </c>
      <c r="AG61">
        <v>9.2276000000000007</v>
      </c>
      <c r="AH61">
        <v>9.2276000000000007</v>
      </c>
      <c r="AI61">
        <v>11.497999999999999</v>
      </c>
      <c r="AJ61">
        <v>1.1006999999999999E-2</v>
      </c>
      <c r="AK61">
        <v>441.68079999999998</v>
      </c>
      <c r="AL61">
        <v>8.8555999999999996E-2</v>
      </c>
      <c r="AM61">
        <v>6.0053000000000001</v>
      </c>
      <c r="AN61">
        <v>0</v>
      </c>
      <c r="AO61">
        <v>1.0787</v>
      </c>
      <c r="AP61">
        <v>0.40286</v>
      </c>
      <c r="AQ61">
        <v>0.62368999999999997</v>
      </c>
      <c r="AR61">
        <v>2.0830000000000001E-2</v>
      </c>
      <c r="AS61">
        <v>-1.8332999999999999</v>
      </c>
      <c r="AT61">
        <v>-203.27070000000001</v>
      </c>
    </row>
    <row r="62" spans="2:46" x14ac:dyDescent="0.25">
      <c r="B62" t="s">
        <v>438</v>
      </c>
      <c r="C62">
        <v>48.533000000000001</v>
      </c>
      <c r="D62">
        <v>-58.550000000000011</v>
      </c>
      <c r="E62" t="s">
        <v>439</v>
      </c>
      <c r="F62" t="s">
        <v>307</v>
      </c>
      <c r="G62">
        <v>3309.8854000000001</v>
      </c>
      <c r="H62">
        <v>1990.3824999999999</v>
      </c>
      <c r="I62">
        <v>34432.181700000001</v>
      </c>
      <c r="J62">
        <v>0.38618999999999998</v>
      </c>
      <c r="K62">
        <v>3.5899999999999999E-3</v>
      </c>
      <c r="L62">
        <v>1.6125</v>
      </c>
      <c r="M62">
        <v>0.59226999999999996</v>
      </c>
      <c r="N62">
        <v>0</v>
      </c>
      <c r="O62">
        <v>0</v>
      </c>
      <c r="P62">
        <v>0</v>
      </c>
      <c r="Q62">
        <v>12.8507</v>
      </c>
      <c r="R62">
        <v>0.12139999999999999</v>
      </c>
      <c r="S62">
        <v>113.1469</v>
      </c>
      <c r="T62">
        <v>8.4110999999999995E-3</v>
      </c>
      <c r="U62">
        <v>0.20472000000000001</v>
      </c>
      <c r="V62">
        <v>0.27123000000000003</v>
      </c>
      <c r="W62">
        <v>1.831</v>
      </c>
      <c r="X62">
        <v>8.7106000000000006E-3</v>
      </c>
      <c r="Y62">
        <v>1.1105E-2</v>
      </c>
      <c r="Z62">
        <v>7.3550000000000004E-4</v>
      </c>
      <c r="AA62">
        <v>1.9855999999999999E-2</v>
      </c>
      <c r="AB62">
        <v>0.82047999999999999</v>
      </c>
      <c r="AC62">
        <v>1.244E-2</v>
      </c>
      <c r="AD62">
        <v>2.2545E-4</v>
      </c>
      <c r="AE62">
        <v>3.4245999999999999E-3</v>
      </c>
      <c r="AF62">
        <v>3.4816E-2</v>
      </c>
      <c r="AG62">
        <v>9.2276000000000007</v>
      </c>
      <c r="AH62">
        <v>9.2276000000000007</v>
      </c>
      <c r="AI62">
        <v>11.497999999999999</v>
      </c>
      <c r="AJ62">
        <v>1.1006999999999999E-2</v>
      </c>
      <c r="AK62">
        <v>441.68079999999998</v>
      </c>
      <c r="AL62">
        <v>8.8555999999999996E-2</v>
      </c>
      <c r="AM62">
        <v>6.1506999999999996</v>
      </c>
      <c r="AN62">
        <v>0</v>
      </c>
      <c r="AO62">
        <v>0.96875</v>
      </c>
      <c r="AP62">
        <v>0.40286</v>
      </c>
      <c r="AQ62">
        <v>0.62368999999999997</v>
      </c>
      <c r="AR62">
        <v>2.0830000000000001E-2</v>
      </c>
      <c r="AS62">
        <v>-1.8332999999999999</v>
      </c>
      <c r="AT62">
        <v>-203.27070000000001</v>
      </c>
    </row>
    <row r="63" spans="2:46" x14ac:dyDescent="0.25">
      <c r="B63" t="s">
        <v>440</v>
      </c>
      <c r="C63">
        <v>53.317</v>
      </c>
      <c r="D63">
        <v>-60.416999999999973</v>
      </c>
      <c r="E63" t="s">
        <v>441</v>
      </c>
      <c r="F63" t="s">
        <v>307</v>
      </c>
      <c r="G63">
        <v>3833.4169000000002</v>
      </c>
      <c r="H63">
        <v>1850.9054000000001</v>
      </c>
      <c r="I63">
        <v>44088.610200000003</v>
      </c>
      <c r="J63">
        <v>0.20544000000000001</v>
      </c>
      <c r="K63">
        <v>7.2684999999999998E-3</v>
      </c>
      <c r="L63">
        <v>2.3809999999999998</v>
      </c>
      <c r="M63">
        <v>0.87021000000000004</v>
      </c>
      <c r="N63">
        <v>0</v>
      </c>
      <c r="O63">
        <v>0</v>
      </c>
      <c r="P63">
        <v>0</v>
      </c>
      <c r="Q63">
        <v>2.0836999999999999</v>
      </c>
      <c r="R63">
        <v>1.6466999999999999E-2</v>
      </c>
      <c r="S63">
        <v>113.1469</v>
      </c>
      <c r="T63">
        <v>8.4110999999999995E-3</v>
      </c>
      <c r="U63">
        <v>0.20472000000000001</v>
      </c>
      <c r="V63">
        <v>0.27123000000000003</v>
      </c>
      <c r="W63">
        <v>1.831</v>
      </c>
      <c r="X63">
        <v>8.7106000000000006E-3</v>
      </c>
      <c r="Y63">
        <v>1.1105E-2</v>
      </c>
      <c r="Z63">
        <v>7.3550000000000004E-4</v>
      </c>
      <c r="AA63">
        <v>1.9855999999999999E-2</v>
      </c>
      <c r="AB63">
        <v>0.82047999999999999</v>
      </c>
      <c r="AC63">
        <v>1.244E-2</v>
      </c>
      <c r="AD63">
        <v>2.2545E-4</v>
      </c>
      <c r="AE63">
        <v>3.4245999999999999E-3</v>
      </c>
      <c r="AF63">
        <v>3.4816E-2</v>
      </c>
      <c r="AG63">
        <v>9.2276000000000007</v>
      </c>
      <c r="AH63">
        <v>9.2276000000000007</v>
      </c>
      <c r="AI63">
        <v>11.497999999999999</v>
      </c>
      <c r="AJ63">
        <v>1.1006999999999999E-2</v>
      </c>
      <c r="AK63">
        <v>441.68079999999998</v>
      </c>
      <c r="AL63">
        <v>8.8555999999999996E-2</v>
      </c>
      <c r="AM63">
        <v>4.9432999999999998</v>
      </c>
      <c r="AN63">
        <v>0</v>
      </c>
      <c r="AO63">
        <v>1.4785999999999999</v>
      </c>
      <c r="AP63">
        <v>0.40286</v>
      </c>
      <c r="AQ63">
        <v>0.62368999999999997</v>
      </c>
      <c r="AR63">
        <v>2.0830000000000001E-2</v>
      </c>
      <c r="AS63">
        <v>-1.8332999999999999</v>
      </c>
      <c r="AT63">
        <v>-203.27070000000001</v>
      </c>
    </row>
    <row r="64" spans="2:46" x14ac:dyDescent="0.25">
      <c r="B64" t="s">
        <v>442</v>
      </c>
      <c r="C64">
        <v>53.716999999999999</v>
      </c>
      <c r="D64">
        <v>-57.033000000000015</v>
      </c>
      <c r="E64" t="s">
        <v>443</v>
      </c>
      <c r="F64" t="s">
        <v>307</v>
      </c>
      <c r="G64">
        <v>3800.1633000000002</v>
      </c>
      <c r="H64">
        <v>1847.2379000000001</v>
      </c>
      <c r="I64">
        <v>43493.833200000001</v>
      </c>
      <c r="J64">
        <v>0.32071</v>
      </c>
      <c r="K64">
        <v>1.1964E-4</v>
      </c>
      <c r="L64">
        <v>2.2845</v>
      </c>
      <c r="M64">
        <v>0.80725999999999998</v>
      </c>
      <c r="N64">
        <v>0</v>
      </c>
      <c r="O64">
        <v>0</v>
      </c>
      <c r="P64">
        <v>0</v>
      </c>
      <c r="Q64">
        <v>1.4908999999999999</v>
      </c>
      <c r="R64">
        <v>1.3801000000000001E-2</v>
      </c>
      <c r="S64">
        <v>113.1469</v>
      </c>
      <c r="T64">
        <v>8.4110999999999995E-3</v>
      </c>
      <c r="U64">
        <v>0.20472000000000001</v>
      </c>
      <c r="V64">
        <v>0.27123000000000003</v>
      </c>
      <c r="W64">
        <v>1.831</v>
      </c>
      <c r="X64">
        <v>8.7106000000000006E-3</v>
      </c>
      <c r="Y64">
        <v>1.1105E-2</v>
      </c>
      <c r="Z64">
        <v>7.3550000000000004E-4</v>
      </c>
      <c r="AA64">
        <v>1.9855999999999999E-2</v>
      </c>
      <c r="AB64">
        <v>0.82047999999999999</v>
      </c>
      <c r="AC64">
        <v>1.244E-2</v>
      </c>
      <c r="AD64">
        <v>2.2545E-4</v>
      </c>
      <c r="AE64">
        <v>3.4245999999999999E-3</v>
      </c>
      <c r="AF64">
        <v>3.4816E-2</v>
      </c>
      <c r="AG64">
        <v>9.2276000000000007</v>
      </c>
      <c r="AH64">
        <v>9.2276000000000007</v>
      </c>
      <c r="AI64">
        <v>11.497999999999999</v>
      </c>
      <c r="AJ64">
        <v>1.1006999999999999E-2</v>
      </c>
      <c r="AK64">
        <v>441.68079999999998</v>
      </c>
      <c r="AL64">
        <v>8.8555999999999996E-2</v>
      </c>
      <c r="AM64">
        <v>5.2214999999999998</v>
      </c>
      <c r="AN64">
        <v>0</v>
      </c>
      <c r="AO64">
        <v>1.4988999999999999</v>
      </c>
      <c r="AP64">
        <v>0.40286</v>
      </c>
      <c r="AQ64">
        <v>0.62368999999999997</v>
      </c>
      <c r="AR64">
        <v>2.0830000000000001E-2</v>
      </c>
      <c r="AS64">
        <v>-1.8332999999999999</v>
      </c>
      <c r="AT64">
        <v>-203.27070000000001</v>
      </c>
    </row>
    <row r="65" spans="2:46" x14ac:dyDescent="0.25">
      <c r="B65" t="s">
        <v>444</v>
      </c>
      <c r="C65">
        <v>52.921999999999997</v>
      </c>
      <c r="D65">
        <v>-66.863999999999976</v>
      </c>
      <c r="E65" t="s">
        <v>445</v>
      </c>
      <c r="F65" t="s">
        <v>307</v>
      </c>
      <c r="G65">
        <v>4114.1229999999996</v>
      </c>
      <c r="H65">
        <v>1839.4648999999999</v>
      </c>
      <c r="I65">
        <v>49172.227400000003</v>
      </c>
      <c r="J65">
        <v>0.22437000000000001</v>
      </c>
      <c r="K65">
        <v>2.6795E-3</v>
      </c>
      <c r="L65">
        <v>2.7178</v>
      </c>
      <c r="M65">
        <v>0.91844000000000003</v>
      </c>
      <c r="N65" s="139">
        <v>5.4415000000000003E-6</v>
      </c>
      <c r="O65">
        <v>0</v>
      </c>
      <c r="P65">
        <v>0</v>
      </c>
      <c r="Q65">
        <v>1.4590000000000001</v>
      </c>
      <c r="R65">
        <v>1.298E-2</v>
      </c>
      <c r="S65">
        <v>113.1469</v>
      </c>
      <c r="T65">
        <v>8.4110999999999995E-3</v>
      </c>
      <c r="U65">
        <v>0.20472000000000001</v>
      </c>
      <c r="V65">
        <v>0.27123000000000003</v>
      </c>
      <c r="W65">
        <v>1.831</v>
      </c>
      <c r="X65">
        <v>8.7106000000000006E-3</v>
      </c>
      <c r="Y65">
        <v>1.1105E-2</v>
      </c>
      <c r="Z65">
        <v>7.3550000000000004E-4</v>
      </c>
      <c r="AA65">
        <v>1.9855999999999999E-2</v>
      </c>
      <c r="AB65">
        <v>0.82047999999999999</v>
      </c>
      <c r="AC65">
        <v>1.244E-2</v>
      </c>
      <c r="AD65">
        <v>2.2545E-4</v>
      </c>
      <c r="AE65">
        <v>3.4245999999999999E-3</v>
      </c>
      <c r="AF65">
        <v>3.4816E-2</v>
      </c>
      <c r="AG65">
        <v>9.2276000000000007</v>
      </c>
      <c r="AH65">
        <v>9.2276000000000007</v>
      </c>
      <c r="AI65">
        <v>11.497999999999999</v>
      </c>
      <c r="AJ65">
        <v>1.1006999999999999E-2</v>
      </c>
      <c r="AK65">
        <v>441.68079999999998</v>
      </c>
      <c r="AL65">
        <v>8.8555999999999996E-2</v>
      </c>
      <c r="AM65">
        <v>4.2565</v>
      </c>
      <c r="AN65">
        <v>0</v>
      </c>
      <c r="AO65">
        <v>1.8546</v>
      </c>
      <c r="AP65">
        <v>0.40286</v>
      </c>
      <c r="AQ65">
        <v>0.62368999999999997</v>
      </c>
      <c r="AR65">
        <v>2.0830000000000001E-2</v>
      </c>
      <c r="AS65">
        <v>-1.8332999999999999</v>
      </c>
      <c r="AT65">
        <v>-203.27070000000001</v>
      </c>
    </row>
    <row r="66" spans="2:46" x14ac:dyDescent="0.25">
      <c r="B66" t="s">
        <v>446</v>
      </c>
      <c r="C66">
        <v>44.881</v>
      </c>
      <c r="D66">
        <v>-63.509000000000015</v>
      </c>
      <c r="E66" t="s">
        <v>447</v>
      </c>
      <c r="F66" t="s">
        <v>308</v>
      </c>
      <c r="G66">
        <v>4955.1957000000002</v>
      </c>
      <c r="H66">
        <v>2081.0672</v>
      </c>
      <c r="I66">
        <v>31973.2709</v>
      </c>
      <c r="J66">
        <v>0.39199000000000001</v>
      </c>
      <c r="K66">
        <v>1.2750999999999999</v>
      </c>
      <c r="L66">
        <v>1.4379999999999999</v>
      </c>
      <c r="M66">
        <v>0.52580000000000005</v>
      </c>
      <c r="N66">
        <v>0</v>
      </c>
      <c r="O66">
        <v>0</v>
      </c>
      <c r="P66">
        <v>0</v>
      </c>
      <c r="Q66">
        <v>229.38499999999999</v>
      </c>
      <c r="R66">
        <v>0.16288</v>
      </c>
      <c r="S66">
        <v>1287.0130999999999</v>
      </c>
      <c r="T66">
        <v>8.4110999999999995E-3</v>
      </c>
      <c r="U66">
        <v>2.3285999999999998</v>
      </c>
      <c r="V66">
        <v>3.0851999999999999</v>
      </c>
      <c r="W66">
        <v>1.831</v>
      </c>
      <c r="X66">
        <v>8.7106000000000006E-3</v>
      </c>
      <c r="Y66">
        <v>1.1105E-2</v>
      </c>
      <c r="Z66">
        <v>7.3550000000000004E-4</v>
      </c>
      <c r="AA66">
        <v>1.9855999999999999E-2</v>
      </c>
      <c r="AB66">
        <v>0.82047999999999999</v>
      </c>
      <c r="AC66">
        <v>1.244E-2</v>
      </c>
      <c r="AD66">
        <v>2.2545E-4</v>
      </c>
      <c r="AE66">
        <v>3.4245999999999999E-3</v>
      </c>
      <c r="AF66">
        <v>3.4816E-2</v>
      </c>
      <c r="AG66">
        <v>104.96120000000001</v>
      </c>
      <c r="AH66">
        <v>104.96120000000001</v>
      </c>
      <c r="AI66">
        <v>130.78630000000001</v>
      </c>
      <c r="AJ66">
        <v>1.1006999999999999E-2</v>
      </c>
      <c r="AK66">
        <v>441.68079999999998</v>
      </c>
      <c r="AL66">
        <v>8.8555999999999996E-2</v>
      </c>
      <c r="AM66">
        <v>71.386799999999994</v>
      </c>
      <c r="AN66">
        <v>0</v>
      </c>
      <c r="AO66">
        <v>9.9077999999999999</v>
      </c>
      <c r="AP66">
        <v>0.40286</v>
      </c>
      <c r="AQ66">
        <v>0.62368999999999997</v>
      </c>
      <c r="AR66">
        <v>2.0830000000000001E-2</v>
      </c>
      <c r="AS66">
        <v>-1.8332999999999999</v>
      </c>
      <c r="AT66">
        <v>-203.27070000000001</v>
      </c>
    </row>
    <row r="67" spans="2:46" x14ac:dyDescent="0.25">
      <c r="B67" t="s">
        <v>448</v>
      </c>
      <c r="C67">
        <v>44.984000000000002</v>
      </c>
      <c r="D67">
        <v>-64.916999999999973</v>
      </c>
      <c r="E67" t="s">
        <v>449</v>
      </c>
      <c r="F67" t="s">
        <v>308</v>
      </c>
      <c r="G67">
        <v>4916.2295000000004</v>
      </c>
      <c r="H67">
        <v>2115.0879</v>
      </c>
      <c r="I67">
        <v>30696.006300000001</v>
      </c>
      <c r="J67">
        <v>0.36742000000000002</v>
      </c>
      <c r="K67">
        <v>2.8895</v>
      </c>
      <c r="L67">
        <v>1.3758999999999999</v>
      </c>
      <c r="M67">
        <v>0.50478000000000001</v>
      </c>
      <c r="N67">
        <v>0</v>
      </c>
      <c r="O67">
        <v>0</v>
      </c>
      <c r="P67">
        <v>0</v>
      </c>
      <c r="Q67">
        <v>259.3211</v>
      </c>
      <c r="R67">
        <v>0.16994999999999999</v>
      </c>
      <c r="S67">
        <v>1287.0130999999999</v>
      </c>
      <c r="T67">
        <v>8.4110999999999995E-3</v>
      </c>
      <c r="U67">
        <v>2.3285999999999998</v>
      </c>
      <c r="V67">
        <v>3.0851999999999999</v>
      </c>
      <c r="W67">
        <v>1.831</v>
      </c>
      <c r="X67">
        <v>8.7106000000000006E-3</v>
      </c>
      <c r="Y67">
        <v>1.1105E-2</v>
      </c>
      <c r="Z67">
        <v>7.3550000000000004E-4</v>
      </c>
      <c r="AA67">
        <v>1.9855999999999999E-2</v>
      </c>
      <c r="AB67">
        <v>0.82047999999999999</v>
      </c>
      <c r="AC67">
        <v>1.244E-2</v>
      </c>
      <c r="AD67">
        <v>2.2545E-4</v>
      </c>
      <c r="AE67">
        <v>3.4245999999999999E-3</v>
      </c>
      <c r="AF67">
        <v>3.4816E-2</v>
      </c>
      <c r="AG67">
        <v>104.96120000000001</v>
      </c>
      <c r="AH67">
        <v>104.96120000000001</v>
      </c>
      <c r="AI67">
        <v>130.78630000000001</v>
      </c>
      <c r="AJ67">
        <v>1.1006999999999999E-2</v>
      </c>
      <c r="AK67">
        <v>441.68079999999998</v>
      </c>
      <c r="AL67">
        <v>8.8555999999999996E-2</v>
      </c>
      <c r="AM67">
        <v>72.2453</v>
      </c>
      <c r="AN67">
        <v>0</v>
      </c>
      <c r="AO67">
        <v>9.2965</v>
      </c>
      <c r="AP67">
        <v>0.40286</v>
      </c>
      <c r="AQ67">
        <v>0.62368999999999997</v>
      </c>
      <c r="AR67">
        <v>2.0830000000000001E-2</v>
      </c>
      <c r="AS67">
        <v>-1.8332999999999999</v>
      </c>
      <c r="AT67">
        <v>-203.27070000000001</v>
      </c>
    </row>
    <row r="68" spans="2:46" x14ac:dyDescent="0.25">
      <c r="B68" t="s">
        <v>450</v>
      </c>
      <c r="C68">
        <v>43.933</v>
      </c>
      <c r="D68">
        <v>-60.016999999999996</v>
      </c>
      <c r="E68" t="s">
        <v>451</v>
      </c>
      <c r="F68" t="s">
        <v>308</v>
      </c>
      <c r="G68">
        <v>4741.1382000000003</v>
      </c>
      <c r="H68">
        <v>2110.8508999999999</v>
      </c>
      <c r="I68">
        <v>27607.147700000001</v>
      </c>
      <c r="J68">
        <v>0.40508</v>
      </c>
      <c r="K68">
        <v>7.5339000000000003E-2</v>
      </c>
      <c r="L68">
        <v>1.1761999999999999</v>
      </c>
      <c r="M68">
        <v>0.4022</v>
      </c>
      <c r="N68">
        <v>0</v>
      </c>
      <c r="O68">
        <v>0</v>
      </c>
      <c r="P68">
        <v>0</v>
      </c>
      <c r="Q68">
        <v>257.24709999999999</v>
      </c>
      <c r="R68">
        <v>0.19128999999999999</v>
      </c>
      <c r="S68">
        <v>1287.0130999999999</v>
      </c>
      <c r="T68">
        <v>8.4110999999999995E-3</v>
      </c>
      <c r="U68">
        <v>2.3285999999999998</v>
      </c>
      <c r="V68">
        <v>3.0851999999999999</v>
      </c>
      <c r="W68">
        <v>1.831</v>
      </c>
      <c r="X68">
        <v>8.7106000000000006E-3</v>
      </c>
      <c r="Y68">
        <v>1.1105E-2</v>
      </c>
      <c r="Z68">
        <v>7.3550000000000004E-4</v>
      </c>
      <c r="AA68">
        <v>1.9855999999999999E-2</v>
      </c>
      <c r="AB68">
        <v>0.82047999999999999</v>
      </c>
      <c r="AC68">
        <v>1.244E-2</v>
      </c>
      <c r="AD68">
        <v>2.2545E-4</v>
      </c>
      <c r="AE68">
        <v>3.4245999999999999E-3</v>
      </c>
      <c r="AF68">
        <v>3.4816E-2</v>
      </c>
      <c r="AG68">
        <v>104.96120000000001</v>
      </c>
      <c r="AH68">
        <v>104.96120000000001</v>
      </c>
      <c r="AI68">
        <v>130.78630000000001</v>
      </c>
      <c r="AJ68">
        <v>1.1006999999999999E-2</v>
      </c>
      <c r="AK68">
        <v>441.68079999999998</v>
      </c>
      <c r="AL68">
        <v>8.8555999999999996E-2</v>
      </c>
      <c r="AM68">
        <v>74.479600000000005</v>
      </c>
      <c r="AN68">
        <v>0</v>
      </c>
      <c r="AO68">
        <v>7.9903000000000004</v>
      </c>
      <c r="AP68">
        <v>0.40286</v>
      </c>
      <c r="AQ68">
        <v>0.62368999999999997</v>
      </c>
      <c r="AR68">
        <v>2.0830000000000001E-2</v>
      </c>
      <c r="AS68">
        <v>-1.8332999999999999</v>
      </c>
      <c r="AT68">
        <v>-203.27070000000001</v>
      </c>
    </row>
    <row r="69" spans="2:46" x14ac:dyDescent="0.25">
      <c r="B69" t="s">
        <v>452</v>
      </c>
      <c r="C69">
        <v>43.826999999999998</v>
      </c>
      <c r="D69">
        <v>-66.088000000000022</v>
      </c>
      <c r="E69" t="s">
        <v>453</v>
      </c>
      <c r="F69" t="s">
        <v>308</v>
      </c>
      <c r="G69">
        <v>4846.0254000000004</v>
      </c>
      <c r="H69">
        <v>2093.3107</v>
      </c>
      <c r="I69">
        <v>29796.233899999999</v>
      </c>
      <c r="J69">
        <v>0.41427999999999998</v>
      </c>
      <c r="K69">
        <v>8.4485000000000005E-2</v>
      </c>
      <c r="L69">
        <v>1.2896000000000001</v>
      </c>
      <c r="M69">
        <v>0.45779999999999998</v>
      </c>
      <c r="N69">
        <v>0</v>
      </c>
      <c r="O69">
        <v>0</v>
      </c>
      <c r="P69">
        <v>0</v>
      </c>
      <c r="Q69">
        <v>241.79490000000001</v>
      </c>
      <c r="R69">
        <v>0.18554999999999999</v>
      </c>
      <c r="S69">
        <v>1287.0130999999999</v>
      </c>
      <c r="T69">
        <v>8.4110999999999995E-3</v>
      </c>
      <c r="U69">
        <v>2.3285999999999998</v>
      </c>
      <c r="V69">
        <v>3.0851999999999999</v>
      </c>
      <c r="W69">
        <v>1.831</v>
      </c>
      <c r="X69">
        <v>8.7106000000000006E-3</v>
      </c>
      <c r="Y69">
        <v>1.1105E-2</v>
      </c>
      <c r="Z69">
        <v>7.3550000000000004E-4</v>
      </c>
      <c r="AA69">
        <v>1.9855999999999999E-2</v>
      </c>
      <c r="AB69">
        <v>0.82047999999999999</v>
      </c>
      <c r="AC69">
        <v>1.244E-2</v>
      </c>
      <c r="AD69">
        <v>2.2545E-4</v>
      </c>
      <c r="AE69">
        <v>3.4245999999999999E-3</v>
      </c>
      <c r="AF69">
        <v>3.4816E-2</v>
      </c>
      <c r="AG69">
        <v>104.96120000000001</v>
      </c>
      <c r="AH69">
        <v>104.96120000000001</v>
      </c>
      <c r="AI69">
        <v>130.78630000000001</v>
      </c>
      <c r="AJ69">
        <v>1.1006999999999999E-2</v>
      </c>
      <c r="AK69">
        <v>441.68079999999998</v>
      </c>
      <c r="AL69">
        <v>8.8555999999999996E-2</v>
      </c>
      <c r="AM69">
        <v>72.753</v>
      </c>
      <c r="AN69">
        <v>0</v>
      </c>
      <c r="AO69">
        <v>8.7657000000000007</v>
      </c>
      <c r="AP69">
        <v>0.40286</v>
      </c>
      <c r="AQ69">
        <v>0.62368999999999997</v>
      </c>
      <c r="AR69">
        <v>2.0830000000000001E-2</v>
      </c>
      <c r="AS69">
        <v>-1.8332999999999999</v>
      </c>
      <c r="AT69">
        <v>-203.27070000000001</v>
      </c>
    </row>
    <row r="70" spans="2:46" x14ac:dyDescent="0.25">
      <c r="B70" t="s">
        <v>454</v>
      </c>
      <c r="C70">
        <v>46.167000000000002</v>
      </c>
      <c r="D70">
        <v>-60.050000000000011</v>
      </c>
      <c r="E70" t="s">
        <v>455</v>
      </c>
      <c r="F70" t="s">
        <v>308</v>
      </c>
      <c r="G70">
        <v>4985.2776999999996</v>
      </c>
      <c r="H70">
        <v>2048.6035999999999</v>
      </c>
      <c r="I70">
        <v>33063.912400000001</v>
      </c>
      <c r="J70">
        <v>0.38492999999999999</v>
      </c>
      <c r="K70">
        <v>0.77971999999999997</v>
      </c>
      <c r="L70">
        <v>1.5135000000000001</v>
      </c>
      <c r="M70">
        <v>0.55647999999999997</v>
      </c>
      <c r="N70">
        <v>0</v>
      </c>
      <c r="O70">
        <v>0</v>
      </c>
      <c r="P70">
        <v>0</v>
      </c>
      <c r="Q70">
        <v>199.40799999999999</v>
      </c>
      <c r="R70">
        <v>0.14974000000000001</v>
      </c>
      <c r="S70">
        <v>1287.0130999999999</v>
      </c>
      <c r="T70">
        <v>8.4110999999999995E-3</v>
      </c>
      <c r="U70">
        <v>2.3285999999999998</v>
      </c>
      <c r="V70">
        <v>3.0851999999999999</v>
      </c>
      <c r="W70">
        <v>1.831</v>
      </c>
      <c r="X70">
        <v>8.7106000000000006E-3</v>
      </c>
      <c r="Y70">
        <v>1.1105E-2</v>
      </c>
      <c r="Z70">
        <v>7.3550000000000004E-4</v>
      </c>
      <c r="AA70">
        <v>1.9855999999999999E-2</v>
      </c>
      <c r="AB70">
        <v>0.82047999999999999</v>
      </c>
      <c r="AC70">
        <v>1.244E-2</v>
      </c>
      <c r="AD70">
        <v>2.2545E-4</v>
      </c>
      <c r="AE70">
        <v>3.4245999999999999E-3</v>
      </c>
      <c r="AF70">
        <v>3.4816E-2</v>
      </c>
      <c r="AG70">
        <v>104.96120000000001</v>
      </c>
      <c r="AH70">
        <v>104.96120000000001</v>
      </c>
      <c r="AI70">
        <v>130.78630000000001</v>
      </c>
      <c r="AJ70">
        <v>1.1006999999999999E-2</v>
      </c>
      <c r="AK70">
        <v>441.68079999999998</v>
      </c>
      <c r="AL70">
        <v>8.8555999999999996E-2</v>
      </c>
      <c r="AM70">
        <v>70.897300000000001</v>
      </c>
      <c r="AN70">
        <v>0</v>
      </c>
      <c r="AO70">
        <v>10.5273</v>
      </c>
      <c r="AP70">
        <v>0.40286</v>
      </c>
      <c r="AQ70">
        <v>0.62368999999999997</v>
      </c>
      <c r="AR70">
        <v>2.0830000000000001E-2</v>
      </c>
      <c r="AS70">
        <v>-1.8332999999999999</v>
      </c>
      <c r="AT70">
        <v>-203.27070000000001</v>
      </c>
    </row>
    <row r="71" spans="2:46" x14ac:dyDescent="0.25">
      <c r="B71" t="s">
        <v>456</v>
      </c>
      <c r="C71">
        <v>68.775999999999996</v>
      </c>
      <c r="D71">
        <v>-81.244000000000028</v>
      </c>
      <c r="E71" t="s">
        <v>457</v>
      </c>
      <c r="F71" t="s">
        <v>309</v>
      </c>
      <c r="G71">
        <v>6901.2784000000001</v>
      </c>
      <c r="H71">
        <v>1817.021</v>
      </c>
      <c r="I71">
        <v>67354.986999999994</v>
      </c>
      <c r="J71">
        <v>0.17266999999999999</v>
      </c>
      <c r="K71">
        <v>0</v>
      </c>
      <c r="L71">
        <v>3.9561999999999999</v>
      </c>
      <c r="M71">
        <v>1.1771</v>
      </c>
      <c r="N71">
        <v>0</v>
      </c>
      <c r="O71">
        <v>0</v>
      </c>
      <c r="P71">
        <v>0</v>
      </c>
      <c r="Q71">
        <v>0</v>
      </c>
      <c r="R71">
        <v>0</v>
      </c>
      <c r="S71">
        <v>1463.3086000000001</v>
      </c>
      <c r="T71">
        <v>8.4110999999999995E-3</v>
      </c>
      <c r="U71">
        <v>2.6476000000000002</v>
      </c>
      <c r="V71">
        <v>3.5078</v>
      </c>
      <c r="W71">
        <v>1.831</v>
      </c>
      <c r="X71">
        <v>8.7106000000000006E-3</v>
      </c>
      <c r="Y71">
        <v>1.1105E-2</v>
      </c>
      <c r="Z71">
        <v>7.3550000000000004E-4</v>
      </c>
      <c r="AA71">
        <v>1.9855999999999999E-2</v>
      </c>
      <c r="AB71">
        <v>0.82047999999999999</v>
      </c>
      <c r="AC71">
        <v>1.244E-2</v>
      </c>
      <c r="AD71">
        <v>2.2545E-4</v>
      </c>
      <c r="AE71">
        <v>3.4245999999999999E-3</v>
      </c>
      <c r="AF71">
        <v>3.4816E-2</v>
      </c>
      <c r="AG71">
        <v>119.33880000000001</v>
      </c>
      <c r="AH71">
        <v>119.33880000000001</v>
      </c>
      <c r="AI71">
        <v>148.70150000000001</v>
      </c>
      <c r="AJ71">
        <v>1.1006999999999999E-2</v>
      </c>
      <c r="AK71">
        <v>441.68079999999998</v>
      </c>
      <c r="AL71">
        <v>8.8555999999999996E-2</v>
      </c>
      <c r="AM71">
        <v>36.551099999999998</v>
      </c>
      <c r="AN71">
        <v>0</v>
      </c>
      <c r="AO71">
        <v>37.535899999999998</v>
      </c>
      <c r="AP71">
        <v>0.40286</v>
      </c>
      <c r="AQ71">
        <v>0.62368999999999997</v>
      </c>
      <c r="AR71">
        <v>2.0830000000000001E-2</v>
      </c>
      <c r="AS71">
        <v>-1.8332999999999999</v>
      </c>
      <c r="AT71">
        <v>-203.27070000000001</v>
      </c>
    </row>
    <row r="72" spans="2:46" x14ac:dyDescent="0.25">
      <c r="B72" t="s">
        <v>458</v>
      </c>
      <c r="C72">
        <v>62.811</v>
      </c>
      <c r="D72">
        <v>-92.115999999999985</v>
      </c>
      <c r="E72" t="s">
        <v>459</v>
      </c>
      <c r="F72" t="s">
        <v>309</v>
      </c>
      <c r="G72">
        <v>6641.9772000000003</v>
      </c>
      <c r="H72">
        <v>1820.2629999999999</v>
      </c>
      <c r="I72">
        <v>62612.502699999997</v>
      </c>
      <c r="J72">
        <v>0.19359000000000001</v>
      </c>
      <c r="K72">
        <v>0</v>
      </c>
      <c r="L72">
        <v>3.6375999999999999</v>
      </c>
      <c r="M72">
        <v>1.0989</v>
      </c>
      <c r="N72">
        <v>0</v>
      </c>
      <c r="O72">
        <v>0</v>
      </c>
      <c r="P72">
        <v>0</v>
      </c>
      <c r="Q72">
        <v>2.3925999999999998</v>
      </c>
      <c r="R72">
        <v>2.2005000000000002E-3</v>
      </c>
      <c r="S72">
        <v>1463.3086000000001</v>
      </c>
      <c r="T72">
        <v>8.4110999999999995E-3</v>
      </c>
      <c r="U72">
        <v>2.6476000000000002</v>
      </c>
      <c r="V72">
        <v>3.5078</v>
      </c>
      <c r="W72">
        <v>1.831</v>
      </c>
      <c r="X72">
        <v>8.7106000000000006E-3</v>
      </c>
      <c r="Y72">
        <v>1.1105E-2</v>
      </c>
      <c r="Z72">
        <v>7.3550000000000004E-4</v>
      </c>
      <c r="AA72">
        <v>1.9855999999999999E-2</v>
      </c>
      <c r="AB72">
        <v>0.82047999999999999</v>
      </c>
      <c r="AC72">
        <v>1.244E-2</v>
      </c>
      <c r="AD72">
        <v>2.2545E-4</v>
      </c>
      <c r="AE72">
        <v>3.4245999999999999E-3</v>
      </c>
      <c r="AF72">
        <v>3.4816E-2</v>
      </c>
      <c r="AG72">
        <v>119.33880000000001</v>
      </c>
      <c r="AH72">
        <v>119.33880000000001</v>
      </c>
      <c r="AI72">
        <v>148.70150000000001</v>
      </c>
      <c r="AJ72">
        <v>1.1006999999999999E-2</v>
      </c>
      <c r="AK72">
        <v>441.68079999999998</v>
      </c>
      <c r="AL72">
        <v>8.8555999999999996E-2</v>
      </c>
      <c r="AM72">
        <v>40.258800000000001</v>
      </c>
      <c r="AN72">
        <v>0</v>
      </c>
      <c r="AO72">
        <v>34.880899999999997</v>
      </c>
      <c r="AP72">
        <v>0.40286</v>
      </c>
      <c r="AQ72">
        <v>0.62368999999999997</v>
      </c>
      <c r="AR72">
        <v>2.0830000000000001E-2</v>
      </c>
      <c r="AS72">
        <v>-1.8332999999999999</v>
      </c>
      <c r="AT72">
        <v>-203.27070000000001</v>
      </c>
    </row>
    <row r="73" spans="2:46" x14ac:dyDescent="0.25">
      <c r="B73" t="s">
        <v>460</v>
      </c>
      <c r="C73">
        <v>72.683000000000007</v>
      </c>
      <c r="D73">
        <v>-77.966999999999985</v>
      </c>
      <c r="E73" t="s">
        <v>461</v>
      </c>
      <c r="F73" t="s">
        <v>309</v>
      </c>
      <c r="G73">
        <v>6984.7671</v>
      </c>
      <c r="H73">
        <v>1820.1217999999999</v>
      </c>
      <c r="I73">
        <v>68802.452699999994</v>
      </c>
      <c r="J73">
        <v>0.15609999999999999</v>
      </c>
      <c r="K73">
        <v>0</v>
      </c>
      <c r="L73">
        <v>4.0457000000000001</v>
      </c>
      <c r="M73">
        <v>1.2181999999999999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1463.3086000000001</v>
      </c>
      <c r="T73">
        <v>8.4110999999999995E-3</v>
      </c>
      <c r="U73">
        <v>2.6476000000000002</v>
      </c>
      <c r="V73">
        <v>3.5078</v>
      </c>
      <c r="W73">
        <v>1.831</v>
      </c>
      <c r="X73">
        <v>8.7106000000000006E-3</v>
      </c>
      <c r="Y73">
        <v>1.1105E-2</v>
      </c>
      <c r="Z73">
        <v>7.3550000000000004E-4</v>
      </c>
      <c r="AA73">
        <v>1.9855999999999999E-2</v>
      </c>
      <c r="AB73">
        <v>0.82047999999999999</v>
      </c>
      <c r="AC73">
        <v>1.244E-2</v>
      </c>
      <c r="AD73">
        <v>2.2545E-4</v>
      </c>
      <c r="AE73">
        <v>3.4245999999999999E-3</v>
      </c>
      <c r="AF73">
        <v>3.4816E-2</v>
      </c>
      <c r="AG73">
        <v>119.33880000000001</v>
      </c>
      <c r="AH73">
        <v>119.33880000000001</v>
      </c>
      <c r="AI73">
        <v>148.70150000000001</v>
      </c>
      <c r="AJ73">
        <v>1.1006999999999999E-2</v>
      </c>
      <c r="AK73">
        <v>441.68079999999998</v>
      </c>
      <c r="AL73">
        <v>8.8555999999999996E-2</v>
      </c>
      <c r="AM73">
        <v>36.577399999999997</v>
      </c>
      <c r="AN73">
        <v>0</v>
      </c>
      <c r="AO73">
        <v>40.8048</v>
      </c>
      <c r="AP73">
        <v>0.40286</v>
      </c>
      <c r="AQ73">
        <v>0.62368999999999997</v>
      </c>
      <c r="AR73">
        <v>2.0830000000000001E-2</v>
      </c>
      <c r="AS73">
        <v>-1.8332999999999999</v>
      </c>
      <c r="AT73">
        <v>-203.27070000000001</v>
      </c>
    </row>
    <row r="74" spans="2:46" x14ac:dyDescent="0.25">
      <c r="B74" t="s">
        <v>462</v>
      </c>
      <c r="C74">
        <v>63.756</v>
      </c>
      <c r="D74">
        <v>-68.555999999999983</v>
      </c>
      <c r="E74" t="s">
        <v>463</v>
      </c>
      <c r="F74" t="s">
        <v>309</v>
      </c>
      <c r="G74">
        <v>6504.4313000000002</v>
      </c>
      <c r="H74">
        <v>1817.2851000000001</v>
      </c>
      <c r="I74">
        <v>60186.966899999999</v>
      </c>
      <c r="J74">
        <v>0.19713</v>
      </c>
      <c r="K74">
        <v>0</v>
      </c>
      <c r="L74">
        <v>3.4278</v>
      </c>
      <c r="M74">
        <v>1.1163000000000001</v>
      </c>
      <c r="N74">
        <v>0</v>
      </c>
      <c r="O74">
        <v>0</v>
      </c>
      <c r="P74">
        <v>0</v>
      </c>
      <c r="Q74">
        <v>0</v>
      </c>
      <c r="R74">
        <v>0</v>
      </c>
      <c r="S74">
        <v>1463.3086000000001</v>
      </c>
      <c r="T74">
        <v>8.4110999999999995E-3</v>
      </c>
      <c r="U74">
        <v>2.6476000000000002</v>
      </c>
      <c r="V74">
        <v>3.5078</v>
      </c>
      <c r="W74">
        <v>1.831</v>
      </c>
      <c r="X74">
        <v>8.7106000000000006E-3</v>
      </c>
      <c r="Y74">
        <v>1.1105E-2</v>
      </c>
      <c r="Z74">
        <v>7.3550000000000004E-4</v>
      </c>
      <c r="AA74">
        <v>1.9855999999999999E-2</v>
      </c>
      <c r="AB74">
        <v>0.82047999999999999</v>
      </c>
      <c r="AC74">
        <v>1.244E-2</v>
      </c>
      <c r="AD74">
        <v>2.2545E-4</v>
      </c>
      <c r="AE74">
        <v>3.4245999999999999E-3</v>
      </c>
      <c r="AF74">
        <v>3.4816E-2</v>
      </c>
      <c r="AG74">
        <v>119.33880000000001</v>
      </c>
      <c r="AH74">
        <v>119.33880000000001</v>
      </c>
      <c r="AI74">
        <v>148.70150000000001</v>
      </c>
      <c r="AJ74">
        <v>1.1006999999999999E-2</v>
      </c>
      <c r="AK74">
        <v>441.68079999999998</v>
      </c>
      <c r="AL74">
        <v>8.8555999999999996E-2</v>
      </c>
      <c r="AM74">
        <v>43.335700000000003</v>
      </c>
      <c r="AN74">
        <v>0</v>
      </c>
      <c r="AO74">
        <v>31.032</v>
      </c>
      <c r="AP74">
        <v>0.40286</v>
      </c>
      <c r="AQ74">
        <v>0.62368999999999997</v>
      </c>
      <c r="AR74">
        <v>2.0830000000000001E-2</v>
      </c>
      <c r="AS74">
        <v>-1.8332999999999999</v>
      </c>
      <c r="AT74">
        <v>-203.27070000000001</v>
      </c>
    </row>
    <row r="75" spans="2:46" x14ac:dyDescent="0.25">
      <c r="B75" t="s">
        <v>464</v>
      </c>
      <c r="C75">
        <v>64.192999999999998</v>
      </c>
      <c r="D75">
        <v>-83.35899999999998</v>
      </c>
      <c r="E75" t="s">
        <v>465</v>
      </c>
      <c r="F75" t="s">
        <v>309</v>
      </c>
      <c r="G75">
        <v>6693.3806000000004</v>
      </c>
      <c r="H75">
        <v>1818.0255999999999</v>
      </c>
      <c r="I75">
        <v>63583.232900000003</v>
      </c>
      <c r="J75">
        <v>0.16983999999999999</v>
      </c>
      <c r="K75">
        <v>0</v>
      </c>
      <c r="L75">
        <v>3.6970000000000001</v>
      </c>
      <c r="M75">
        <v>1.1416999999999999</v>
      </c>
      <c r="N75">
        <v>0</v>
      </c>
      <c r="O75">
        <v>0</v>
      </c>
      <c r="P75">
        <v>0</v>
      </c>
      <c r="Q75">
        <v>0.21751999999999999</v>
      </c>
      <c r="R75">
        <v>2.299E-4</v>
      </c>
      <c r="S75">
        <v>1463.3086000000001</v>
      </c>
      <c r="T75">
        <v>8.4110999999999995E-3</v>
      </c>
      <c r="U75">
        <v>2.6476000000000002</v>
      </c>
      <c r="V75">
        <v>3.5078</v>
      </c>
      <c r="W75">
        <v>1.831</v>
      </c>
      <c r="X75">
        <v>8.7106000000000006E-3</v>
      </c>
      <c r="Y75">
        <v>1.1105E-2</v>
      </c>
      <c r="Z75">
        <v>7.3550000000000004E-4</v>
      </c>
      <c r="AA75">
        <v>1.9855999999999999E-2</v>
      </c>
      <c r="AB75">
        <v>0.82047999999999999</v>
      </c>
      <c r="AC75">
        <v>1.244E-2</v>
      </c>
      <c r="AD75">
        <v>2.2545E-4</v>
      </c>
      <c r="AE75">
        <v>3.4245999999999999E-3</v>
      </c>
      <c r="AF75">
        <v>3.4816E-2</v>
      </c>
      <c r="AG75">
        <v>119.33880000000001</v>
      </c>
      <c r="AH75">
        <v>119.33880000000001</v>
      </c>
      <c r="AI75">
        <v>148.70150000000001</v>
      </c>
      <c r="AJ75">
        <v>1.1006999999999999E-2</v>
      </c>
      <c r="AK75">
        <v>441.68079999999998</v>
      </c>
      <c r="AL75">
        <v>8.8555999999999996E-2</v>
      </c>
      <c r="AM75">
        <v>39.590000000000003</v>
      </c>
      <c r="AN75">
        <v>0</v>
      </c>
      <c r="AO75">
        <v>35.347200000000001</v>
      </c>
      <c r="AP75">
        <v>0.40286</v>
      </c>
      <c r="AQ75">
        <v>0.62368999999999997</v>
      </c>
      <c r="AR75">
        <v>2.0830000000000001E-2</v>
      </c>
      <c r="AS75">
        <v>-1.8332999999999999</v>
      </c>
      <c r="AT75">
        <v>-203.27070000000001</v>
      </c>
    </row>
    <row r="76" spans="2:46" x14ac:dyDescent="0.25">
      <c r="B76" t="s">
        <v>466</v>
      </c>
      <c r="C76">
        <v>79.983000000000004</v>
      </c>
      <c r="D76">
        <v>-85.932999999999993</v>
      </c>
      <c r="E76" t="s">
        <v>467</v>
      </c>
      <c r="F76" t="s">
        <v>309</v>
      </c>
      <c r="G76">
        <v>7444.0567000000001</v>
      </c>
      <c r="H76">
        <v>1822.2936999999999</v>
      </c>
      <c r="I76">
        <v>77050.812999999995</v>
      </c>
      <c r="J76">
        <v>0.11075</v>
      </c>
      <c r="K76">
        <v>0</v>
      </c>
      <c r="L76">
        <v>4.6341999999999999</v>
      </c>
      <c r="M76">
        <v>1.3247</v>
      </c>
      <c r="N76">
        <v>0</v>
      </c>
      <c r="O76">
        <v>0</v>
      </c>
      <c r="P76">
        <v>0</v>
      </c>
      <c r="Q76">
        <v>0</v>
      </c>
      <c r="R76">
        <v>0</v>
      </c>
      <c r="S76">
        <v>1463.3086000000001</v>
      </c>
      <c r="T76">
        <v>8.4110999999999995E-3</v>
      </c>
      <c r="U76">
        <v>2.6476000000000002</v>
      </c>
      <c r="V76">
        <v>3.5078</v>
      </c>
      <c r="W76">
        <v>1.831</v>
      </c>
      <c r="X76">
        <v>8.7106000000000006E-3</v>
      </c>
      <c r="Y76">
        <v>1.1105E-2</v>
      </c>
      <c r="Z76">
        <v>7.3550000000000004E-4</v>
      </c>
      <c r="AA76">
        <v>1.9855999999999999E-2</v>
      </c>
      <c r="AB76">
        <v>0.82047999999999999</v>
      </c>
      <c r="AC76">
        <v>1.244E-2</v>
      </c>
      <c r="AD76">
        <v>2.2545E-4</v>
      </c>
      <c r="AE76">
        <v>3.4245999999999999E-3</v>
      </c>
      <c r="AF76">
        <v>3.4816E-2</v>
      </c>
      <c r="AG76">
        <v>119.33880000000001</v>
      </c>
      <c r="AH76">
        <v>119.33880000000001</v>
      </c>
      <c r="AI76">
        <v>148.70150000000001</v>
      </c>
      <c r="AJ76">
        <v>1.1006999999999999E-2</v>
      </c>
      <c r="AK76">
        <v>441.68079999999998</v>
      </c>
      <c r="AL76">
        <v>8.8555999999999996E-2</v>
      </c>
      <c r="AM76">
        <v>30.628599999999999</v>
      </c>
      <c r="AN76">
        <v>0</v>
      </c>
      <c r="AO76">
        <v>49.061599999999999</v>
      </c>
      <c r="AP76">
        <v>0.40286</v>
      </c>
      <c r="AQ76">
        <v>0.62368999999999997</v>
      </c>
      <c r="AR76">
        <v>2.0830000000000001E-2</v>
      </c>
      <c r="AS76">
        <v>-1.8332999999999999</v>
      </c>
      <c r="AT76">
        <v>-203.27070000000001</v>
      </c>
    </row>
    <row r="77" spans="2:46" x14ac:dyDescent="0.25">
      <c r="B77" t="s">
        <v>468</v>
      </c>
      <c r="C77">
        <v>74.716999999999999</v>
      </c>
      <c r="D77">
        <v>-94.968999999999994</v>
      </c>
      <c r="E77" t="s">
        <v>469</v>
      </c>
      <c r="F77" t="s">
        <v>309</v>
      </c>
      <c r="G77">
        <v>7137.9997000000003</v>
      </c>
      <c r="H77">
        <v>1820.6525999999999</v>
      </c>
      <c r="I77">
        <v>71558.066500000001</v>
      </c>
      <c r="J77">
        <v>0.14265</v>
      </c>
      <c r="K77">
        <v>0</v>
      </c>
      <c r="L77">
        <v>4.2347999999999999</v>
      </c>
      <c r="M77">
        <v>1.2596000000000001</v>
      </c>
      <c r="N77">
        <v>0</v>
      </c>
      <c r="O77">
        <v>0</v>
      </c>
      <c r="P77">
        <v>0</v>
      </c>
      <c r="Q77">
        <v>0</v>
      </c>
      <c r="R77">
        <v>0</v>
      </c>
      <c r="S77">
        <v>1463.3086000000001</v>
      </c>
      <c r="T77">
        <v>8.4110999999999995E-3</v>
      </c>
      <c r="U77">
        <v>2.6476000000000002</v>
      </c>
      <c r="V77">
        <v>3.5078</v>
      </c>
      <c r="W77">
        <v>1.831</v>
      </c>
      <c r="X77">
        <v>8.7106000000000006E-3</v>
      </c>
      <c r="Y77">
        <v>1.1105E-2</v>
      </c>
      <c r="Z77">
        <v>7.3550000000000004E-4</v>
      </c>
      <c r="AA77">
        <v>1.9855999999999999E-2</v>
      </c>
      <c r="AB77">
        <v>0.82047999999999999</v>
      </c>
      <c r="AC77">
        <v>1.244E-2</v>
      </c>
      <c r="AD77">
        <v>2.2545E-4</v>
      </c>
      <c r="AE77">
        <v>3.4245999999999999E-3</v>
      </c>
      <c r="AF77">
        <v>3.4816E-2</v>
      </c>
      <c r="AG77">
        <v>119.33880000000001</v>
      </c>
      <c r="AH77">
        <v>119.33880000000001</v>
      </c>
      <c r="AI77">
        <v>148.70150000000001</v>
      </c>
      <c r="AJ77">
        <v>1.1006999999999999E-2</v>
      </c>
      <c r="AK77">
        <v>441.68079999999998</v>
      </c>
      <c r="AL77">
        <v>8.8555999999999996E-2</v>
      </c>
      <c r="AM77">
        <v>33.973399999999998</v>
      </c>
      <c r="AN77">
        <v>0</v>
      </c>
      <c r="AO77">
        <v>43.972900000000003</v>
      </c>
      <c r="AP77">
        <v>0.40286</v>
      </c>
      <c r="AQ77">
        <v>0.62368999999999997</v>
      </c>
      <c r="AR77">
        <v>2.0830000000000001E-2</v>
      </c>
      <c r="AS77">
        <v>-1.8332999999999999</v>
      </c>
      <c r="AT77">
        <v>-203.27070000000001</v>
      </c>
    </row>
    <row r="78" spans="2:46" x14ac:dyDescent="0.25">
      <c r="B78" t="s">
        <v>470</v>
      </c>
      <c r="C78">
        <v>69.132999999999996</v>
      </c>
      <c r="D78">
        <v>-105.05000000000001</v>
      </c>
      <c r="E78" t="s">
        <v>471</v>
      </c>
      <c r="F78" t="s">
        <v>309</v>
      </c>
      <c r="G78">
        <v>6937.8411999999998</v>
      </c>
      <c r="H78">
        <v>1820.0198</v>
      </c>
      <c r="I78">
        <v>67957.4133</v>
      </c>
      <c r="J78">
        <v>0.15081</v>
      </c>
      <c r="K78">
        <v>0</v>
      </c>
      <c r="L78">
        <v>4.0281000000000002</v>
      </c>
      <c r="M78">
        <v>1.1741999999999999</v>
      </c>
      <c r="N78">
        <v>0</v>
      </c>
      <c r="O78">
        <v>0</v>
      </c>
      <c r="P78">
        <v>0</v>
      </c>
      <c r="Q78">
        <v>0.24706</v>
      </c>
      <c r="R78">
        <v>2.299E-4</v>
      </c>
      <c r="S78">
        <v>1463.3086000000001</v>
      </c>
      <c r="T78">
        <v>8.4110999999999995E-3</v>
      </c>
      <c r="U78">
        <v>2.6476000000000002</v>
      </c>
      <c r="V78">
        <v>3.5078</v>
      </c>
      <c r="W78">
        <v>1.831</v>
      </c>
      <c r="X78">
        <v>8.7106000000000006E-3</v>
      </c>
      <c r="Y78">
        <v>1.1105E-2</v>
      </c>
      <c r="Z78">
        <v>7.3550000000000004E-4</v>
      </c>
      <c r="AA78">
        <v>1.9855999999999999E-2</v>
      </c>
      <c r="AB78">
        <v>0.82047999999999999</v>
      </c>
      <c r="AC78">
        <v>1.244E-2</v>
      </c>
      <c r="AD78">
        <v>2.2545E-4</v>
      </c>
      <c r="AE78">
        <v>3.4245999999999999E-3</v>
      </c>
      <c r="AF78">
        <v>3.4816E-2</v>
      </c>
      <c r="AG78">
        <v>119.33880000000001</v>
      </c>
      <c r="AH78">
        <v>119.33880000000001</v>
      </c>
      <c r="AI78">
        <v>148.70150000000001</v>
      </c>
      <c r="AJ78">
        <v>1.1006999999999999E-2</v>
      </c>
      <c r="AK78">
        <v>441.68079999999998</v>
      </c>
      <c r="AL78">
        <v>8.8555999999999996E-2</v>
      </c>
      <c r="AM78">
        <v>36.548200000000001</v>
      </c>
      <c r="AN78">
        <v>0</v>
      </c>
      <c r="AO78">
        <v>40.4786</v>
      </c>
      <c r="AP78">
        <v>0.40286</v>
      </c>
      <c r="AQ78">
        <v>0.62368999999999997</v>
      </c>
      <c r="AR78">
        <v>2.0830000000000001E-2</v>
      </c>
      <c r="AS78">
        <v>-1.8332999999999999</v>
      </c>
      <c r="AT78">
        <v>-203.27070000000001</v>
      </c>
    </row>
    <row r="79" spans="2:46" x14ac:dyDescent="0.25">
      <c r="B79" t="s">
        <v>472</v>
      </c>
      <c r="C79">
        <v>64.316999999999993</v>
      </c>
      <c r="D79">
        <v>-96</v>
      </c>
      <c r="E79" t="s">
        <v>473</v>
      </c>
      <c r="F79" t="s">
        <v>309</v>
      </c>
      <c r="G79">
        <v>6691.2561999999998</v>
      </c>
      <c r="H79">
        <v>1822.2043000000001</v>
      </c>
      <c r="I79">
        <v>63464.7353</v>
      </c>
      <c r="J79">
        <v>0.17737</v>
      </c>
      <c r="K79">
        <v>3.3343000000000001E-3</v>
      </c>
      <c r="L79">
        <v>3.7057000000000002</v>
      </c>
      <c r="M79">
        <v>1.1136999999999999</v>
      </c>
      <c r="N79">
        <v>0</v>
      </c>
      <c r="O79">
        <v>0</v>
      </c>
      <c r="P79">
        <v>0</v>
      </c>
      <c r="Q79">
        <v>3.4925999999999999</v>
      </c>
      <c r="R79">
        <v>2.6930999999999999E-3</v>
      </c>
      <c r="S79">
        <v>1463.3086000000001</v>
      </c>
      <c r="T79">
        <v>8.4110999999999995E-3</v>
      </c>
      <c r="U79">
        <v>2.6476000000000002</v>
      </c>
      <c r="V79">
        <v>3.5078</v>
      </c>
      <c r="W79">
        <v>1.831</v>
      </c>
      <c r="X79">
        <v>8.7106000000000006E-3</v>
      </c>
      <c r="Y79">
        <v>1.1105E-2</v>
      </c>
      <c r="Z79">
        <v>7.3550000000000004E-4</v>
      </c>
      <c r="AA79">
        <v>1.9855999999999999E-2</v>
      </c>
      <c r="AB79">
        <v>0.82047999999999999</v>
      </c>
      <c r="AC79">
        <v>1.244E-2</v>
      </c>
      <c r="AD79">
        <v>2.2545E-4</v>
      </c>
      <c r="AE79">
        <v>3.4245999999999999E-3</v>
      </c>
      <c r="AF79">
        <v>3.4816E-2</v>
      </c>
      <c r="AG79">
        <v>119.33880000000001</v>
      </c>
      <c r="AH79">
        <v>119.33880000000001</v>
      </c>
      <c r="AI79">
        <v>148.70150000000001</v>
      </c>
      <c r="AJ79">
        <v>1.1006999999999999E-2</v>
      </c>
      <c r="AK79">
        <v>441.68079999999998</v>
      </c>
      <c r="AL79">
        <v>8.8555999999999996E-2</v>
      </c>
      <c r="AM79">
        <v>39.1477</v>
      </c>
      <c r="AN79">
        <v>0</v>
      </c>
      <c r="AO79">
        <v>36.951700000000002</v>
      </c>
      <c r="AP79">
        <v>0.40286</v>
      </c>
      <c r="AQ79">
        <v>0.62368999999999997</v>
      </c>
      <c r="AR79">
        <v>2.0830000000000001E-2</v>
      </c>
      <c r="AS79">
        <v>-1.8332999999999999</v>
      </c>
      <c r="AT79">
        <v>-203.27070000000001</v>
      </c>
    </row>
    <row r="80" spans="2:46" x14ac:dyDescent="0.25">
      <c r="B80" t="s">
        <v>474</v>
      </c>
      <c r="C80">
        <v>67.816999999999993</v>
      </c>
      <c r="D80">
        <v>-115.14400000000001</v>
      </c>
      <c r="E80" t="s">
        <v>475</v>
      </c>
      <c r="F80" t="s">
        <v>309</v>
      </c>
      <c r="G80">
        <v>6594.8155999999999</v>
      </c>
      <c r="H80">
        <v>1822.4829999999999</v>
      </c>
      <c r="I80">
        <v>61718.6711</v>
      </c>
      <c r="J80">
        <v>0.18529999999999999</v>
      </c>
      <c r="K80">
        <v>0</v>
      </c>
      <c r="L80">
        <v>3.5836000000000001</v>
      </c>
      <c r="M80">
        <v>1.0895999999999999</v>
      </c>
      <c r="N80">
        <v>0</v>
      </c>
      <c r="O80">
        <v>0</v>
      </c>
      <c r="P80">
        <v>0</v>
      </c>
      <c r="Q80">
        <v>3.9316</v>
      </c>
      <c r="R80">
        <v>3.3966000000000001E-3</v>
      </c>
      <c r="S80">
        <v>1463.3086000000001</v>
      </c>
      <c r="T80">
        <v>8.4110999999999995E-3</v>
      </c>
      <c r="U80">
        <v>2.6476000000000002</v>
      </c>
      <c r="V80">
        <v>3.5078</v>
      </c>
      <c r="W80">
        <v>1.831</v>
      </c>
      <c r="X80">
        <v>8.7106000000000006E-3</v>
      </c>
      <c r="Y80">
        <v>1.1105E-2</v>
      </c>
      <c r="Z80">
        <v>7.3550000000000004E-4</v>
      </c>
      <c r="AA80">
        <v>1.9855999999999999E-2</v>
      </c>
      <c r="AB80">
        <v>0.82047999999999999</v>
      </c>
      <c r="AC80">
        <v>1.244E-2</v>
      </c>
      <c r="AD80">
        <v>2.2545E-4</v>
      </c>
      <c r="AE80">
        <v>3.4245999999999999E-3</v>
      </c>
      <c r="AF80">
        <v>3.4816E-2</v>
      </c>
      <c r="AG80">
        <v>119.33880000000001</v>
      </c>
      <c r="AH80">
        <v>119.33880000000001</v>
      </c>
      <c r="AI80">
        <v>148.70150000000001</v>
      </c>
      <c r="AJ80">
        <v>1.1006999999999999E-2</v>
      </c>
      <c r="AK80">
        <v>441.68079999999998</v>
      </c>
      <c r="AL80">
        <v>8.8555999999999996E-2</v>
      </c>
      <c r="AM80">
        <v>40.134500000000003</v>
      </c>
      <c r="AN80">
        <v>0</v>
      </c>
      <c r="AO80">
        <v>35.825400000000002</v>
      </c>
      <c r="AP80">
        <v>0.40286</v>
      </c>
      <c r="AQ80">
        <v>0.62368999999999997</v>
      </c>
      <c r="AR80">
        <v>2.0830000000000001E-2</v>
      </c>
      <c r="AS80">
        <v>-1.8332999999999999</v>
      </c>
      <c r="AT80">
        <v>-203.27070000000001</v>
      </c>
    </row>
    <row r="81" spans="2:46" x14ac:dyDescent="0.25">
      <c r="B81" t="s">
        <v>476</v>
      </c>
      <c r="C81">
        <v>65.281000000000006</v>
      </c>
      <c r="D81">
        <v>-126.79900000000001</v>
      </c>
      <c r="E81" t="s">
        <v>477</v>
      </c>
      <c r="F81" t="s">
        <v>310</v>
      </c>
      <c r="G81">
        <v>4698.4129000000003</v>
      </c>
      <c r="H81">
        <v>1840.5773999999999</v>
      </c>
      <c r="I81">
        <v>52575.453999999998</v>
      </c>
      <c r="J81">
        <v>0.18396999999999999</v>
      </c>
      <c r="K81">
        <v>0.27160000000000001</v>
      </c>
      <c r="L81">
        <v>2.9781</v>
      </c>
      <c r="M81">
        <v>0.96726000000000001</v>
      </c>
      <c r="N81" s="139">
        <v>1.7708000000000001E-5</v>
      </c>
      <c r="O81" s="139">
        <v>2.2475999999999999E-6</v>
      </c>
      <c r="P81">
        <v>1.3372E-2</v>
      </c>
      <c r="Q81">
        <v>6.0918000000000001</v>
      </c>
      <c r="R81">
        <v>1.2338999999999999E-2</v>
      </c>
      <c r="S81">
        <v>409.14370000000002</v>
      </c>
      <c r="T81">
        <v>8.4110999999999995E-3</v>
      </c>
      <c r="U81">
        <v>0.74026000000000003</v>
      </c>
      <c r="V81">
        <v>0.98077999999999999</v>
      </c>
      <c r="W81">
        <v>1.831</v>
      </c>
      <c r="X81">
        <v>8.7106000000000006E-3</v>
      </c>
      <c r="Y81">
        <v>1.1105E-2</v>
      </c>
      <c r="Z81">
        <v>7.3550000000000004E-4</v>
      </c>
      <c r="AA81">
        <v>1.9855999999999999E-2</v>
      </c>
      <c r="AB81">
        <v>0.82047999999999999</v>
      </c>
      <c r="AC81">
        <v>1.244E-2</v>
      </c>
      <c r="AD81">
        <v>2.2545E-4</v>
      </c>
      <c r="AE81">
        <v>3.4245999999999999E-3</v>
      </c>
      <c r="AF81">
        <v>3.4816E-2</v>
      </c>
      <c r="AG81">
        <v>33.3673</v>
      </c>
      <c r="AH81">
        <v>33.3673</v>
      </c>
      <c r="AI81">
        <v>41.577199999999998</v>
      </c>
      <c r="AJ81">
        <v>1.1006999999999999E-2</v>
      </c>
      <c r="AK81">
        <v>441.68079999999998</v>
      </c>
      <c r="AL81">
        <v>8.8555999999999996E-2</v>
      </c>
      <c r="AM81">
        <v>13.5669</v>
      </c>
      <c r="AN81">
        <v>0</v>
      </c>
      <c r="AO81">
        <v>7.7705000000000002</v>
      </c>
      <c r="AP81">
        <v>0.40286</v>
      </c>
      <c r="AQ81">
        <v>0.62368999999999997</v>
      </c>
      <c r="AR81">
        <v>2.0830000000000001E-2</v>
      </c>
      <c r="AS81">
        <v>-1.8332999999999999</v>
      </c>
      <c r="AT81">
        <v>-203.27070000000001</v>
      </c>
    </row>
    <row r="82" spans="2:46" x14ac:dyDescent="0.25">
      <c r="B82" t="s">
        <v>478</v>
      </c>
      <c r="C82">
        <v>60.017000000000003</v>
      </c>
      <c r="D82">
        <v>-111.917</v>
      </c>
      <c r="E82" t="s">
        <v>479</v>
      </c>
      <c r="F82" t="s">
        <v>310</v>
      </c>
      <c r="G82">
        <v>4411.3253999999997</v>
      </c>
      <c r="H82">
        <v>1847.2671</v>
      </c>
      <c r="I82">
        <v>47357.744299999998</v>
      </c>
      <c r="J82">
        <v>0.18118999999999999</v>
      </c>
      <c r="K82">
        <v>0.6956</v>
      </c>
      <c r="L82">
        <v>2.6345000000000001</v>
      </c>
      <c r="M82">
        <v>0.90098</v>
      </c>
      <c r="N82">
        <v>2.1944E-4</v>
      </c>
      <c r="O82" s="139">
        <v>4.3905000000000001E-5</v>
      </c>
      <c r="P82">
        <v>0.11862</v>
      </c>
      <c r="Q82">
        <v>6.9170999999999996</v>
      </c>
      <c r="R82">
        <v>1.366E-2</v>
      </c>
      <c r="S82">
        <v>409.14370000000002</v>
      </c>
      <c r="T82">
        <v>8.4110999999999995E-3</v>
      </c>
      <c r="U82">
        <v>0.74026000000000003</v>
      </c>
      <c r="V82">
        <v>0.98077999999999999</v>
      </c>
      <c r="W82">
        <v>1.831</v>
      </c>
      <c r="X82">
        <v>8.7106000000000006E-3</v>
      </c>
      <c r="Y82">
        <v>1.1105E-2</v>
      </c>
      <c r="Z82">
        <v>7.3550000000000004E-4</v>
      </c>
      <c r="AA82">
        <v>1.9855999999999999E-2</v>
      </c>
      <c r="AB82">
        <v>0.82047999999999999</v>
      </c>
      <c r="AC82">
        <v>1.244E-2</v>
      </c>
      <c r="AD82">
        <v>2.2545E-4</v>
      </c>
      <c r="AE82">
        <v>3.4245999999999999E-3</v>
      </c>
      <c r="AF82">
        <v>3.4816E-2</v>
      </c>
      <c r="AG82">
        <v>33.3673</v>
      </c>
      <c r="AH82">
        <v>33.3673</v>
      </c>
      <c r="AI82">
        <v>41.577199999999998</v>
      </c>
      <c r="AJ82">
        <v>1.1006999999999999E-2</v>
      </c>
      <c r="AK82">
        <v>441.68079999999998</v>
      </c>
      <c r="AL82">
        <v>8.8555999999999996E-2</v>
      </c>
      <c r="AM82">
        <v>15.3384</v>
      </c>
      <c r="AN82">
        <v>0</v>
      </c>
      <c r="AO82">
        <v>6.6322000000000001</v>
      </c>
      <c r="AP82">
        <v>0.40286</v>
      </c>
      <c r="AQ82">
        <v>0.62368999999999997</v>
      </c>
      <c r="AR82">
        <v>2.0830000000000001E-2</v>
      </c>
      <c r="AS82">
        <v>-1.8332999999999999</v>
      </c>
      <c r="AT82">
        <v>-203.27070000000001</v>
      </c>
    </row>
    <row r="83" spans="2:46" x14ac:dyDescent="0.25">
      <c r="B83" t="s">
        <v>480</v>
      </c>
      <c r="C83">
        <v>60.832999999999998</v>
      </c>
      <c r="D83">
        <v>-115.78299999999999</v>
      </c>
      <c r="E83" t="s">
        <v>481</v>
      </c>
      <c r="F83" t="s">
        <v>310</v>
      </c>
      <c r="G83">
        <v>4471.8450999999995</v>
      </c>
      <c r="H83">
        <v>1854.8462</v>
      </c>
      <c r="I83">
        <v>48409.457699999999</v>
      </c>
      <c r="J83">
        <v>0.19903000000000001</v>
      </c>
      <c r="K83">
        <v>5.4806000000000001E-2</v>
      </c>
      <c r="L83">
        <v>2.6890000000000001</v>
      </c>
      <c r="M83">
        <v>0.90322999999999998</v>
      </c>
      <c r="N83" s="139">
        <v>5.2440000000000001E-6</v>
      </c>
      <c r="O83">
        <v>0</v>
      </c>
      <c r="P83">
        <v>0</v>
      </c>
      <c r="Q83">
        <v>10.039199999999999</v>
      </c>
      <c r="R83">
        <v>2.2186999999999998E-2</v>
      </c>
      <c r="S83">
        <v>409.14370000000002</v>
      </c>
      <c r="T83">
        <v>8.4110999999999995E-3</v>
      </c>
      <c r="U83">
        <v>0.74026000000000003</v>
      </c>
      <c r="V83">
        <v>0.98077999999999999</v>
      </c>
      <c r="W83">
        <v>1.831</v>
      </c>
      <c r="X83">
        <v>8.7106000000000006E-3</v>
      </c>
      <c r="Y83">
        <v>1.1105E-2</v>
      </c>
      <c r="Z83">
        <v>7.3550000000000004E-4</v>
      </c>
      <c r="AA83">
        <v>1.9855999999999999E-2</v>
      </c>
      <c r="AB83">
        <v>0.82047999999999999</v>
      </c>
      <c r="AC83">
        <v>1.244E-2</v>
      </c>
      <c r="AD83">
        <v>2.2545E-4</v>
      </c>
      <c r="AE83">
        <v>3.4245999999999999E-3</v>
      </c>
      <c r="AF83">
        <v>3.4816E-2</v>
      </c>
      <c r="AG83">
        <v>33.3673</v>
      </c>
      <c r="AH83">
        <v>33.3673</v>
      </c>
      <c r="AI83">
        <v>41.577199999999998</v>
      </c>
      <c r="AJ83">
        <v>1.1006999999999999E-2</v>
      </c>
      <c r="AK83">
        <v>441.68079999999998</v>
      </c>
      <c r="AL83">
        <v>8.8555999999999996E-2</v>
      </c>
      <c r="AM83">
        <v>14.884399999999999</v>
      </c>
      <c r="AN83">
        <v>0</v>
      </c>
      <c r="AO83">
        <v>6.9753999999999996</v>
      </c>
      <c r="AP83">
        <v>0.40286</v>
      </c>
      <c r="AQ83">
        <v>0.62368999999999997</v>
      </c>
      <c r="AR83">
        <v>2.0830000000000001E-2</v>
      </c>
      <c r="AS83">
        <v>-1.8332999999999999</v>
      </c>
      <c r="AT83">
        <v>-203.27070000000001</v>
      </c>
    </row>
    <row r="84" spans="2:46" x14ac:dyDescent="0.25">
      <c r="B84" t="s">
        <v>482</v>
      </c>
      <c r="C84">
        <v>62.463000000000001</v>
      </c>
      <c r="D84">
        <v>-114.44</v>
      </c>
      <c r="E84" t="s">
        <v>483</v>
      </c>
      <c r="F84" t="s">
        <v>310</v>
      </c>
      <c r="G84">
        <v>4636.1971999999996</v>
      </c>
      <c r="H84">
        <v>1839.2219</v>
      </c>
      <c r="I84">
        <v>51459.750800000002</v>
      </c>
      <c r="J84">
        <v>0.18287999999999999</v>
      </c>
      <c r="K84">
        <v>0.1085</v>
      </c>
      <c r="L84">
        <v>2.9020999999999999</v>
      </c>
      <c r="M84">
        <v>0.95633999999999997</v>
      </c>
      <c r="N84" s="139">
        <v>2.5536000000000001E-5</v>
      </c>
      <c r="O84">
        <v>0</v>
      </c>
      <c r="P84">
        <v>0</v>
      </c>
      <c r="Q84">
        <v>5.593</v>
      </c>
      <c r="R84">
        <v>1.2363000000000001E-2</v>
      </c>
      <c r="S84">
        <v>409.14370000000002</v>
      </c>
      <c r="T84">
        <v>8.4110999999999995E-3</v>
      </c>
      <c r="U84">
        <v>0.74026000000000003</v>
      </c>
      <c r="V84">
        <v>0.98077999999999999</v>
      </c>
      <c r="W84">
        <v>1.831</v>
      </c>
      <c r="X84">
        <v>8.7106000000000006E-3</v>
      </c>
      <c r="Y84">
        <v>1.1105E-2</v>
      </c>
      <c r="Z84">
        <v>7.3550000000000004E-4</v>
      </c>
      <c r="AA84">
        <v>1.9855999999999999E-2</v>
      </c>
      <c r="AB84">
        <v>0.82047999999999999</v>
      </c>
      <c r="AC84">
        <v>1.244E-2</v>
      </c>
      <c r="AD84">
        <v>2.2545E-4</v>
      </c>
      <c r="AE84">
        <v>3.4245999999999999E-3</v>
      </c>
      <c r="AF84">
        <v>3.4816E-2</v>
      </c>
      <c r="AG84">
        <v>33.3673</v>
      </c>
      <c r="AH84">
        <v>33.3673</v>
      </c>
      <c r="AI84">
        <v>41.577199999999998</v>
      </c>
      <c r="AJ84">
        <v>1.1006999999999999E-2</v>
      </c>
      <c r="AK84">
        <v>441.68079999999998</v>
      </c>
      <c r="AL84">
        <v>8.8555999999999996E-2</v>
      </c>
      <c r="AM84">
        <v>14.116099999999999</v>
      </c>
      <c r="AN84">
        <v>0</v>
      </c>
      <c r="AO84">
        <v>7.4939</v>
      </c>
      <c r="AP84">
        <v>0.40286</v>
      </c>
      <c r="AQ84">
        <v>0.62368999999999997</v>
      </c>
      <c r="AR84">
        <v>2.0830000000000001E-2</v>
      </c>
      <c r="AS84">
        <v>-1.8332999999999999</v>
      </c>
      <c r="AT84">
        <v>-203.27070000000001</v>
      </c>
    </row>
    <row r="85" spans="2:46" x14ac:dyDescent="0.25">
      <c r="B85" t="s">
        <v>484</v>
      </c>
      <c r="C85">
        <v>61.76</v>
      </c>
      <c r="D85">
        <v>-121.23699999999999</v>
      </c>
      <c r="E85" t="s">
        <v>485</v>
      </c>
      <c r="F85" t="s">
        <v>310</v>
      </c>
      <c r="G85">
        <v>4475.7375000000002</v>
      </c>
      <c r="H85">
        <v>1849.3690999999999</v>
      </c>
      <c r="I85">
        <v>48509.087399999997</v>
      </c>
      <c r="J85">
        <v>0.17749000000000001</v>
      </c>
      <c r="K85">
        <v>0.62843000000000004</v>
      </c>
      <c r="L85">
        <v>2.7130000000000001</v>
      </c>
      <c r="M85">
        <v>0.91532000000000002</v>
      </c>
      <c r="N85">
        <v>1.5781000000000001E-4</v>
      </c>
      <c r="O85" s="139">
        <v>2.2166000000000001E-5</v>
      </c>
      <c r="P85">
        <v>6.1807000000000001E-2</v>
      </c>
      <c r="Q85">
        <v>7.7458999999999998</v>
      </c>
      <c r="R85">
        <v>1.5341E-2</v>
      </c>
      <c r="S85">
        <v>409.14370000000002</v>
      </c>
      <c r="T85">
        <v>8.4110999999999995E-3</v>
      </c>
      <c r="U85">
        <v>0.74026000000000003</v>
      </c>
      <c r="V85">
        <v>0.98077999999999999</v>
      </c>
      <c r="W85">
        <v>1.831</v>
      </c>
      <c r="X85">
        <v>8.7106000000000006E-3</v>
      </c>
      <c r="Y85">
        <v>1.1105E-2</v>
      </c>
      <c r="Z85">
        <v>7.3550000000000004E-4</v>
      </c>
      <c r="AA85">
        <v>1.9855999999999999E-2</v>
      </c>
      <c r="AB85">
        <v>0.82047999999999999</v>
      </c>
      <c r="AC85">
        <v>1.244E-2</v>
      </c>
      <c r="AD85">
        <v>2.2545E-4</v>
      </c>
      <c r="AE85">
        <v>3.4245999999999999E-3</v>
      </c>
      <c r="AF85">
        <v>3.4816E-2</v>
      </c>
      <c r="AG85">
        <v>33.3673</v>
      </c>
      <c r="AH85">
        <v>33.3673</v>
      </c>
      <c r="AI85">
        <v>41.577199999999998</v>
      </c>
      <c r="AJ85">
        <v>1.1006999999999999E-2</v>
      </c>
      <c r="AK85">
        <v>441.68079999999998</v>
      </c>
      <c r="AL85">
        <v>8.8555999999999996E-2</v>
      </c>
      <c r="AM85">
        <v>14.795299999999999</v>
      </c>
      <c r="AN85">
        <v>0</v>
      </c>
      <c r="AO85">
        <v>7.0949</v>
      </c>
      <c r="AP85">
        <v>0.40286</v>
      </c>
      <c r="AQ85">
        <v>0.62368999999999997</v>
      </c>
      <c r="AR85">
        <v>2.0830000000000001E-2</v>
      </c>
      <c r="AS85">
        <v>-1.8332999999999999</v>
      </c>
      <c r="AT85">
        <v>-203.27070000000001</v>
      </c>
    </row>
    <row r="86" spans="2:46" x14ac:dyDescent="0.25">
      <c r="B86" t="s">
        <v>486</v>
      </c>
      <c r="C86">
        <v>68.304000000000002</v>
      </c>
      <c r="D86">
        <v>-133.483</v>
      </c>
      <c r="E86" t="s">
        <v>487</v>
      </c>
      <c r="F86" t="s">
        <v>310</v>
      </c>
      <c r="G86">
        <v>4909.6467000000002</v>
      </c>
      <c r="H86">
        <v>1829.0269000000001</v>
      </c>
      <c r="I86">
        <v>56450.096599999997</v>
      </c>
      <c r="J86">
        <v>0.20357</v>
      </c>
      <c r="K86">
        <v>1.2749E-2</v>
      </c>
      <c r="L86">
        <v>3.1926999999999999</v>
      </c>
      <c r="M86">
        <v>1.0419</v>
      </c>
      <c r="N86" s="139">
        <v>7.0651999999999997E-6</v>
      </c>
      <c r="O86">
        <v>0</v>
      </c>
      <c r="P86">
        <v>0</v>
      </c>
      <c r="Q86">
        <v>3.391</v>
      </c>
      <c r="R86">
        <v>8.7013999999999998E-3</v>
      </c>
      <c r="S86">
        <v>409.14370000000002</v>
      </c>
      <c r="T86">
        <v>8.4110999999999995E-3</v>
      </c>
      <c r="U86">
        <v>0.74026000000000003</v>
      </c>
      <c r="V86">
        <v>0.98077999999999999</v>
      </c>
      <c r="W86">
        <v>1.831</v>
      </c>
      <c r="X86">
        <v>8.7106000000000006E-3</v>
      </c>
      <c r="Y86">
        <v>1.1105E-2</v>
      </c>
      <c r="Z86">
        <v>7.3550000000000004E-4</v>
      </c>
      <c r="AA86">
        <v>1.9855999999999999E-2</v>
      </c>
      <c r="AB86">
        <v>0.82047999999999999</v>
      </c>
      <c r="AC86">
        <v>1.244E-2</v>
      </c>
      <c r="AD86">
        <v>2.2545E-4</v>
      </c>
      <c r="AE86">
        <v>3.4245999999999999E-3</v>
      </c>
      <c r="AF86">
        <v>3.4816E-2</v>
      </c>
      <c r="AG86">
        <v>33.3673</v>
      </c>
      <c r="AH86">
        <v>33.3673</v>
      </c>
      <c r="AI86">
        <v>41.577199999999998</v>
      </c>
      <c r="AJ86">
        <v>1.1006999999999999E-2</v>
      </c>
      <c r="AK86">
        <v>441.68079999999998</v>
      </c>
      <c r="AL86">
        <v>8.8555999999999996E-2</v>
      </c>
      <c r="AM86">
        <v>12.398099999999999</v>
      </c>
      <c r="AN86">
        <v>0</v>
      </c>
      <c r="AO86">
        <v>8.4802999999999997</v>
      </c>
      <c r="AP86">
        <v>0.40286</v>
      </c>
      <c r="AQ86">
        <v>0.62368999999999997</v>
      </c>
      <c r="AR86">
        <v>2.0830000000000001E-2</v>
      </c>
      <c r="AS86">
        <v>-1.8332999999999999</v>
      </c>
      <c r="AT86">
        <v>-203.27070000000001</v>
      </c>
    </row>
    <row r="87" spans="2:46" x14ac:dyDescent="0.25">
      <c r="B87" t="s">
        <v>488</v>
      </c>
      <c r="C87">
        <v>42.276000000000003</v>
      </c>
      <c r="D87">
        <v>-82.956000000000017</v>
      </c>
      <c r="E87" t="s">
        <v>489</v>
      </c>
      <c r="F87" t="s">
        <v>311</v>
      </c>
      <c r="G87">
        <v>2980.9960999999998</v>
      </c>
      <c r="H87">
        <v>2288.8926999999999</v>
      </c>
      <c r="I87">
        <v>28718.673900000002</v>
      </c>
      <c r="J87">
        <v>0.30840000000000001</v>
      </c>
      <c r="K87">
        <v>0.51117000000000001</v>
      </c>
      <c r="L87">
        <v>1.2289000000000001</v>
      </c>
      <c r="M87">
        <v>0.48113</v>
      </c>
      <c r="N87">
        <v>0</v>
      </c>
      <c r="O87">
        <v>0</v>
      </c>
      <c r="P87">
        <v>0</v>
      </c>
      <c r="Q87">
        <v>29.454699999999999</v>
      </c>
      <c r="R87">
        <v>0.24389</v>
      </c>
      <c r="S87">
        <v>90.963700000000003</v>
      </c>
      <c r="T87">
        <v>8.4110999999999995E-3</v>
      </c>
      <c r="U87">
        <v>0.16458</v>
      </c>
      <c r="V87">
        <v>0.21804999999999999</v>
      </c>
      <c r="W87">
        <v>1.831</v>
      </c>
      <c r="X87">
        <v>8.7106000000000006E-3</v>
      </c>
      <c r="Y87">
        <v>1.1105E-2</v>
      </c>
      <c r="Z87">
        <v>7.3550000000000004E-4</v>
      </c>
      <c r="AA87">
        <v>1.9855999999999999E-2</v>
      </c>
      <c r="AB87">
        <v>0.82047999999999999</v>
      </c>
      <c r="AC87">
        <v>1.244E-2</v>
      </c>
      <c r="AD87">
        <v>2.2545E-4</v>
      </c>
      <c r="AE87">
        <v>3.4245999999999999E-3</v>
      </c>
      <c r="AF87">
        <v>3.4816E-2</v>
      </c>
      <c r="AG87">
        <v>7.4184999999999999</v>
      </c>
      <c r="AH87">
        <v>7.4184999999999999</v>
      </c>
      <c r="AI87">
        <v>9.2437000000000005</v>
      </c>
      <c r="AJ87">
        <v>1.1006999999999999E-2</v>
      </c>
      <c r="AK87">
        <v>441.68079999999998</v>
      </c>
      <c r="AL87">
        <v>8.8555999999999996E-2</v>
      </c>
      <c r="AM87">
        <v>5.2351000000000001</v>
      </c>
      <c r="AN87">
        <v>0</v>
      </c>
      <c r="AO87">
        <v>0.57633000000000001</v>
      </c>
      <c r="AP87">
        <v>0.40286</v>
      </c>
      <c r="AQ87">
        <v>0.62368999999999997</v>
      </c>
      <c r="AR87">
        <v>2.0830000000000001E-2</v>
      </c>
      <c r="AS87">
        <v>-1.8332999999999999</v>
      </c>
      <c r="AT87">
        <v>-203.27070000000001</v>
      </c>
    </row>
    <row r="88" spans="2:46" x14ac:dyDescent="0.25">
      <c r="B88" t="s">
        <v>490</v>
      </c>
      <c r="C88">
        <v>44.225000000000001</v>
      </c>
      <c r="D88">
        <v>-76.59699999999998</v>
      </c>
      <c r="E88" t="s">
        <v>491</v>
      </c>
      <c r="F88" t="s">
        <v>311</v>
      </c>
      <c r="G88">
        <v>3128.6104999999998</v>
      </c>
      <c r="H88">
        <v>2199.8879999999999</v>
      </c>
      <c r="I88">
        <v>31489.187900000001</v>
      </c>
      <c r="J88">
        <v>0.34842000000000001</v>
      </c>
      <c r="K88">
        <v>0.17377999999999999</v>
      </c>
      <c r="L88">
        <v>1.3794999999999999</v>
      </c>
      <c r="M88">
        <v>0.54225999999999996</v>
      </c>
      <c r="N88">
        <v>0</v>
      </c>
      <c r="O88">
        <v>0</v>
      </c>
      <c r="P88">
        <v>0</v>
      </c>
      <c r="Q88">
        <v>23.905999999999999</v>
      </c>
      <c r="R88">
        <v>0.21043000000000001</v>
      </c>
      <c r="S88">
        <v>90.963700000000003</v>
      </c>
      <c r="T88">
        <v>8.4110999999999995E-3</v>
      </c>
      <c r="U88">
        <v>0.16458</v>
      </c>
      <c r="V88">
        <v>0.21804999999999999</v>
      </c>
      <c r="W88">
        <v>1.831</v>
      </c>
      <c r="X88">
        <v>8.7106000000000006E-3</v>
      </c>
      <c r="Y88">
        <v>1.1105E-2</v>
      </c>
      <c r="Z88">
        <v>7.3550000000000004E-4</v>
      </c>
      <c r="AA88">
        <v>1.9855999999999999E-2</v>
      </c>
      <c r="AB88">
        <v>0.82047999999999999</v>
      </c>
      <c r="AC88">
        <v>1.244E-2</v>
      </c>
      <c r="AD88">
        <v>2.2545E-4</v>
      </c>
      <c r="AE88">
        <v>3.4245999999999999E-3</v>
      </c>
      <c r="AF88">
        <v>3.4816E-2</v>
      </c>
      <c r="AG88">
        <v>7.4184999999999999</v>
      </c>
      <c r="AH88">
        <v>7.4184999999999999</v>
      </c>
      <c r="AI88">
        <v>9.2437000000000005</v>
      </c>
      <c r="AJ88">
        <v>1.1006999999999999E-2</v>
      </c>
      <c r="AK88">
        <v>441.68079999999998</v>
      </c>
      <c r="AL88">
        <v>8.8555999999999996E-2</v>
      </c>
      <c r="AM88">
        <v>5.0963000000000003</v>
      </c>
      <c r="AN88">
        <v>0</v>
      </c>
      <c r="AO88">
        <v>0.72160000000000002</v>
      </c>
      <c r="AP88">
        <v>0.40286</v>
      </c>
      <c r="AQ88">
        <v>0.62368999999999997</v>
      </c>
      <c r="AR88">
        <v>2.0830000000000001E-2</v>
      </c>
      <c r="AS88">
        <v>-1.8332999999999999</v>
      </c>
      <c r="AT88">
        <v>-203.27070000000001</v>
      </c>
    </row>
    <row r="89" spans="2:46" x14ac:dyDescent="0.25">
      <c r="B89" t="s">
        <v>492</v>
      </c>
      <c r="C89">
        <v>44.116999999999997</v>
      </c>
      <c r="D89">
        <v>-77.533000000000015</v>
      </c>
      <c r="E89" t="s">
        <v>493</v>
      </c>
      <c r="F89" t="s">
        <v>311</v>
      </c>
      <c r="G89">
        <v>3121.3444</v>
      </c>
      <c r="H89">
        <v>2184.9007999999999</v>
      </c>
      <c r="I89">
        <v>31375.9084</v>
      </c>
      <c r="J89">
        <v>0.34650999999999998</v>
      </c>
      <c r="K89">
        <v>0.27166000000000001</v>
      </c>
      <c r="L89">
        <v>1.3833</v>
      </c>
      <c r="M89">
        <v>0.54125999999999996</v>
      </c>
      <c r="N89">
        <v>0</v>
      </c>
      <c r="O89">
        <v>0</v>
      </c>
      <c r="P89">
        <v>0</v>
      </c>
      <c r="Q89">
        <v>22.852599999999999</v>
      </c>
      <c r="R89">
        <v>0.20055999999999999</v>
      </c>
      <c r="S89">
        <v>90.963700000000003</v>
      </c>
      <c r="T89">
        <v>8.4110999999999995E-3</v>
      </c>
      <c r="U89">
        <v>0.16458</v>
      </c>
      <c r="V89">
        <v>0.21804999999999999</v>
      </c>
      <c r="W89">
        <v>1.831</v>
      </c>
      <c r="X89">
        <v>8.7106000000000006E-3</v>
      </c>
      <c r="Y89">
        <v>1.1105E-2</v>
      </c>
      <c r="Z89">
        <v>7.3550000000000004E-4</v>
      </c>
      <c r="AA89">
        <v>1.9855999999999999E-2</v>
      </c>
      <c r="AB89">
        <v>0.82047999999999999</v>
      </c>
      <c r="AC89">
        <v>1.244E-2</v>
      </c>
      <c r="AD89">
        <v>2.2545E-4</v>
      </c>
      <c r="AE89">
        <v>3.4245999999999999E-3</v>
      </c>
      <c r="AF89">
        <v>3.4816E-2</v>
      </c>
      <c r="AG89">
        <v>7.4184999999999999</v>
      </c>
      <c r="AH89">
        <v>7.4184999999999999</v>
      </c>
      <c r="AI89">
        <v>9.2437000000000005</v>
      </c>
      <c r="AJ89">
        <v>1.1006999999999999E-2</v>
      </c>
      <c r="AK89">
        <v>441.68079999999998</v>
      </c>
      <c r="AL89">
        <v>8.8555999999999996E-2</v>
      </c>
      <c r="AM89">
        <v>5.09</v>
      </c>
      <c r="AN89">
        <v>0</v>
      </c>
      <c r="AO89">
        <v>0.69338999999999995</v>
      </c>
      <c r="AP89">
        <v>0.40286</v>
      </c>
      <c r="AQ89">
        <v>0.62368999999999997</v>
      </c>
      <c r="AR89">
        <v>2.0830000000000001E-2</v>
      </c>
      <c r="AS89">
        <v>-1.8332999999999999</v>
      </c>
      <c r="AT89">
        <v>-203.27070000000001</v>
      </c>
    </row>
    <row r="90" spans="2:46" x14ac:dyDescent="0.25">
      <c r="B90" t="s">
        <v>494</v>
      </c>
      <c r="C90">
        <v>43.036000000000001</v>
      </c>
      <c r="D90">
        <v>-81.153999999999996</v>
      </c>
      <c r="E90" t="s">
        <v>495</v>
      </c>
      <c r="F90" t="s">
        <v>311</v>
      </c>
      <c r="G90">
        <v>3103.2552000000001</v>
      </c>
      <c r="H90">
        <v>2195.4758000000002</v>
      </c>
      <c r="I90">
        <v>31036.795300000002</v>
      </c>
      <c r="J90">
        <v>0.35882999999999998</v>
      </c>
      <c r="K90">
        <v>0.28127000000000002</v>
      </c>
      <c r="L90">
        <v>1.3632</v>
      </c>
      <c r="M90">
        <v>0.51595999999999997</v>
      </c>
      <c r="N90">
        <v>0</v>
      </c>
      <c r="O90">
        <v>0</v>
      </c>
      <c r="P90">
        <v>0</v>
      </c>
      <c r="Q90">
        <v>23.544699999999999</v>
      </c>
      <c r="R90">
        <v>0.20691999999999999</v>
      </c>
      <c r="S90">
        <v>90.963700000000003</v>
      </c>
      <c r="T90">
        <v>8.4110999999999995E-3</v>
      </c>
      <c r="U90">
        <v>0.16458</v>
      </c>
      <c r="V90">
        <v>0.21804999999999999</v>
      </c>
      <c r="W90">
        <v>1.831</v>
      </c>
      <c r="X90">
        <v>8.7106000000000006E-3</v>
      </c>
      <c r="Y90">
        <v>1.1105E-2</v>
      </c>
      <c r="Z90">
        <v>7.3550000000000004E-4</v>
      </c>
      <c r="AA90">
        <v>1.9855999999999999E-2</v>
      </c>
      <c r="AB90">
        <v>0.82047999999999999</v>
      </c>
      <c r="AC90">
        <v>1.244E-2</v>
      </c>
      <c r="AD90">
        <v>2.2545E-4</v>
      </c>
      <c r="AE90">
        <v>3.4245999999999999E-3</v>
      </c>
      <c r="AF90">
        <v>3.4816E-2</v>
      </c>
      <c r="AG90">
        <v>7.4184999999999999</v>
      </c>
      <c r="AH90">
        <v>7.4184999999999999</v>
      </c>
      <c r="AI90">
        <v>9.2437000000000005</v>
      </c>
      <c r="AJ90">
        <v>1.1006999999999999E-2</v>
      </c>
      <c r="AK90">
        <v>441.68079999999998</v>
      </c>
      <c r="AL90">
        <v>8.8555999999999996E-2</v>
      </c>
      <c r="AM90">
        <v>5.0989000000000004</v>
      </c>
      <c r="AN90">
        <v>0</v>
      </c>
      <c r="AO90">
        <v>0.68128</v>
      </c>
      <c r="AP90">
        <v>0.40286</v>
      </c>
      <c r="AQ90">
        <v>0.62368999999999997</v>
      </c>
      <c r="AR90">
        <v>2.0830000000000001E-2</v>
      </c>
      <c r="AS90">
        <v>-1.8332999999999999</v>
      </c>
      <c r="AT90">
        <v>-203.27070000000001</v>
      </c>
    </row>
    <row r="91" spans="2:46" x14ac:dyDescent="0.25">
      <c r="B91" t="s">
        <v>496</v>
      </c>
      <c r="C91">
        <v>45.951999999999998</v>
      </c>
      <c r="D91">
        <v>-77.319000000000017</v>
      </c>
      <c r="E91" t="s">
        <v>497</v>
      </c>
      <c r="F91" t="s">
        <v>311</v>
      </c>
      <c r="G91">
        <v>3355.8573000000001</v>
      </c>
      <c r="H91">
        <v>2087.261</v>
      </c>
      <c r="I91">
        <v>35725.207600000002</v>
      </c>
      <c r="J91">
        <v>0.32244</v>
      </c>
      <c r="K91">
        <v>0.23230999999999999</v>
      </c>
      <c r="L91">
        <v>1.6898</v>
      </c>
      <c r="M91">
        <v>0.64154</v>
      </c>
      <c r="N91" s="139">
        <v>1.7336000000000001E-5</v>
      </c>
      <c r="O91">
        <v>0</v>
      </c>
      <c r="P91">
        <v>0</v>
      </c>
      <c r="Q91">
        <v>16.594100000000001</v>
      </c>
      <c r="R91">
        <v>0.16042000000000001</v>
      </c>
      <c r="S91">
        <v>90.963700000000003</v>
      </c>
      <c r="T91">
        <v>8.4110999999999995E-3</v>
      </c>
      <c r="U91">
        <v>0.16458</v>
      </c>
      <c r="V91">
        <v>0.21804999999999999</v>
      </c>
      <c r="W91">
        <v>1.831</v>
      </c>
      <c r="X91">
        <v>8.7106000000000006E-3</v>
      </c>
      <c r="Y91">
        <v>1.1105E-2</v>
      </c>
      <c r="Z91">
        <v>7.3550000000000004E-4</v>
      </c>
      <c r="AA91">
        <v>1.9855999999999999E-2</v>
      </c>
      <c r="AB91">
        <v>0.82047999999999999</v>
      </c>
      <c r="AC91">
        <v>1.244E-2</v>
      </c>
      <c r="AD91">
        <v>2.2545E-4</v>
      </c>
      <c r="AE91">
        <v>3.4245999999999999E-3</v>
      </c>
      <c r="AF91">
        <v>3.4816E-2</v>
      </c>
      <c r="AG91">
        <v>7.4184999999999999</v>
      </c>
      <c r="AH91">
        <v>7.4184999999999999</v>
      </c>
      <c r="AI91">
        <v>9.2437000000000005</v>
      </c>
      <c r="AJ91">
        <v>1.1006999999999999E-2</v>
      </c>
      <c r="AK91">
        <v>441.68079999999998</v>
      </c>
      <c r="AL91">
        <v>8.8555999999999996E-2</v>
      </c>
      <c r="AM91">
        <v>4.6978999999999997</v>
      </c>
      <c r="AN91">
        <v>0</v>
      </c>
      <c r="AO91">
        <v>0.93318999999999996</v>
      </c>
      <c r="AP91">
        <v>0.40286</v>
      </c>
      <c r="AQ91">
        <v>0.62368999999999997</v>
      </c>
      <c r="AR91">
        <v>2.0830000000000001E-2</v>
      </c>
      <c r="AS91">
        <v>-1.8332999999999999</v>
      </c>
      <c r="AT91">
        <v>-203.27070000000001</v>
      </c>
    </row>
    <row r="92" spans="2:46" x14ac:dyDescent="0.25">
      <c r="B92" t="s">
        <v>498</v>
      </c>
      <c r="C92">
        <v>45.323</v>
      </c>
      <c r="D92">
        <v>-75.668999999999983</v>
      </c>
      <c r="E92" t="s">
        <v>499</v>
      </c>
      <c r="F92" t="s">
        <v>311</v>
      </c>
      <c r="G92">
        <v>3266.8631999999998</v>
      </c>
      <c r="H92">
        <v>2129.6017999999999</v>
      </c>
      <c r="I92">
        <v>34068.409399999997</v>
      </c>
      <c r="J92">
        <v>0.32834999999999998</v>
      </c>
      <c r="K92">
        <v>0.29474</v>
      </c>
      <c r="L92">
        <v>1.57</v>
      </c>
      <c r="M92">
        <v>0.60899000000000003</v>
      </c>
      <c r="N92" s="139">
        <v>1.2261E-5</v>
      </c>
      <c r="O92">
        <v>0</v>
      </c>
      <c r="P92">
        <v>0</v>
      </c>
      <c r="Q92">
        <v>19.258400000000002</v>
      </c>
      <c r="R92">
        <v>0.17638999999999999</v>
      </c>
      <c r="S92">
        <v>90.963700000000003</v>
      </c>
      <c r="T92">
        <v>8.4110999999999995E-3</v>
      </c>
      <c r="U92">
        <v>0.16458</v>
      </c>
      <c r="V92">
        <v>0.21804999999999999</v>
      </c>
      <c r="W92">
        <v>1.831</v>
      </c>
      <c r="X92">
        <v>8.7106000000000006E-3</v>
      </c>
      <c r="Y92">
        <v>1.1105E-2</v>
      </c>
      <c r="Z92">
        <v>7.3550000000000004E-4</v>
      </c>
      <c r="AA92">
        <v>1.9855999999999999E-2</v>
      </c>
      <c r="AB92">
        <v>0.82047999999999999</v>
      </c>
      <c r="AC92">
        <v>1.244E-2</v>
      </c>
      <c r="AD92">
        <v>2.2545E-4</v>
      </c>
      <c r="AE92">
        <v>3.4245999999999999E-3</v>
      </c>
      <c r="AF92">
        <v>3.4816E-2</v>
      </c>
      <c r="AG92">
        <v>7.4184999999999999</v>
      </c>
      <c r="AH92">
        <v>7.4184999999999999</v>
      </c>
      <c r="AI92">
        <v>9.2437000000000005</v>
      </c>
      <c r="AJ92">
        <v>1.1006999999999999E-2</v>
      </c>
      <c r="AK92">
        <v>441.68079999999998</v>
      </c>
      <c r="AL92">
        <v>8.8555999999999996E-2</v>
      </c>
      <c r="AM92">
        <v>4.9005000000000001</v>
      </c>
      <c r="AN92">
        <v>0</v>
      </c>
      <c r="AO92">
        <v>0.80093999999999999</v>
      </c>
      <c r="AP92">
        <v>0.40286</v>
      </c>
      <c r="AQ92">
        <v>0.62368999999999997</v>
      </c>
      <c r="AR92">
        <v>2.0830000000000001E-2</v>
      </c>
      <c r="AS92">
        <v>-1.8332999999999999</v>
      </c>
      <c r="AT92">
        <v>-203.27070000000001</v>
      </c>
    </row>
    <row r="93" spans="2:46" x14ac:dyDescent="0.25">
      <c r="B93" t="s">
        <v>500</v>
      </c>
      <c r="C93">
        <v>44.75</v>
      </c>
      <c r="D93">
        <v>-81.100000000000023</v>
      </c>
      <c r="E93" t="s">
        <v>501</v>
      </c>
      <c r="F93" t="s">
        <v>311</v>
      </c>
      <c r="G93">
        <v>3180.5981999999999</v>
      </c>
      <c r="H93">
        <v>2107.8193999999999</v>
      </c>
      <c r="I93">
        <v>32537.327499999999</v>
      </c>
      <c r="J93">
        <v>0.37540000000000001</v>
      </c>
      <c r="K93">
        <v>9.4894999999999993E-2</v>
      </c>
      <c r="L93">
        <v>1.4610000000000001</v>
      </c>
      <c r="M93">
        <v>0.55259999999999998</v>
      </c>
      <c r="N93">
        <v>0</v>
      </c>
      <c r="O93">
        <v>0</v>
      </c>
      <c r="P93">
        <v>0</v>
      </c>
      <c r="Q93">
        <v>17.946300000000001</v>
      </c>
      <c r="R93">
        <v>0.17415</v>
      </c>
      <c r="S93">
        <v>90.963700000000003</v>
      </c>
      <c r="T93">
        <v>8.4110999999999995E-3</v>
      </c>
      <c r="U93">
        <v>0.16458</v>
      </c>
      <c r="V93">
        <v>0.21804999999999999</v>
      </c>
      <c r="W93">
        <v>1.831</v>
      </c>
      <c r="X93">
        <v>8.7106000000000006E-3</v>
      </c>
      <c r="Y93">
        <v>1.1105E-2</v>
      </c>
      <c r="Z93">
        <v>7.3550000000000004E-4</v>
      </c>
      <c r="AA93">
        <v>1.9855999999999999E-2</v>
      </c>
      <c r="AB93">
        <v>0.82047999999999999</v>
      </c>
      <c r="AC93">
        <v>1.244E-2</v>
      </c>
      <c r="AD93">
        <v>2.2545E-4</v>
      </c>
      <c r="AE93">
        <v>3.4245999999999999E-3</v>
      </c>
      <c r="AF93">
        <v>3.4816E-2</v>
      </c>
      <c r="AG93">
        <v>7.4184999999999999</v>
      </c>
      <c r="AH93">
        <v>7.4184999999999999</v>
      </c>
      <c r="AI93">
        <v>9.2437000000000005</v>
      </c>
      <c r="AJ93">
        <v>1.1006999999999999E-2</v>
      </c>
      <c r="AK93">
        <v>441.68079999999998</v>
      </c>
      <c r="AL93">
        <v>8.8555999999999996E-2</v>
      </c>
      <c r="AM93">
        <v>5.0260999999999996</v>
      </c>
      <c r="AN93">
        <v>0</v>
      </c>
      <c r="AO93">
        <v>0.74833000000000005</v>
      </c>
      <c r="AP93">
        <v>0.40286</v>
      </c>
      <c r="AQ93">
        <v>0.62368999999999997</v>
      </c>
      <c r="AR93">
        <v>2.0830000000000001E-2</v>
      </c>
      <c r="AS93">
        <v>-1.8332999999999999</v>
      </c>
      <c r="AT93">
        <v>-203.27070000000001</v>
      </c>
    </row>
    <row r="94" spans="2:46" x14ac:dyDescent="0.25">
      <c r="B94" t="s">
        <v>502</v>
      </c>
      <c r="C94">
        <v>46.363999999999997</v>
      </c>
      <c r="D94">
        <v>-79.423000000000002</v>
      </c>
      <c r="E94" t="s">
        <v>503</v>
      </c>
      <c r="F94" t="s">
        <v>311</v>
      </c>
      <c r="G94">
        <v>3435.4396999999999</v>
      </c>
      <c r="H94">
        <v>2014.8876</v>
      </c>
      <c r="I94">
        <v>37247.937100000003</v>
      </c>
      <c r="J94">
        <v>0.34266999999999997</v>
      </c>
      <c r="K94">
        <v>6.8775000000000003E-2</v>
      </c>
      <c r="L94">
        <v>1.7949999999999999</v>
      </c>
      <c r="M94">
        <v>0.66276999999999997</v>
      </c>
      <c r="N94" s="139">
        <v>2.9600999999999998E-6</v>
      </c>
      <c r="O94">
        <v>0</v>
      </c>
      <c r="P94">
        <v>0</v>
      </c>
      <c r="Q94">
        <v>12.0962</v>
      </c>
      <c r="R94">
        <v>0.13374</v>
      </c>
      <c r="S94">
        <v>90.963700000000003</v>
      </c>
      <c r="T94">
        <v>8.4110999999999995E-3</v>
      </c>
      <c r="U94">
        <v>0.16458</v>
      </c>
      <c r="V94">
        <v>0.21804999999999999</v>
      </c>
      <c r="W94">
        <v>1.831</v>
      </c>
      <c r="X94">
        <v>8.7106000000000006E-3</v>
      </c>
      <c r="Y94">
        <v>1.1105E-2</v>
      </c>
      <c r="Z94">
        <v>7.3550000000000004E-4</v>
      </c>
      <c r="AA94">
        <v>1.9855999999999999E-2</v>
      </c>
      <c r="AB94">
        <v>0.82047999999999999</v>
      </c>
      <c r="AC94">
        <v>1.244E-2</v>
      </c>
      <c r="AD94">
        <v>2.2545E-4</v>
      </c>
      <c r="AE94">
        <v>3.4245999999999999E-3</v>
      </c>
      <c r="AF94">
        <v>3.4816E-2</v>
      </c>
      <c r="AG94">
        <v>7.4184999999999999</v>
      </c>
      <c r="AH94">
        <v>7.4184999999999999</v>
      </c>
      <c r="AI94">
        <v>9.2437000000000005</v>
      </c>
      <c r="AJ94">
        <v>1.1006999999999999E-2</v>
      </c>
      <c r="AK94">
        <v>441.68079999999998</v>
      </c>
      <c r="AL94">
        <v>8.8555999999999996E-2</v>
      </c>
      <c r="AM94">
        <v>4.5495999999999999</v>
      </c>
      <c r="AN94">
        <v>0</v>
      </c>
      <c r="AO94">
        <v>0.96194999999999997</v>
      </c>
      <c r="AP94">
        <v>0.40286</v>
      </c>
      <c r="AQ94">
        <v>0.62368999999999997</v>
      </c>
      <c r="AR94">
        <v>2.0830000000000001E-2</v>
      </c>
      <c r="AS94">
        <v>-1.8332999999999999</v>
      </c>
      <c r="AT94">
        <v>-203.27070000000001</v>
      </c>
    </row>
    <row r="95" spans="2:46" x14ac:dyDescent="0.25">
      <c r="B95" t="s">
        <v>504</v>
      </c>
      <c r="C95">
        <v>48.57</v>
      </c>
      <c r="D95">
        <v>-81.37700000000001</v>
      </c>
      <c r="E95" t="s">
        <v>505</v>
      </c>
      <c r="F95" t="s">
        <v>311</v>
      </c>
      <c r="G95">
        <v>3637.6205</v>
      </c>
      <c r="H95">
        <v>1917.3123000000001</v>
      </c>
      <c r="I95">
        <v>41013.5772</v>
      </c>
      <c r="J95">
        <v>0.26841999999999999</v>
      </c>
      <c r="K95">
        <v>0.1067</v>
      </c>
      <c r="L95">
        <v>2.1425000000000001</v>
      </c>
      <c r="M95">
        <v>0.75702000000000003</v>
      </c>
      <c r="N95" s="139">
        <v>3.6622999999999998E-5</v>
      </c>
      <c r="O95">
        <v>0</v>
      </c>
      <c r="P95">
        <v>0</v>
      </c>
      <c r="Q95">
        <v>5.8750999999999998</v>
      </c>
      <c r="R95">
        <v>6.2898999999999997E-2</v>
      </c>
      <c r="S95">
        <v>90.963700000000003</v>
      </c>
      <c r="T95">
        <v>8.4110999999999995E-3</v>
      </c>
      <c r="U95">
        <v>0.16458</v>
      </c>
      <c r="V95">
        <v>0.21804999999999999</v>
      </c>
      <c r="W95">
        <v>1.831</v>
      </c>
      <c r="X95">
        <v>8.7106000000000006E-3</v>
      </c>
      <c r="Y95">
        <v>1.1105E-2</v>
      </c>
      <c r="Z95">
        <v>7.3550000000000004E-4</v>
      </c>
      <c r="AA95">
        <v>1.9855999999999999E-2</v>
      </c>
      <c r="AB95">
        <v>0.82047999999999999</v>
      </c>
      <c r="AC95">
        <v>1.244E-2</v>
      </c>
      <c r="AD95">
        <v>2.2545E-4</v>
      </c>
      <c r="AE95">
        <v>3.4245999999999999E-3</v>
      </c>
      <c r="AF95">
        <v>3.4816E-2</v>
      </c>
      <c r="AG95">
        <v>7.4184999999999999</v>
      </c>
      <c r="AH95">
        <v>7.4184999999999999</v>
      </c>
      <c r="AI95">
        <v>9.2437000000000005</v>
      </c>
      <c r="AJ95">
        <v>1.1006999999999999E-2</v>
      </c>
      <c r="AK95">
        <v>441.68079999999998</v>
      </c>
      <c r="AL95">
        <v>8.8555999999999996E-2</v>
      </c>
      <c r="AM95">
        <v>4.0754999999999999</v>
      </c>
      <c r="AN95">
        <v>0</v>
      </c>
      <c r="AO95">
        <v>1.1734</v>
      </c>
      <c r="AP95">
        <v>0.40286</v>
      </c>
      <c r="AQ95">
        <v>0.62368999999999997</v>
      </c>
      <c r="AR95">
        <v>2.0830000000000001E-2</v>
      </c>
      <c r="AS95">
        <v>-1.8332999999999999</v>
      </c>
      <c r="AT95">
        <v>-203.27070000000001</v>
      </c>
    </row>
    <row r="96" spans="2:46" x14ac:dyDescent="0.25">
      <c r="B96" t="s">
        <v>506</v>
      </c>
      <c r="C96">
        <v>49.414000000000001</v>
      </c>
      <c r="D96">
        <v>-82.466999999999985</v>
      </c>
      <c r="E96" t="s">
        <v>507</v>
      </c>
      <c r="F96" t="s">
        <v>311</v>
      </c>
      <c r="G96">
        <v>3676.6381999999999</v>
      </c>
      <c r="H96">
        <v>1931.2608</v>
      </c>
      <c r="I96">
        <v>41701.201200000003</v>
      </c>
      <c r="J96">
        <v>0.2712</v>
      </c>
      <c r="K96">
        <v>9.1706999999999997E-2</v>
      </c>
      <c r="L96">
        <v>2.1789999999999998</v>
      </c>
      <c r="M96">
        <v>0.76</v>
      </c>
      <c r="N96" s="139">
        <v>3.5987E-5</v>
      </c>
      <c r="O96">
        <v>0</v>
      </c>
      <c r="P96">
        <v>0</v>
      </c>
      <c r="Q96">
        <v>6.9</v>
      </c>
      <c r="R96">
        <v>7.4838000000000002E-2</v>
      </c>
      <c r="S96">
        <v>90.963700000000003</v>
      </c>
      <c r="T96">
        <v>8.4110999999999995E-3</v>
      </c>
      <c r="U96">
        <v>0.16458</v>
      </c>
      <c r="V96">
        <v>0.21804999999999999</v>
      </c>
      <c r="W96">
        <v>1.831</v>
      </c>
      <c r="X96">
        <v>8.7106000000000006E-3</v>
      </c>
      <c r="Y96">
        <v>1.1105E-2</v>
      </c>
      <c r="Z96">
        <v>7.3550000000000004E-4</v>
      </c>
      <c r="AA96">
        <v>1.9855999999999999E-2</v>
      </c>
      <c r="AB96">
        <v>0.82047999999999999</v>
      </c>
      <c r="AC96">
        <v>1.244E-2</v>
      </c>
      <c r="AD96">
        <v>2.2545E-4</v>
      </c>
      <c r="AE96">
        <v>3.4245999999999999E-3</v>
      </c>
      <c r="AF96">
        <v>3.4816E-2</v>
      </c>
      <c r="AG96">
        <v>7.4184999999999999</v>
      </c>
      <c r="AH96">
        <v>7.4184999999999999</v>
      </c>
      <c r="AI96">
        <v>9.2437000000000005</v>
      </c>
      <c r="AJ96">
        <v>1.1006999999999999E-2</v>
      </c>
      <c r="AK96">
        <v>441.68079999999998</v>
      </c>
      <c r="AL96">
        <v>8.8555999999999996E-2</v>
      </c>
      <c r="AM96">
        <v>3.9937999999999998</v>
      </c>
      <c r="AN96">
        <v>0</v>
      </c>
      <c r="AO96">
        <v>1.1666000000000001</v>
      </c>
      <c r="AP96">
        <v>0.40286</v>
      </c>
      <c r="AQ96">
        <v>0.62368999999999997</v>
      </c>
      <c r="AR96">
        <v>2.0830000000000001E-2</v>
      </c>
      <c r="AS96">
        <v>-1.8332999999999999</v>
      </c>
      <c r="AT96">
        <v>-203.27070000000001</v>
      </c>
    </row>
    <row r="97" spans="2:46" x14ac:dyDescent="0.25">
      <c r="B97" t="s">
        <v>508</v>
      </c>
      <c r="C97">
        <v>49.767000000000003</v>
      </c>
      <c r="D97">
        <v>-86.916999999999973</v>
      </c>
      <c r="E97" t="s">
        <v>509</v>
      </c>
      <c r="F97" t="s">
        <v>311</v>
      </c>
      <c r="G97">
        <v>3722.7982000000002</v>
      </c>
      <c r="H97">
        <v>1908.9077</v>
      </c>
      <c r="I97">
        <v>42561.027099999999</v>
      </c>
      <c r="J97">
        <v>0.25895000000000001</v>
      </c>
      <c r="K97">
        <v>5.1596000000000003E-2</v>
      </c>
      <c r="L97">
        <v>2.2530999999999999</v>
      </c>
      <c r="M97">
        <v>0.78005999999999998</v>
      </c>
      <c r="N97" s="139">
        <v>1.7176E-5</v>
      </c>
      <c r="O97">
        <v>0</v>
      </c>
      <c r="P97">
        <v>0</v>
      </c>
      <c r="Q97">
        <v>5.4583000000000004</v>
      </c>
      <c r="R97">
        <v>6.0596999999999998E-2</v>
      </c>
      <c r="S97">
        <v>90.963700000000003</v>
      </c>
      <c r="T97">
        <v>8.4110999999999995E-3</v>
      </c>
      <c r="U97">
        <v>0.16458</v>
      </c>
      <c r="V97">
        <v>0.21804999999999999</v>
      </c>
      <c r="W97">
        <v>1.831</v>
      </c>
      <c r="X97">
        <v>8.7106000000000006E-3</v>
      </c>
      <c r="Y97">
        <v>1.1105E-2</v>
      </c>
      <c r="Z97">
        <v>7.3550000000000004E-4</v>
      </c>
      <c r="AA97">
        <v>1.9855999999999999E-2</v>
      </c>
      <c r="AB97">
        <v>0.82047999999999999</v>
      </c>
      <c r="AC97">
        <v>1.244E-2</v>
      </c>
      <c r="AD97">
        <v>2.2545E-4</v>
      </c>
      <c r="AE97">
        <v>3.4245999999999999E-3</v>
      </c>
      <c r="AF97">
        <v>3.4816E-2</v>
      </c>
      <c r="AG97">
        <v>7.4184999999999999</v>
      </c>
      <c r="AH97">
        <v>7.4184999999999999</v>
      </c>
      <c r="AI97">
        <v>9.2437000000000005</v>
      </c>
      <c r="AJ97">
        <v>1.1006999999999999E-2</v>
      </c>
      <c r="AK97">
        <v>441.68079999999998</v>
      </c>
      <c r="AL97">
        <v>8.8555999999999996E-2</v>
      </c>
      <c r="AM97">
        <v>3.9171</v>
      </c>
      <c r="AN97">
        <v>0</v>
      </c>
      <c r="AO97">
        <v>1.2485999999999999</v>
      </c>
      <c r="AP97">
        <v>0.40286</v>
      </c>
      <c r="AQ97">
        <v>0.62368999999999997</v>
      </c>
      <c r="AR97">
        <v>2.0830000000000001E-2</v>
      </c>
      <c r="AS97">
        <v>-1.8332999999999999</v>
      </c>
      <c r="AT97">
        <v>-203.27070000000001</v>
      </c>
    </row>
    <row r="98" spans="2:46" x14ac:dyDescent="0.25">
      <c r="B98" t="s">
        <v>510</v>
      </c>
      <c r="C98">
        <v>50.116999999999997</v>
      </c>
      <c r="D98">
        <v>-91.899999999999977</v>
      </c>
      <c r="E98" t="s">
        <v>511</v>
      </c>
      <c r="F98" t="s">
        <v>311</v>
      </c>
      <c r="G98">
        <v>3660.5551999999998</v>
      </c>
      <c r="H98">
        <v>1949.8196</v>
      </c>
      <c r="I98">
        <v>41388.7791</v>
      </c>
      <c r="J98">
        <v>0.27083000000000002</v>
      </c>
      <c r="K98">
        <v>0.10854999999999999</v>
      </c>
      <c r="L98">
        <v>2.1400999999999999</v>
      </c>
      <c r="M98">
        <v>0.75817000000000001</v>
      </c>
      <c r="N98" s="139">
        <v>8.6186999999999993E-6</v>
      </c>
      <c r="O98">
        <v>0</v>
      </c>
      <c r="P98">
        <v>0</v>
      </c>
      <c r="Q98">
        <v>8.0744000000000007</v>
      </c>
      <c r="R98">
        <v>9.1308E-2</v>
      </c>
      <c r="S98">
        <v>90.963700000000003</v>
      </c>
      <c r="T98">
        <v>8.4110999999999995E-3</v>
      </c>
      <c r="U98">
        <v>0.16458</v>
      </c>
      <c r="V98">
        <v>0.21804999999999999</v>
      </c>
      <c r="W98">
        <v>1.831</v>
      </c>
      <c r="X98">
        <v>8.7106000000000006E-3</v>
      </c>
      <c r="Y98">
        <v>1.1105E-2</v>
      </c>
      <c r="Z98">
        <v>7.3550000000000004E-4</v>
      </c>
      <c r="AA98">
        <v>1.9855999999999999E-2</v>
      </c>
      <c r="AB98">
        <v>0.82047999999999999</v>
      </c>
      <c r="AC98">
        <v>1.244E-2</v>
      </c>
      <c r="AD98">
        <v>2.2545E-4</v>
      </c>
      <c r="AE98">
        <v>3.4245999999999999E-3</v>
      </c>
      <c r="AF98">
        <v>3.4816E-2</v>
      </c>
      <c r="AG98">
        <v>7.4184999999999999</v>
      </c>
      <c r="AH98">
        <v>7.4184999999999999</v>
      </c>
      <c r="AI98">
        <v>9.2437000000000005</v>
      </c>
      <c r="AJ98">
        <v>1.1006999999999999E-2</v>
      </c>
      <c r="AK98">
        <v>441.68079999999998</v>
      </c>
      <c r="AL98">
        <v>8.8555999999999996E-2</v>
      </c>
      <c r="AM98">
        <v>3.9948000000000001</v>
      </c>
      <c r="AN98">
        <v>0</v>
      </c>
      <c r="AO98">
        <v>1.2003999999999999</v>
      </c>
      <c r="AP98">
        <v>0.40286</v>
      </c>
      <c r="AQ98">
        <v>0.62368999999999997</v>
      </c>
      <c r="AR98">
        <v>2.0830000000000001E-2</v>
      </c>
      <c r="AS98">
        <v>-1.8332999999999999</v>
      </c>
      <c r="AT98">
        <v>-203.27070000000001</v>
      </c>
    </row>
    <row r="99" spans="2:46" x14ac:dyDescent="0.25">
      <c r="B99" t="s">
        <v>512</v>
      </c>
      <c r="C99">
        <v>46.283000000000001</v>
      </c>
      <c r="D99">
        <v>-63.132999999999981</v>
      </c>
      <c r="E99" t="s">
        <v>513</v>
      </c>
      <c r="F99" t="s">
        <v>312</v>
      </c>
      <c r="G99">
        <v>3132.5043000000001</v>
      </c>
      <c r="H99">
        <v>2070.9222</v>
      </c>
      <c r="I99">
        <v>33492.505499999999</v>
      </c>
      <c r="J99">
        <v>0.38815</v>
      </c>
      <c r="K99">
        <v>2.0302000000000001E-2</v>
      </c>
      <c r="L99">
        <v>1.5245</v>
      </c>
      <c r="M99">
        <v>0.57094999999999996</v>
      </c>
      <c r="N99">
        <v>0</v>
      </c>
      <c r="O99">
        <v>0</v>
      </c>
      <c r="P99">
        <v>0</v>
      </c>
      <c r="Q99">
        <v>4.3432000000000004</v>
      </c>
      <c r="R99">
        <v>0.15478</v>
      </c>
      <c r="S99">
        <v>25.4191</v>
      </c>
      <c r="T99">
        <v>8.4110999999999995E-3</v>
      </c>
      <c r="U99">
        <v>4.5990999999999997E-2</v>
      </c>
      <c r="V99">
        <v>6.0934000000000002E-2</v>
      </c>
      <c r="W99">
        <v>1.831</v>
      </c>
      <c r="X99">
        <v>8.7106000000000006E-3</v>
      </c>
      <c r="Y99">
        <v>1.1105E-2</v>
      </c>
      <c r="Z99">
        <v>7.3550000000000004E-4</v>
      </c>
      <c r="AA99">
        <v>1.9855999999999999E-2</v>
      </c>
      <c r="AB99">
        <v>0.82047999999999999</v>
      </c>
      <c r="AC99">
        <v>1.244E-2</v>
      </c>
      <c r="AD99">
        <v>2.2545E-4</v>
      </c>
      <c r="AE99">
        <v>3.4245999999999999E-3</v>
      </c>
      <c r="AF99">
        <v>3.4816E-2</v>
      </c>
      <c r="AG99">
        <v>2.073</v>
      </c>
      <c r="AH99">
        <v>2.073</v>
      </c>
      <c r="AI99">
        <v>2.5831</v>
      </c>
      <c r="AJ99">
        <v>1.1006999999999999E-2</v>
      </c>
      <c r="AK99">
        <v>441.68079999999998</v>
      </c>
      <c r="AL99">
        <v>8.8555999999999996E-2</v>
      </c>
      <c r="AM99">
        <v>1.3952</v>
      </c>
      <c r="AN99">
        <v>0</v>
      </c>
      <c r="AO99">
        <v>0.21529999999999999</v>
      </c>
      <c r="AP99">
        <v>0.40286</v>
      </c>
      <c r="AQ99">
        <v>0.62368999999999997</v>
      </c>
      <c r="AR99">
        <v>2.0830000000000001E-2</v>
      </c>
      <c r="AS99">
        <v>-1.8332999999999999</v>
      </c>
      <c r="AT99">
        <v>-203.27070000000001</v>
      </c>
    </row>
    <row r="100" spans="2:46" x14ac:dyDescent="0.25">
      <c r="B100" t="s">
        <v>514</v>
      </c>
      <c r="C100">
        <v>48.774999999999999</v>
      </c>
      <c r="D100">
        <v>-64.478999999999985</v>
      </c>
      <c r="E100" t="s">
        <v>515</v>
      </c>
      <c r="F100" t="s">
        <v>313</v>
      </c>
      <c r="G100">
        <v>3383.1361999999999</v>
      </c>
      <c r="H100">
        <v>1968.0505000000001</v>
      </c>
      <c r="I100">
        <v>38169.602800000001</v>
      </c>
      <c r="J100">
        <v>0.31861</v>
      </c>
      <c r="K100">
        <v>8.3634999999999994E-3</v>
      </c>
      <c r="L100">
        <v>1.8821000000000001</v>
      </c>
      <c r="M100">
        <v>0.70872999999999997</v>
      </c>
      <c r="N100">
        <v>0</v>
      </c>
      <c r="O100">
        <v>0</v>
      </c>
      <c r="P100">
        <v>0</v>
      </c>
      <c r="Q100">
        <v>2.0427</v>
      </c>
      <c r="R100">
        <v>9.7335000000000005E-2</v>
      </c>
      <c r="S100">
        <v>20.8062</v>
      </c>
      <c r="T100">
        <v>8.4110999999999995E-3</v>
      </c>
      <c r="U100">
        <v>3.7644999999999998E-2</v>
      </c>
      <c r="V100">
        <v>4.9875999999999997E-2</v>
      </c>
      <c r="W100">
        <v>1.831</v>
      </c>
      <c r="X100">
        <v>8.7106000000000006E-3</v>
      </c>
      <c r="Y100">
        <v>1.1105E-2</v>
      </c>
      <c r="Z100">
        <v>7.3550000000000004E-4</v>
      </c>
      <c r="AA100">
        <v>1.9855999999999999E-2</v>
      </c>
      <c r="AB100">
        <v>0.82047999999999999</v>
      </c>
      <c r="AC100">
        <v>1.244E-2</v>
      </c>
      <c r="AD100">
        <v>2.2545E-4</v>
      </c>
      <c r="AE100">
        <v>3.4245999999999999E-3</v>
      </c>
      <c r="AF100">
        <v>3.4816E-2</v>
      </c>
      <c r="AG100">
        <v>1.6968000000000001</v>
      </c>
      <c r="AH100">
        <v>1.6968000000000001</v>
      </c>
      <c r="AI100">
        <v>2.1143000000000001</v>
      </c>
      <c r="AJ100">
        <v>1.1006999999999999E-2</v>
      </c>
      <c r="AK100">
        <v>441.68079999999998</v>
      </c>
      <c r="AL100">
        <v>8.8555999999999996E-2</v>
      </c>
      <c r="AM100">
        <v>1.0607</v>
      </c>
      <c r="AN100">
        <v>0</v>
      </c>
      <c r="AO100">
        <v>0.22378999999999999</v>
      </c>
      <c r="AP100">
        <v>0.40286</v>
      </c>
      <c r="AQ100">
        <v>0.62368999999999997</v>
      </c>
      <c r="AR100">
        <v>2.0830000000000001E-2</v>
      </c>
      <c r="AS100">
        <v>-1.8332999999999999</v>
      </c>
      <c r="AT100">
        <v>-203.27070000000001</v>
      </c>
    </row>
    <row r="101" spans="2:46" x14ac:dyDescent="0.25">
      <c r="B101" t="s">
        <v>516</v>
      </c>
      <c r="C101">
        <v>45.466999999999999</v>
      </c>
      <c r="D101">
        <v>-73.733000000000004</v>
      </c>
      <c r="E101" t="s">
        <v>517</v>
      </c>
      <c r="F101" t="s">
        <v>313</v>
      </c>
      <c r="G101">
        <v>3086.7084</v>
      </c>
      <c r="H101">
        <v>2129.4414000000002</v>
      </c>
      <c r="I101">
        <v>32775.166100000002</v>
      </c>
      <c r="J101">
        <v>0.30625999999999998</v>
      </c>
      <c r="K101">
        <v>7.0750999999999994E-2</v>
      </c>
      <c r="L101">
        <v>1.5012000000000001</v>
      </c>
      <c r="M101">
        <v>0.60380999999999996</v>
      </c>
      <c r="N101" s="139">
        <v>6.3949999999999996E-5</v>
      </c>
      <c r="O101" s="139">
        <v>2.6492999999999998E-7</v>
      </c>
      <c r="P101">
        <v>1.6948000000000001E-4</v>
      </c>
      <c r="Q101">
        <v>4.3815999999999997</v>
      </c>
      <c r="R101">
        <v>0.17054</v>
      </c>
      <c r="S101">
        <v>20.8062</v>
      </c>
      <c r="T101">
        <v>8.4110999999999995E-3</v>
      </c>
      <c r="U101">
        <v>3.7644999999999998E-2</v>
      </c>
      <c r="V101">
        <v>4.9875999999999997E-2</v>
      </c>
      <c r="W101">
        <v>1.831</v>
      </c>
      <c r="X101">
        <v>8.7106000000000006E-3</v>
      </c>
      <c r="Y101">
        <v>1.1105E-2</v>
      </c>
      <c r="Z101">
        <v>7.3550000000000004E-4</v>
      </c>
      <c r="AA101">
        <v>1.9855999999999999E-2</v>
      </c>
      <c r="AB101">
        <v>0.82047999999999999</v>
      </c>
      <c r="AC101">
        <v>1.244E-2</v>
      </c>
      <c r="AD101">
        <v>2.2545E-4</v>
      </c>
      <c r="AE101">
        <v>3.4245999999999999E-3</v>
      </c>
      <c r="AF101">
        <v>3.4816E-2</v>
      </c>
      <c r="AG101">
        <v>1.6968000000000001</v>
      </c>
      <c r="AH101">
        <v>1.6968000000000001</v>
      </c>
      <c r="AI101">
        <v>2.1143000000000001</v>
      </c>
      <c r="AJ101">
        <v>1.1006999999999999E-2</v>
      </c>
      <c r="AK101">
        <v>441.68079999999998</v>
      </c>
      <c r="AL101">
        <v>8.8555999999999996E-2</v>
      </c>
      <c r="AM101">
        <v>1.1466000000000001</v>
      </c>
      <c r="AN101">
        <v>0</v>
      </c>
      <c r="AO101">
        <v>0.17501</v>
      </c>
      <c r="AP101">
        <v>0.40286</v>
      </c>
      <c r="AQ101">
        <v>0.62368999999999997</v>
      </c>
      <c r="AR101">
        <v>2.0830000000000001E-2</v>
      </c>
      <c r="AS101">
        <v>-1.8332999999999999</v>
      </c>
      <c r="AT101">
        <v>-203.27070000000001</v>
      </c>
    </row>
    <row r="102" spans="2:46" x14ac:dyDescent="0.25">
      <c r="B102" t="s">
        <v>518</v>
      </c>
      <c r="C102">
        <v>55.283000000000001</v>
      </c>
      <c r="D102">
        <v>-77.75</v>
      </c>
      <c r="E102" t="s">
        <v>519</v>
      </c>
      <c r="F102" t="s">
        <v>313</v>
      </c>
      <c r="G102">
        <v>4019.1660999999999</v>
      </c>
      <c r="H102">
        <v>1833.6466</v>
      </c>
      <c r="I102">
        <v>49686.381399999998</v>
      </c>
      <c r="J102">
        <v>0.27483000000000002</v>
      </c>
      <c r="K102">
        <v>0</v>
      </c>
      <c r="L102">
        <v>2.7214999999999998</v>
      </c>
      <c r="M102">
        <v>0.90805000000000002</v>
      </c>
      <c r="N102">
        <v>0</v>
      </c>
      <c r="O102">
        <v>0</v>
      </c>
      <c r="P102">
        <v>0</v>
      </c>
      <c r="Q102">
        <v>0.16613</v>
      </c>
      <c r="R102">
        <v>9.6740999999999997E-3</v>
      </c>
      <c r="S102">
        <v>20.8062</v>
      </c>
      <c r="T102">
        <v>8.4110999999999995E-3</v>
      </c>
      <c r="U102">
        <v>3.7644999999999998E-2</v>
      </c>
      <c r="V102">
        <v>4.9875999999999997E-2</v>
      </c>
      <c r="W102">
        <v>1.831</v>
      </c>
      <c r="X102">
        <v>8.7106000000000006E-3</v>
      </c>
      <c r="Y102">
        <v>1.1105E-2</v>
      </c>
      <c r="Z102">
        <v>7.3550000000000004E-4</v>
      </c>
      <c r="AA102">
        <v>1.9855999999999999E-2</v>
      </c>
      <c r="AB102">
        <v>0.82047999999999999</v>
      </c>
      <c r="AC102">
        <v>1.244E-2</v>
      </c>
      <c r="AD102">
        <v>2.2545E-4</v>
      </c>
      <c r="AE102">
        <v>3.4245999999999999E-3</v>
      </c>
      <c r="AF102">
        <v>3.4816E-2</v>
      </c>
      <c r="AG102">
        <v>1.6968000000000001</v>
      </c>
      <c r="AH102">
        <v>1.6968000000000001</v>
      </c>
      <c r="AI102">
        <v>2.1143000000000001</v>
      </c>
      <c r="AJ102">
        <v>1.1006999999999999E-2</v>
      </c>
      <c r="AK102">
        <v>441.68079999999998</v>
      </c>
      <c r="AL102">
        <v>8.8555999999999996E-2</v>
      </c>
      <c r="AM102">
        <v>0.79469000000000001</v>
      </c>
      <c r="AN102">
        <v>0</v>
      </c>
      <c r="AO102">
        <v>0.34381</v>
      </c>
      <c r="AP102">
        <v>0.40286</v>
      </c>
      <c r="AQ102">
        <v>0.62368999999999997</v>
      </c>
      <c r="AR102">
        <v>2.0830000000000001E-2</v>
      </c>
      <c r="AS102">
        <v>-1.8332999999999999</v>
      </c>
      <c r="AT102">
        <v>-203.27070000000001</v>
      </c>
    </row>
    <row r="103" spans="2:46" x14ac:dyDescent="0.25">
      <c r="B103" t="s">
        <v>520</v>
      </c>
      <c r="C103">
        <v>46.790999999999997</v>
      </c>
      <c r="D103">
        <v>-71.392999999999972</v>
      </c>
      <c r="E103" t="s">
        <v>521</v>
      </c>
      <c r="F103" t="s">
        <v>313</v>
      </c>
      <c r="G103">
        <v>3286.1878999999999</v>
      </c>
      <c r="H103">
        <v>2069.8773999999999</v>
      </c>
      <c r="I103">
        <v>36391.947200000002</v>
      </c>
      <c r="J103">
        <v>0.33437</v>
      </c>
      <c r="K103">
        <v>2.8275999999999999E-2</v>
      </c>
      <c r="L103">
        <v>1.7269000000000001</v>
      </c>
      <c r="M103">
        <v>0.65376000000000001</v>
      </c>
      <c r="N103" s="139">
        <v>1.5725E-6</v>
      </c>
      <c r="O103">
        <v>0</v>
      </c>
      <c r="P103">
        <v>0</v>
      </c>
      <c r="Q103">
        <v>3.5607000000000002</v>
      </c>
      <c r="R103">
        <v>0.15176000000000001</v>
      </c>
      <c r="S103">
        <v>20.8062</v>
      </c>
      <c r="T103">
        <v>8.4110999999999995E-3</v>
      </c>
      <c r="U103">
        <v>3.7644999999999998E-2</v>
      </c>
      <c r="V103">
        <v>4.9875999999999997E-2</v>
      </c>
      <c r="W103">
        <v>1.831</v>
      </c>
      <c r="X103">
        <v>8.7106000000000006E-3</v>
      </c>
      <c r="Y103">
        <v>1.1105E-2</v>
      </c>
      <c r="Z103">
        <v>7.3550000000000004E-4</v>
      </c>
      <c r="AA103">
        <v>1.9855999999999999E-2</v>
      </c>
      <c r="AB103">
        <v>0.82047999999999999</v>
      </c>
      <c r="AC103">
        <v>1.244E-2</v>
      </c>
      <c r="AD103">
        <v>2.2545E-4</v>
      </c>
      <c r="AE103">
        <v>3.4245999999999999E-3</v>
      </c>
      <c r="AF103">
        <v>3.4816E-2</v>
      </c>
      <c r="AG103">
        <v>1.6968000000000001</v>
      </c>
      <c r="AH103">
        <v>1.6968000000000001</v>
      </c>
      <c r="AI103">
        <v>2.1143000000000001</v>
      </c>
      <c r="AJ103">
        <v>1.1006999999999999E-2</v>
      </c>
      <c r="AK103">
        <v>441.68079999999998</v>
      </c>
      <c r="AL103">
        <v>8.8555999999999996E-2</v>
      </c>
      <c r="AM103">
        <v>1.0773999999999999</v>
      </c>
      <c r="AN103">
        <v>0</v>
      </c>
      <c r="AO103">
        <v>0.20766999999999999</v>
      </c>
      <c r="AP103">
        <v>0.40286</v>
      </c>
      <c r="AQ103">
        <v>0.62368999999999997</v>
      </c>
      <c r="AR103">
        <v>2.0830000000000001E-2</v>
      </c>
      <c r="AS103">
        <v>-1.8332999999999999</v>
      </c>
      <c r="AT103">
        <v>-203.27070000000001</v>
      </c>
    </row>
    <row r="104" spans="2:46" x14ac:dyDescent="0.25">
      <c r="B104" t="s">
        <v>522</v>
      </c>
      <c r="C104">
        <v>48.6</v>
      </c>
      <c r="D104">
        <v>-68.216999999999985</v>
      </c>
      <c r="E104" t="s">
        <v>523</v>
      </c>
      <c r="F104" t="s">
        <v>313</v>
      </c>
      <c r="G104">
        <v>3336.1763000000001</v>
      </c>
      <c r="H104">
        <v>1958.9059999999999</v>
      </c>
      <c r="I104">
        <v>37324.486700000001</v>
      </c>
      <c r="J104">
        <v>0.34217999999999998</v>
      </c>
      <c r="K104">
        <v>3.0747000000000001E-3</v>
      </c>
      <c r="L104">
        <v>1.8171999999999999</v>
      </c>
      <c r="M104">
        <v>0.68520000000000003</v>
      </c>
      <c r="N104">
        <v>0</v>
      </c>
      <c r="O104">
        <v>0</v>
      </c>
      <c r="P104">
        <v>0</v>
      </c>
      <c r="Q104">
        <v>1.8908</v>
      </c>
      <c r="R104">
        <v>9.5643000000000006E-2</v>
      </c>
      <c r="S104">
        <v>20.8062</v>
      </c>
      <c r="T104">
        <v>8.4110999999999995E-3</v>
      </c>
      <c r="U104">
        <v>3.7644999999999998E-2</v>
      </c>
      <c r="V104">
        <v>4.9875999999999997E-2</v>
      </c>
      <c r="W104">
        <v>1.831</v>
      </c>
      <c r="X104">
        <v>8.7106000000000006E-3</v>
      </c>
      <c r="Y104">
        <v>1.1105E-2</v>
      </c>
      <c r="Z104">
        <v>7.3550000000000004E-4</v>
      </c>
      <c r="AA104">
        <v>1.9855999999999999E-2</v>
      </c>
      <c r="AB104">
        <v>0.82047999999999999</v>
      </c>
      <c r="AC104">
        <v>1.244E-2</v>
      </c>
      <c r="AD104">
        <v>2.2545E-4</v>
      </c>
      <c r="AE104">
        <v>3.4245999999999999E-3</v>
      </c>
      <c r="AF104">
        <v>3.4816E-2</v>
      </c>
      <c r="AG104">
        <v>1.6968000000000001</v>
      </c>
      <c r="AH104">
        <v>1.6968000000000001</v>
      </c>
      <c r="AI104">
        <v>2.1143000000000001</v>
      </c>
      <c r="AJ104">
        <v>1.1006999999999999E-2</v>
      </c>
      <c r="AK104">
        <v>441.68079999999998</v>
      </c>
      <c r="AL104">
        <v>8.8555999999999996E-2</v>
      </c>
      <c r="AM104">
        <v>1.0809</v>
      </c>
      <c r="AN104">
        <v>0</v>
      </c>
      <c r="AO104">
        <v>0.22258</v>
      </c>
      <c r="AP104">
        <v>0.40286</v>
      </c>
      <c r="AQ104">
        <v>0.62368999999999997</v>
      </c>
      <c r="AR104">
        <v>2.0830000000000001E-2</v>
      </c>
      <c r="AS104">
        <v>-1.8332999999999999</v>
      </c>
      <c r="AT104">
        <v>-203.27070000000001</v>
      </c>
    </row>
    <row r="105" spans="2:46" x14ac:dyDescent="0.25">
      <c r="B105" t="s">
        <v>524</v>
      </c>
      <c r="C105">
        <v>48.052999999999997</v>
      </c>
      <c r="D105">
        <v>-77.783000000000015</v>
      </c>
      <c r="E105" t="s">
        <v>525</v>
      </c>
      <c r="F105" t="s">
        <v>313</v>
      </c>
      <c r="G105">
        <v>3486.7689999999998</v>
      </c>
      <c r="H105">
        <v>1922.5065</v>
      </c>
      <c r="I105">
        <v>40052.560100000002</v>
      </c>
      <c r="J105">
        <v>0.30802000000000002</v>
      </c>
      <c r="K105">
        <v>2.0378E-2</v>
      </c>
      <c r="L105">
        <v>2.0539999999999998</v>
      </c>
      <c r="M105">
        <v>0.72299000000000002</v>
      </c>
      <c r="N105">
        <v>1.091E-4</v>
      </c>
      <c r="O105" s="139">
        <v>3.3206E-6</v>
      </c>
      <c r="P105">
        <v>2.374E-4</v>
      </c>
      <c r="Q105">
        <v>1.4049</v>
      </c>
      <c r="R105">
        <v>7.0005999999999999E-2</v>
      </c>
      <c r="S105">
        <v>20.8062</v>
      </c>
      <c r="T105">
        <v>8.4110999999999995E-3</v>
      </c>
      <c r="U105">
        <v>3.7644999999999998E-2</v>
      </c>
      <c r="V105">
        <v>4.9875999999999997E-2</v>
      </c>
      <c r="W105">
        <v>1.831</v>
      </c>
      <c r="X105">
        <v>8.7106000000000006E-3</v>
      </c>
      <c r="Y105">
        <v>1.1105E-2</v>
      </c>
      <c r="Z105">
        <v>7.3550000000000004E-4</v>
      </c>
      <c r="AA105">
        <v>1.9855999999999999E-2</v>
      </c>
      <c r="AB105">
        <v>0.82047999999999999</v>
      </c>
      <c r="AC105">
        <v>1.244E-2</v>
      </c>
      <c r="AD105">
        <v>2.2545E-4</v>
      </c>
      <c r="AE105">
        <v>3.4245999999999999E-3</v>
      </c>
      <c r="AF105">
        <v>3.4816E-2</v>
      </c>
      <c r="AG105">
        <v>1.6968000000000001</v>
      </c>
      <c r="AH105">
        <v>1.6968000000000001</v>
      </c>
      <c r="AI105">
        <v>2.1143000000000001</v>
      </c>
      <c r="AJ105">
        <v>1.1006999999999999E-2</v>
      </c>
      <c r="AK105">
        <v>441.68079999999998</v>
      </c>
      <c r="AL105">
        <v>8.8555999999999996E-2</v>
      </c>
      <c r="AM105">
        <v>0.95752000000000004</v>
      </c>
      <c r="AN105">
        <v>0</v>
      </c>
      <c r="AO105">
        <v>0.26423000000000002</v>
      </c>
      <c r="AP105">
        <v>0.40286</v>
      </c>
      <c r="AQ105">
        <v>0.62368999999999997</v>
      </c>
      <c r="AR105">
        <v>2.0830000000000001E-2</v>
      </c>
      <c r="AS105">
        <v>-1.8332999999999999</v>
      </c>
      <c r="AT105">
        <v>-203.27070000000001</v>
      </c>
    </row>
    <row r="106" spans="2:46" x14ac:dyDescent="0.25">
      <c r="B106" t="s">
        <v>526</v>
      </c>
      <c r="C106">
        <v>48.206000000000003</v>
      </c>
      <c r="D106">
        <v>-78.836000000000013</v>
      </c>
      <c r="E106" t="s">
        <v>527</v>
      </c>
      <c r="F106" t="s">
        <v>313</v>
      </c>
      <c r="G106">
        <v>3525.7363</v>
      </c>
      <c r="H106">
        <v>1929.8364999999999</v>
      </c>
      <c r="I106">
        <v>40753.907599999999</v>
      </c>
      <c r="J106">
        <v>0.27733999999999998</v>
      </c>
      <c r="K106">
        <v>1.6848999999999999E-2</v>
      </c>
      <c r="L106">
        <v>2.1103999999999998</v>
      </c>
      <c r="M106">
        <v>0.74924999999999997</v>
      </c>
      <c r="N106" s="139">
        <v>3.9644999999999997E-5</v>
      </c>
      <c r="O106" s="139">
        <v>2.7052E-6</v>
      </c>
      <c r="P106">
        <v>5.4266000000000004E-4</v>
      </c>
      <c r="Q106">
        <v>1.5338000000000001</v>
      </c>
      <c r="R106">
        <v>7.3376999999999998E-2</v>
      </c>
      <c r="S106">
        <v>20.8062</v>
      </c>
      <c r="T106">
        <v>8.4110999999999995E-3</v>
      </c>
      <c r="U106">
        <v>3.7644999999999998E-2</v>
      </c>
      <c r="V106">
        <v>4.9875999999999997E-2</v>
      </c>
      <c r="W106">
        <v>1.831</v>
      </c>
      <c r="X106">
        <v>8.7106000000000006E-3</v>
      </c>
      <c r="Y106">
        <v>1.1105E-2</v>
      </c>
      <c r="Z106">
        <v>7.3550000000000004E-4</v>
      </c>
      <c r="AA106">
        <v>1.9855999999999999E-2</v>
      </c>
      <c r="AB106">
        <v>0.82047999999999999</v>
      </c>
      <c r="AC106">
        <v>1.244E-2</v>
      </c>
      <c r="AD106">
        <v>2.2545E-4</v>
      </c>
      <c r="AE106">
        <v>3.4245999999999999E-3</v>
      </c>
      <c r="AF106">
        <v>3.4816E-2</v>
      </c>
      <c r="AG106">
        <v>1.6968000000000001</v>
      </c>
      <c r="AH106">
        <v>1.6968000000000001</v>
      </c>
      <c r="AI106">
        <v>2.1143000000000001</v>
      </c>
      <c r="AJ106">
        <v>1.1006999999999999E-2</v>
      </c>
      <c r="AK106">
        <v>441.68079999999998</v>
      </c>
      <c r="AL106">
        <v>8.8555999999999996E-2</v>
      </c>
      <c r="AM106">
        <v>0.94684999999999997</v>
      </c>
      <c r="AN106">
        <v>0</v>
      </c>
      <c r="AO106">
        <v>0.25999</v>
      </c>
      <c r="AP106">
        <v>0.40286</v>
      </c>
      <c r="AQ106">
        <v>0.62368999999999997</v>
      </c>
      <c r="AR106">
        <v>2.0830000000000001E-2</v>
      </c>
      <c r="AS106">
        <v>-1.8332999999999999</v>
      </c>
      <c r="AT106">
        <v>-203.27070000000001</v>
      </c>
    </row>
    <row r="107" spans="2:46" x14ac:dyDescent="0.25">
      <c r="B107" t="s">
        <v>528</v>
      </c>
      <c r="C107">
        <v>48.331000000000003</v>
      </c>
      <c r="D107">
        <v>-70.995999999999981</v>
      </c>
      <c r="E107" t="s">
        <v>529</v>
      </c>
      <c r="F107" t="s">
        <v>313</v>
      </c>
      <c r="G107">
        <v>3415.1444000000001</v>
      </c>
      <c r="H107">
        <v>1959.0897</v>
      </c>
      <c r="I107">
        <v>38749.782899999998</v>
      </c>
      <c r="J107">
        <v>0.30074000000000001</v>
      </c>
      <c r="K107">
        <v>2.2627000000000001E-2</v>
      </c>
      <c r="L107">
        <v>1.9489000000000001</v>
      </c>
      <c r="M107">
        <v>0.71018000000000003</v>
      </c>
      <c r="N107" s="139">
        <v>9.4975000000000005E-5</v>
      </c>
      <c r="O107">
        <v>0</v>
      </c>
      <c r="P107">
        <v>0</v>
      </c>
      <c r="Q107">
        <v>1.9437</v>
      </c>
      <c r="R107">
        <v>9.2565999999999996E-2</v>
      </c>
      <c r="S107">
        <v>20.8062</v>
      </c>
      <c r="T107">
        <v>8.4110999999999995E-3</v>
      </c>
      <c r="U107">
        <v>3.7644999999999998E-2</v>
      </c>
      <c r="V107">
        <v>4.9875999999999997E-2</v>
      </c>
      <c r="W107">
        <v>1.831</v>
      </c>
      <c r="X107">
        <v>8.7106000000000006E-3</v>
      </c>
      <c r="Y107">
        <v>1.1105E-2</v>
      </c>
      <c r="Z107">
        <v>7.3550000000000004E-4</v>
      </c>
      <c r="AA107">
        <v>1.9855999999999999E-2</v>
      </c>
      <c r="AB107">
        <v>0.82047999999999999</v>
      </c>
      <c r="AC107">
        <v>1.244E-2</v>
      </c>
      <c r="AD107">
        <v>2.2545E-4</v>
      </c>
      <c r="AE107">
        <v>3.4245999999999999E-3</v>
      </c>
      <c r="AF107">
        <v>3.4816E-2</v>
      </c>
      <c r="AG107">
        <v>1.6968000000000001</v>
      </c>
      <c r="AH107">
        <v>1.6968000000000001</v>
      </c>
      <c r="AI107">
        <v>2.1143000000000001</v>
      </c>
      <c r="AJ107">
        <v>1.1006999999999999E-2</v>
      </c>
      <c r="AK107">
        <v>441.68079999999998</v>
      </c>
      <c r="AL107">
        <v>8.8555999999999996E-2</v>
      </c>
      <c r="AM107">
        <v>0.99690999999999996</v>
      </c>
      <c r="AN107">
        <v>0</v>
      </c>
      <c r="AO107">
        <v>0.23685999999999999</v>
      </c>
      <c r="AP107">
        <v>0.40286</v>
      </c>
      <c r="AQ107">
        <v>0.62368999999999997</v>
      </c>
      <c r="AR107">
        <v>2.0830000000000001E-2</v>
      </c>
      <c r="AS107">
        <v>-1.8332999999999999</v>
      </c>
      <c r="AT107">
        <v>-203.27070000000001</v>
      </c>
    </row>
    <row r="108" spans="2:46" x14ac:dyDescent="0.25">
      <c r="B108" t="s">
        <v>530</v>
      </c>
      <c r="C108">
        <v>48.517000000000003</v>
      </c>
      <c r="D108">
        <v>-72.266999999999996</v>
      </c>
      <c r="E108" t="s">
        <v>531</v>
      </c>
      <c r="F108" t="s">
        <v>313</v>
      </c>
      <c r="G108">
        <v>3470.1916000000001</v>
      </c>
      <c r="H108">
        <v>1979.3239000000001</v>
      </c>
      <c r="I108">
        <v>39737.848899999997</v>
      </c>
      <c r="J108">
        <v>0.2656</v>
      </c>
      <c r="K108">
        <v>1.073E-2</v>
      </c>
      <c r="L108">
        <v>2.0225</v>
      </c>
      <c r="M108">
        <v>0.73633000000000004</v>
      </c>
      <c r="N108" s="139">
        <v>1.9198000000000002E-5</v>
      </c>
      <c r="O108">
        <v>0</v>
      </c>
      <c r="P108">
        <v>0</v>
      </c>
      <c r="Q108">
        <v>2.258</v>
      </c>
      <c r="R108">
        <v>0.10592</v>
      </c>
      <c r="S108">
        <v>20.8062</v>
      </c>
      <c r="T108">
        <v>8.4110999999999995E-3</v>
      </c>
      <c r="U108">
        <v>3.7644999999999998E-2</v>
      </c>
      <c r="V108">
        <v>4.9875999999999997E-2</v>
      </c>
      <c r="W108">
        <v>1.831</v>
      </c>
      <c r="X108">
        <v>8.7106000000000006E-3</v>
      </c>
      <c r="Y108">
        <v>1.1105E-2</v>
      </c>
      <c r="Z108">
        <v>7.3550000000000004E-4</v>
      </c>
      <c r="AA108">
        <v>1.9855999999999999E-2</v>
      </c>
      <c r="AB108">
        <v>0.82047999999999999</v>
      </c>
      <c r="AC108">
        <v>1.244E-2</v>
      </c>
      <c r="AD108">
        <v>2.2545E-4</v>
      </c>
      <c r="AE108">
        <v>3.4245999999999999E-3</v>
      </c>
      <c r="AF108">
        <v>3.4816E-2</v>
      </c>
      <c r="AG108">
        <v>1.6968000000000001</v>
      </c>
      <c r="AH108">
        <v>1.6968000000000001</v>
      </c>
      <c r="AI108">
        <v>2.1143000000000001</v>
      </c>
      <c r="AJ108">
        <v>1.1006999999999999E-2</v>
      </c>
      <c r="AK108">
        <v>441.68079999999998</v>
      </c>
      <c r="AL108">
        <v>8.8555999999999996E-2</v>
      </c>
      <c r="AM108">
        <v>0.98704000000000003</v>
      </c>
      <c r="AN108">
        <v>0</v>
      </c>
      <c r="AO108">
        <v>0.25008000000000002</v>
      </c>
      <c r="AP108">
        <v>0.40286</v>
      </c>
      <c r="AQ108">
        <v>0.62368999999999997</v>
      </c>
      <c r="AR108">
        <v>2.0830000000000001E-2</v>
      </c>
      <c r="AS108">
        <v>-1.8332999999999999</v>
      </c>
      <c r="AT108">
        <v>-203.27070000000001</v>
      </c>
    </row>
    <row r="109" spans="2:46" x14ac:dyDescent="0.25">
      <c r="B109" t="s">
        <v>532</v>
      </c>
      <c r="C109">
        <v>50.216999999999999</v>
      </c>
      <c r="D109">
        <v>-66.25</v>
      </c>
      <c r="E109" t="s">
        <v>533</v>
      </c>
      <c r="F109" t="s">
        <v>313</v>
      </c>
      <c r="G109">
        <v>3564.8561</v>
      </c>
      <c r="H109">
        <v>1893.6599000000001</v>
      </c>
      <c r="I109">
        <v>41469.873599999999</v>
      </c>
      <c r="J109">
        <v>0.26752999999999999</v>
      </c>
      <c r="K109" s="139">
        <v>8.5074000000000006E-5</v>
      </c>
      <c r="L109">
        <v>2.1623999999999999</v>
      </c>
      <c r="M109">
        <v>0.78464</v>
      </c>
      <c r="N109">
        <v>0</v>
      </c>
      <c r="O109">
        <v>0</v>
      </c>
      <c r="P109">
        <v>0</v>
      </c>
      <c r="Q109">
        <v>0.97484000000000004</v>
      </c>
      <c r="R109">
        <v>5.2229999999999999E-2</v>
      </c>
      <c r="S109">
        <v>20.8062</v>
      </c>
      <c r="T109">
        <v>8.4110999999999995E-3</v>
      </c>
      <c r="U109">
        <v>3.7644999999999998E-2</v>
      </c>
      <c r="V109">
        <v>4.9875999999999997E-2</v>
      </c>
      <c r="W109">
        <v>1.831</v>
      </c>
      <c r="X109">
        <v>8.7106000000000006E-3</v>
      </c>
      <c r="Y109">
        <v>1.1105E-2</v>
      </c>
      <c r="Z109">
        <v>7.3550000000000004E-4</v>
      </c>
      <c r="AA109">
        <v>1.9855999999999999E-2</v>
      </c>
      <c r="AB109">
        <v>0.82047999999999999</v>
      </c>
      <c r="AC109">
        <v>1.244E-2</v>
      </c>
      <c r="AD109">
        <v>2.2545E-4</v>
      </c>
      <c r="AE109">
        <v>3.4245999999999999E-3</v>
      </c>
      <c r="AF109">
        <v>3.4816E-2</v>
      </c>
      <c r="AG109">
        <v>1.6968000000000001</v>
      </c>
      <c r="AH109">
        <v>1.6968000000000001</v>
      </c>
      <c r="AI109">
        <v>2.1143000000000001</v>
      </c>
      <c r="AJ109">
        <v>1.1006999999999999E-2</v>
      </c>
      <c r="AK109">
        <v>441.68079999999998</v>
      </c>
      <c r="AL109">
        <v>8.8555999999999996E-2</v>
      </c>
      <c r="AM109">
        <v>0.98107999999999995</v>
      </c>
      <c r="AN109">
        <v>0</v>
      </c>
      <c r="AO109">
        <v>0.25542999999999999</v>
      </c>
      <c r="AP109">
        <v>0.40286</v>
      </c>
      <c r="AQ109">
        <v>0.62368999999999997</v>
      </c>
      <c r="AR109">
        <v>2.0830000000000001E-2</v>
      </c>
      <c r="AS109">
        <v>-1.8332999999999999</v>
      </c>
      <c r="AT109">
        <v>-203.27070000000001</v>
      </c>
    </row>
    <row r="110" spans="2:46" x14ac:dyDescent="0.25">
      <c r="B110" t="s">
        <v>534</v>
      </c>
      <c r="C110">
        <v>45.683</v>
      </c>
      <c r="D110">
        <v>-74.033000000000015</v>
      </c>
      <c r="E110" t="s">
        <v>535</v>
      </c>
      <c r="F110" t="s">
        <v>313</v>
      </c>
      <c r="G110">
        <v>3244.5560999999998</v>
      </c>
      <c r="H110">
        <v>2109.4376999999999</v>
      </c>
      <c r="I110">
        <v>35629.718099999998</v>
      </c>
      <c r="J110">
        <v>0.318</v>
      </c>
      <c r="K110">
        <v>4.4137000000000003E-2</v>
      </c>
      <c r="L110">
        <v>1.6827000000000001</v>
      </c>
      <c r="M110">
        <v>0.63646999999999998</v>
      </c>
      <c r="N110" s="139">
        <v>4.3878000000000002E-5</v>
      </c>
      <c r="O110">
        <v>0</v>
      </c>
      <c r="P110">
        <v>0</v>
      </c>
      <c r="Q110">
        <v>4.1482000000000001</v>
      </c>
      <c r="R110">
        <v>0.16947000000000001</v>
      </c>
      <c r="S110">
        <v>20.8062</v>
      </c>
      <c r="T110">
        <v>8.4110999999999995E-3</v>
      </c>
      <c r="U110">
        <v>3.7644999999999998E-2</v>
      </c>
      <c r="V110">
        <v>4.9875999999999997E-2</v>
      </c>
      <c r="W110">
        <v>1.831</v>
      </c>
      <c r="X110">
        <v>8.7106000000000006E-3</v>
      </c>
      <c r="Y110">
        <v>1.1105E-2</v>
      </c>
      <c r="Z110">
        <v>7.3550000000000004E-4</v>
      </c>
      <c r="AA110">
        <v>1.9855999999999999E-2</v>
      </c>
      <c r="AB110">
        <v>0.82047999999999999</v>
      </c>
      <c r="AC110">
        <v>1.244E-2</v>
      </c>
      <c r="AD110">
        <v>2.2545E-4</v>
      </c>
      <c r="AE110">
        <v>3.4245999999999999E-3</v>
      </c>
      <c r="AF110">
        <v>3.4816E-2</v>
      </c>
      <c r="AG110">
        <v>1.6968000000000001</v>
      </c>
      <c r="AH110">
        <v>1.6968000000000001</v>
      </c>
      <c r="AI110">
        <v>2.1143000000000001</v>
      </c>
      <c r="AJ110">
        <v>1.1006999999999999E-2</v>
      </c>
      <c r="AK110">
        <v>441.68079999999998</v>
      </c>
      <c r="AL110">
        <v>8.8555999999999996E-2</v>
      </c>
      <c r="AM110">
        <v>1.0792999999999999</v>
      </c>
      <c r="AN110">
        <v>0</v>
      </c>
      <c r="AO110">
        <v>0.20013</v>
      </c>
      <c r="AP110">
        <v>0.40286</v>
      </c>
      <c r="AQ110">
        <v>0.62368999999999997</v>
      </c>
      <c r="AR110">
        <v>2.0830000000000001E-2</v>
      </c>
      <c r="AS110">
        <v>-1.8332999999999999</v>
      </c>
      <c r="AT110">
        <v>-203.27070000000001</v>
      </c>
    </row>
    <row r="111" spans="2:46" x14ac:dyDescent="0.25">
      <c r="B111" t="s">
        <v>536</v>
      </c>
      <c r="C111">
        <v>58.1</v>
      </c>
      <c r="D111">
        <v>-68.416999999999973</v>
      </c>
      <c r="E111" t="s">
        <v>537</v>
      </c>
      <c r="F111" t="s">
        <v>313</v>
      </c>
      <c r="G111">
        <v>4189.4144999999999</v>
      </c>
      <c r="H111">
        <v>1829.1406999999999</v>
      </c>
      <c r="I111">
        <v>52760.535799999998</v>
      </c>
      <c r="J111">
        <v>0.22220999999999999</v>
      </c>
      <c r="K111">
        <v>0</v>
      </c>
      <c r="L111">
        <v>2.9401000000000002</v>
      </c>
      <c r="M111">
        <v>0.98573</v>
      </c>
      <c r="N111">
        <v>0</v>
      </c>
      <c r="O111">
        <v>0</v>
      </c>
      <c r="P111">
        <v>0</v>
      </c>
      <c r="Q111">
        <v>0.16567999999999999</v>
      </c>
      <c r="R111">
        <v>8.2260000000000007E-3</v>
      </c>
      <c r="S111">
        <v>20.8062</v>
      </c>
      <c r="T111">
        <v>8.4110999999999995E-3</v>
      </c>
      <c r="U111">
        <v>3.7644999999999998E-2</v>
      </c>
      <c r="V111">
        <v>4.9875999999999997E-2</v>
      </c>
      <c r="W111">
        <v>1.831</v>
      </c>
      <c r="X111">
        <v>8.7106000000000006E-3</v>
      </c>
      <c r="Y111">
        <v>1.1105E-2</v>
      </c>
      <c r="Z111">
        <v>7.3550000000000004E-4</v>
      </c>
      <c r="AA111">
        <v>1.9855999999999999E-2</v>
      </c>
      <c r="AB111">
        <v>0.82047999999999999</v>
      </c>
      <c r="AC111">
        <v>1.244E-2</v>
      </c>
      <c r="AD111">
        <v>2.2545E-4</v>
      </c>
      <c r="AE111">
        <v>3.4245999999999999E-3</v>
      </c>
      <c r="AF111">
        <v>3.4816E-2</v>
      </c>
      <c r="AG111">
        <v>1.6968000000000001</v>
      </c>
      <c r="AH111">
        <v>1.6968000000000001</v>
      </c>
      <c r="AI111">
        <v>2.1143000000000001</v>
      </c>
      <c r="AJ111">
        <v>1.1006999999999999E-2</v>
      </c>
      <c r="AK111">
        <v>441.68079999999998</v>
      </c>
      <c r="AL111">
        <v>8.8555999999999996E-2</v>
      </c>
      <c r="AM111">
        <v>0.71986000000000006</v>
      </c>
      <c r="AN111">
        <v>0</v>
      </c>
      <c r="AO111">
        <v>0.35100999999999999</v>
      </c>
      <c r="AP111">
        <v>0.40286</v>
      </c>
      <c r="AQ111">
        <v>0.62368999999999997</v>
      </c>
      <c r="AR111">
        <v>2.0830000000000001E-2</v>
      </c>
      <c r="AS111">
        <v>-1.8332999999999999</v>
      </c>
      <c r="AT111">
        <v>-203.27070000000001</v>
      </c>
    </row>
    <row r="112" spans="2:46" x14ac:dyDescent="0.25">
      <c r="B112" t="s">
        <v>538</v>
      </c>
      <c r="C112">
        <v>51.265000000000001</v>
      </c>
      <c r="D112">
        <v>-102.46199999999999</v>
      </c>
      <c r="E112" t="s">
        <v>539</v>
      </c>
      <c r="F112" t="s">
        <v>314</v>
      </c>
      <c r="G112">
        <v>4925.8338000000003</v>
      </c>
      <c r="H112">
        <v>1950.1756</v>
      </c>
      <c r="I112">
        <v>41119.511100000003</v>
      </c>
      <c r="J112">
        <v>0.26347999999999999</v>
      </c>
      <c r="K112">
        <v>1.4207000000000001</v>
      </c>
      <c r="L112">
        <v>2.1282000000000001</v>
      </c>
      <c r="M112">
        <v>0.76029999999999998</v>
      </c>
      <c r="N112">
        <v>2.7185000000000002E-4</v>
      </c>
      <c r="O112" s="139">
        <v>5.1341000000000002E-5</v>
      </c>
      <c r="P112">
        <v>0.29902000000000001</v>
      </c>
      <c r="Q112">
        <v>87.172600000000003</v>
      </c>
      <c r="R112">
        <v>8.6898000000000003E-2</v>
      </c>
      <c r="S112">
        <v>994.87189999999998</v>
      </c>
      <c r="T112">
        <v>8.4110999999999995E-3</v>
      </c>
      <c r="U112">
        <v>1.8</v>
      </c>
      <c r="V112">
        <v>2.3849</v>
      </c>
      <c r="W112">
        <v>1.831</v>
      </c>
      <c r="X112">
        <v>8.7106000000000006E-3</v>
      </c>
      <c r="Y112">
        <v>1.1105E-2</v>
      </c>
      <c r="Z112">
        <v>7.3550000000000004E-4</v>
      </c>
      <c r="AA112">
        <v>1.9855999999999999E-2</v>
      </c>
      <c r="AB112">
        <v>0.82047999999999999</v>
      </c>
      <c r="AC112">
        <v>1.244E-2</v>
      </c>
      <c r="AD112">
        <v>2.2545E-4</v>
      </c>
      <c r="AE112">
        <v>3.4245999999999999E-3</v>
      </c>
      <c r="AF112">
        <v>3.4816E-2</v>
      </c>
      <c r="AG112">
        <v>81.135900000000007</v>
      </c>
      <c r="AH112">
        <v>81.135900000000007</v>
      </c>
      <c r="AI112">
        <v>101.0989</v>
      </c>
      <c r="AJ112">
        <v>1.1006999999999999E-2</v>
      </c>
      <c r="AK112">
        <v>441.68079999999998</v>
      </c>
      <c r="AL112">
        <v>8.8555999999999996E-2</v>
      </c>
      <c r="AM112">
        <v>44.4557</v>
      </c>
      <c r="AN112">
        <v>0</v>
      </c>
      <c r="AO112">
        <v>13.2265</v>
      </c>
      <c r="AP112">
        <v>0.40286</v>
      </c>
      <c r="AQ112">
        <v>0.62368999999999997</v>
      </c>
      <c r="AR112">
        <v>2.0830000000000001E-2</v>
      </c>
      <c r="AS112">
        <v>-1.8332999999999999</v>
      </c>
      <c r="AT112">
        <v>-203.27070000000001</v>
      </c>
    </row>
    <row r="113" spans="2:46" x14ac:dyDescent="0.25">
      <c r="B113" t="s">
        <v>540</v>
      </c>
      <c r="C113">
        <v>50.433</v>
      </c>
      <c r="D113">
        <v>-104.667</v>
      </c>
      <c r="E113" t="s">
        <v>541</v>
      </c>
      <c r="F113" t="s">
        <v>314</v>
      </c>
      <c r="G113">
        <v>4866.55</v>
      </c>
      <c r="H113">
        <v>1940.3433</v>
      </c>
      <c r="I113">
        <v>40177.682099999998</v>
      </c>
      <c r="J113">
        <v>0.26121</v>
      </c>
      <c r="K113">
        <v>3.2168999999999999</v>
      </c>
      <c r="L113">
        <v>2.0712000000000002</v>
      </c>
      <c r="M113">
        <v>0.75978000000000001</v>
      </c>
      <c r="N113">
        <v>3.6017999999999998E-4</v>
      </c>
      <c r="O113" s="139">
        <v>5.1483999999999997E-5</v>
      </c>
      <c r="P113">
        <v>0.33894999999999997</v>
      </c>
      <c r="Q113">
        <v>77.797600000000003</v>
      </c>
      <c r="R113">
        <v>7.2363999999999998E-2</v>
      </c>
      <c r="S113">
        <v>994.87189999999998</v>
      </c>
      <c r="T113">
        <v>8.4110999999999995E-3</v>
      </c>
      <c r="U113">
        <v>1.8</v>
      </c>
      <c r="V113">
        <v>2.3849</v>
      </c>
      <c r="W113">
        <v>1.831</v>
      </c>
      <c r="X113">
        <v>8.7106000000000006E-3</v>
      </c>
      <c r="Y113">
        <v>1.1105E-2</v>
      </c>
      <c r="Z113">
        <v>7.3550000000000004E-4</v>
      </c>
      <c r="AA113">
        <v>1.9855999999999999E-2</v>
      </c>
      <c r="AB113">
        <v>0.82047999999999999</v>
      </c>
      <c r="AC113">
        <v>1.244E-2</v>
      </c>
      <c r="AD113">
        <v>2.2545E-4</v>
      </c>
      <c r="AE113">
        <v>3.4245999999999999E-3</v>
      </c>
      <c r="AF113">
        <v>3.4816E-2</v>
      </c>
      <c r="AG113">
        <v>81.135900000000007</v>
      </c>
      <c r="AH113">
        <v>81.135900000000007</v>
      </c>
      <c r="AI113">
        <v>101.0989</v>
      </c>
      <c r="AJ113">
        <v>1.1006999999999999E-2</v>
      </c>
      <c r="AK113">
        <v>441.68079999999998</v>
      </c>
      <c r="AL113">
        <v>8.8555999999999996E-2</v>
      </c>
      <c r="AM113">
        <v>45.688299999999998</v>
      </c>
      <c r="AN113">
        <v>0</v>
      </c>
      <c r="AO113">
        <v>12.428800000000001</v>
      </c>
      <c r="AP113">
        <v>0.40286</v>
      </c>
      <c r="AQ113">
        <v>0.62368999999999997</v>
      </c>
      <c r="AR113">
        <v>2.0830000000000001E-2</v>
      </c>
      <c r="AS113">
        <v>-1.8332999999999999</v>
      </c>
      <c r="AT113">
        <v>-203.27070000000001</v>
      </c>
    </row>
    <row r="114" spans="2:46" x14ac:dyDescent="0.25">
      <c r="B114" t="s">
        <v>542</v>
      </c>
      <c r="C114">
        <v>53.213999999999999</v>
      </c>
      <c r="D114">
        <v>-105.673</v>
      </c>
      <c r="E114" t="s">
        <v>543</v>
      </c>
      <c r="F114" t="s">
        <v>314</v>
      </c>
      <c r="G114">
        <v>4994.7750999999998</v>
      </c>
      <c r="H114">
        <v>1935.28</v>
      </c>
      <c r="I114">
        <v>42558.130899999996</v>
      </c>
      <c r="J114">
        <v>0.23183999999999999</v>
      </c>
      <c r="K114">
        <v>0.98989000000000005</v>
      </c>
      <c r="L114">
        <v>2.2467999999999999</v>
      </c>
      <c r="M114">
        <v>0.79388999999999998</v>
      </c>
      <c r="N114">
        <v>4.9432000000000002E-4</v>
      </c>
      <c r="O114" s="139">
        <v>1.6804999999999999E-5</v>
      </c>
      <c r="P114">
        <v>0.22151999999999999</v>
      </c>
      <c r="Q114">
        <v>79.006500000000003</v>
      </c>
      <c r="R114">
        <v>7.9509999999999997E-2</v>
      </c>
      <c r="S114">
        <v>994.87189999999998</v>
      </c>
      <c r="T114">
        <v>8.4110999999999995E-3</v>
      </c>
      <c r="U114">
        <v>1.8</v>
      </c>
      <c r="V114">
        <v>2.3849</v>
      </c>
      <c r="W114">
        <v>1.831</v>
      </c>
      <c r="X114">
        <v>8.7106000000000006E-3</v>
      </c>
      <c r="Y114">
        <v>1.1105E-2</v>
      </c>
      <c r="Z114">
        <v>7.3550000000000004E-4</v>
      </c>
      <c r="AA114">
        <v>1.9855999999999999E-2</v>
      </c>
      <c r="AB114">
        <v>0.82047999999999999</v>
      </c>
      <c r="AC114">
        <v>1.244E-2</v>
      </c>
      <c r="AD114">
        <v>2.2545E-4</v>
      </c>
      <c r="AE114">
        <v>3.4245999999999999E-3</v>
      </c>
      <c r="AF114">
        <v>3.4816E-2</v>
      </c>
      <c r="AG114">
        <v>81.135900000000007</v>
      </c>
      <c r="AH114">
        <v>81.135900000000007</v>
      </c>
      <c r="AI114">
        <v>101.0989</v>
      </c>
      <c r="AJ114">
        <v>1.1006999999999999E-2</v>
      </c>
      <c r="AK114">
        <v>441.68079999999998</v>
      </c>
      <c r="AL114">
        <v>8.8555999999999996E-2</v>
      </c>
      <c r="AM114">
        <v>42.405700000000003</v>
      </c>
      <c r="AN114">
        <v>0</v>
      </c>
      <c r="AO114">
        <v>13.188700000000001</v>
      </c>
      <c r="AP114">
        <v>0.40286</v>
      </c>
      <c r="AQ114">
        <v>0.62368999999999997</v>
      </c>
      <c r="AR114">
        <v>2.0830000000000001E-2</v>
      </c>
      <c r="AS114">
        <v>-1.8332999999999999</v>
      </c>
      <c r="AT114">
        <v>-203.27070000000001</v>
      </c>
    </row>
    <row r="115" spans="2:46" x14ac:dyDescent="0.25">
      <c r="B115" t="s">
        <v>544</v>
      </c>
      <c r="C115">
        <v>52.768999999999998</v>
      </c>
      <c r="D115">
        <v>-108.244</v>
      </c>
      <c r="E115" t="s">
        <v>545</v>
      </c>
      <c r="F115" t="s">
        <v>314</v>
      </c>
      <c r="G115">
        <v>4873.0496000000003</v>
      </c>
      <c r="H115">
        <v>1913.9386999999999</v>
      </c>
      <c r="I115">
        <v>40639.3364</v>
      </c>
      <c r="J115">
        <v>0.25362000000000001</v>
      </c>
      <c r="K115">
        <v>1.4443999999999999</v>
      </c>
      <c r="L115">
        <v>2.1067</v>
      </c>
      <c r="M115">
        <v>0.77998000000000001</v>
      </c>
      <c r="N115">
        <v>6.2704000000000004E-4</v>
      </c>
      <c r="O115" s="139">
        <v>3.8899999999999997E-5</v>
      </c>
      <c r="P115">
        <v>0.27473999999999998</v>
      </c>
      <c r="Q115">
        <v>60.012300000000003</v>
      </c>
      <c r="R115">
        <v>6.0412E-2</v>
      </c>
      <c r="S115">
        <v>994.87189999999998</v>
      </c>
      <c r="T115">
        <v>8.4110999999999995E-3</v>
      </c>
      <c r="U115">
        <v>1.8</v>
      </c>
      <c r="V115">
        <v>2.3849</v>
      </c>
      <c r="W115">
        <v>1.831</v>
      </c>
      <c r="X115">
        <v>8.7106000000000006E-3</v>
      </c>
      <c r="Y115">
        <v>1.1105E-2</v>
      </c>
      <c r="Z115">
        <v>7.3550000000000004E-4</v>
      </c>
      <c r="AA115">
        <v>1.9855999999999999E-2</v>
      </c>
      <c r="AB115">
        <v>0.82047999999999999</v>
      </c>
      <c r="AC115">
        <v>1.244E-2</v>
      </c>
      <c r="AD115">
        <v>2.2545E-4</v>
      </c>
      <c r="AE115">
        <v>3.4245999999999999E-3</v>
      </c>
      <c r="AF115">
        <v>3.4816E-2</v>
      </c>
      <c r="AG115">
        <v>81.135900000000007</v>
      </c>
      <c r="AH115">
        <v>81.135900000000007</v>
      </c>
      <c r="AI115">
        <v>101.0989</v>
      </c>
      <c r="AJ115">
        <v>1.1006999999999999E-2</v>
      </c>
      <c r="AK115">
        <v>441.68079999999998</v>
      </c>
      <c r="AL115">
        <v>8.8555999999999996E-2</v>
      </c>
      <c r="AM115">
        <v>45.7819</v>
      </c>
      <c r="AN115">
        <v>0</v>
      </c>
      <c r="AO115">
        <v>12.879899999999999</v>
      </c>
      <c r="AP115">
        <v>0.40286</v>
      </c>
      <c r="AQ115">
        <v>0.62368999999999997</v>
      </c>
      <c r="AR115">
        <v>2.0830000000000001E-2</v>
      </c>
      <c r="AS115">
        <v>-1.8332999999999999</v>
      </c>
      <c r="AT115">
        <v>-203.27070000000001</v>
      </c>
    </row>
    <row r="116" spans="2:46" x14ac:dyDescent="0.25">
      <c r="B116" t="s">
        <v>546</v>
      </c>
      <c r="C116">
        <v>55.151000000000003</v>
      </c>
      <c r="D116">
        <v>-105.262</v>
      </c>
      <c r="E116" t="s">
        <v>547</v>
      </c>
      <c r="F116" t="s">
        <v>314</v>
      </c>
      <c r="G116">
        <v>5032.7116999999998</v>
      </c>
      <c r="H116">
        <v>1880.4228000000001</v>
      </c>
      <c r="I116">
        <v>43958.258600000001</v>
      </c>
      <c r="J116">
        <v>0.21783</v>
      </c>
      <c r="K116">
        <v>0.54379999999999995</v>
      </c>
      <c r="L116">
        <v>2.3776999999999999</v>
      </c>
      <c r="M116">
        <v>0.82803000000000004</v>
      </c>
      <c r="N116">
        <v>1.6553E-4</v>
      </c>
      <c r="O116" s="139">
        <v>1.2978E-5</v>
      </c>
      <c r="P116">
        <v>0.13735</v>
      </c>
      <c r="Q116">
        <v>39.756</v>
      </c>
      <c r="R116">
        <v>3.9040999999999999E-2</v>
      </c>
      <c r="S116">
        <v>994.87189999999998</v>
      </c>
      <c r="T116">
        <v>8.4110999999999995E-3</v>
      </c>
      <c r="U116">
        <v>1.8</v>
      </c>
      <c r="V116">
        <v>2.3849</v>
      </c>
      <c r="W116">
        <v>1.831</v>
      </c>
      <c r="X116">
        <v>8.7106000000000006E-3</v>
      </c>
      <c r="Y116">
        <v>1.1105E-2</v>
      </c>
      <c r="Z116">
        <v>7.3550000000000004E-4</v>
      </c>
      <c r="AA116">
        <v>1.9855999999999999E-2</v>
      </c>
      <c r="AB116">
        <v>0.82047999999999999</v>
      </c>
      <c r="AC116">
        <v>1.244E-2</v>
      </c>
      <c r="AD116">
        <v>2.2545E-4</v>
      </c>
      <c r="AE116">
        <v>3.4245999999999999E-3</v>
      </c>
      <c r="AF116">
        <v>3.4816E-2</v>
      </c>
      <c r="AG116">
        <v>81.135900000000007</v>
      </c>
      <c r="AH116">
        <v>81.135900000000007</v>
      </c>
      <c r="AI116">
        <v>101.0989</v>
      </c>
      <c r="AJ116">
        <v>1.1006999999999999E-2</v>
      </c>
      <c r="AK116">
        <v>441.68079999999998</v>
      </c>
      <c r="AL116">
        <v>8.8555999999999996E-2</v>
      </c>
      <c r="AM116">
        <v>41.0642</v>
      </c>
      <c r="AN116">
        <v>0</v>
      </c>
      <c r="AO116">
        <v>14.6767</v>
      </c>
      <c r="AP116">
        <v>0.40286</v>
      </c>
      <c r="AQ116">
        <v>0.62368999999999997</v>
      </c>
      <c r="AR116">
        <v>2.0830000000000001E-2</v>
      </c>
      <c r="AS116">
        <v>-1.8332999999999999</v>
      </c>
      <c r="AT116">
        <v>-203.27070000000001</v>
      </c>
    </row>
    <row r="117" spans="2:46" x14ac:dyDescent="0.25">
      <c r="B117" t="s">
        <v>548</v>
      </c>
      <c r="C117">
        <v>60.116</v>
      </c>
      <c r="D117">
        <v>-128.822</v>
      </c>
      <c r="E117" t="s">
        <v>549</v>
      </c>
      <c r="F117" t="s">
        <v>315</v>
      </c>
      <c r="G117">
        <v>4160.3618999999999</v>
      </c>
      <c r="H117">
        <v>1828.1978999999999</v>
      </c>
      <c r="I117">
        <v>47876.000999999997</v>
      </c>
      <c r="J117">
        <v>0.19058</v>
      </c>
      <c r="K117">
        <v>0.12906999999999999</v>
      </c>
      <c r="L117">
        <v>2.6467000000000001</v>
      </c>
      <c r="M117">
        <v>0.92993999999999999</v>
      </c>
      <c r="N117">
        <v>1.7463999999999999E-4</v>
      </c>
      <c r="O117" s="139">
        <v>2.7188000000000001E-5</v>
      </c>
      <c r="P117">
        <v>1.5897999999999999E-2</v>
      </c>
      <c r="Q117">
        <v>0.83989999999999998</v>
      </c>
      <c r="R117">
        <v>4.0008999999999999E-3</v>
      </c>
      <c r="S117">
        <v>202.7611</v>
      </c>
      <c r="T117">
        <v>8.4110999999999995E-3</v>
      </c>
      <c r="U117">
        <v>0.36685000000000001</v>
      </c>
      <c r="V117">
        <v>0.48604999999999998</v>
      </c>
      <c r="W117">
        <v>1.831</v>
      </c>
      <c r="X117">
        <v>8.7106000000000006E-3</v>
      </c>
      <c r="Y117">
        <v>1.1105E-2</v>
      </c>
      <c r="Z117">
        <v>7.3550000000000004E-4</v>
      </c>
      <c r="AA117">
        <v>1.9855999999999999E-2</v>
      </c>
      <c r="AB117">
        <v>0.82047999999999999</v>
      </c>
      <c r="AC117">
        <v>1.244E-2</v>
      </c>
      <c r="AD117">
        <v>2.2545E-4</v>
      </c>
      <c r="AE117">
        <v>3.4245999999999999E-3</v>
      </c>
      <c r="AF117">
        <v>3.4816E-2</v>
      </c>
      <c r="AG117">
        <v>16.536000000000001</v>
      </c>
      <c r="AH117">
        <v>16.536000000000001</v>
      </c>
      <c r="AI117">
        <v>20.604600000000001</v>
      </c>
      <c r="AJ117">
        <v>1.1006999999999999E-2</v>
      </c>
      <c r="AK117">
        <v>441.68079999999998</v>
      </c>
      <c r="AL117">
        <v>8.8555999999999996E-2</v>
      </c>
      <c r="AM117">
        <v>7.6433</v>
      </c>
      <c r="AN117">
        <v>0</v>
      </c>
      <c r="AO117">
        <v>3.2833999999999999</v>
      </c>
      <c r="AP117">
        <v>0.40286</v>
      </c>
      <c r="AQ117">
        <v>0.62368999999999997</v>
      </c>
      <c r="AR117">
        <v>2.0830000000000001E-2</v>
      </c>
      <c r="AS117">
        <v>-1.8332999999999999</v>
      </c>
      <c r="AT117">
        <v>-203.27070000000001</v>
      </c>
    </row>
    <row r="118" spans="2:46" x14ac:dyDescent="0.25">
      <c r="B118" t="s">
        <v>550</v>
      </c>
      <c r="C118">
        <v>60.71</v>
      </c>
      <c r="D118">
        <v>-135.06700000000001</v>
      </c>
      <c r="E118" t="s">
        <v>551</v>
      </c>
      <c r="F118" t="s">
        <v>315</v>
      </c>
      <c r="G118">
        <v>3998.8130999999998</v>
      </c>
      <c r="H118">
        <v>1832.0839000000001</v>
      </c>
      <c r="I118">
        <v>44949.773000000001</v>
      </c>
      <c r="J118">
        <v>0.19975999999999999</v>
      </c>
      <c r="K118">
        <v>4.8674000000000002E-2</v>
      </c>
      <c r="L118">
        <v>2.4039999999999999</v>
      </c>
      <c r="M118">
        <v>0.93528999999999995</v>
      </c>
      <c r="N118">
        <v>2.1270999999999999E-4</v>
      </c>
      <c r="O118">
        <v>0</v>
      </c>
      <c r="P118">
        <v>0</v>
      </c>
      <c r="Q118">
        <v>0.31896999999999998</v>
      </c>
      <c r="R118">
        <v>1.7076999999999999E-3</v>
      </c>
      <c r="S118">
        <v>202.7611</v>
      </c>
      <c r="T118">
        <v>8.4110999999999995E-3</v>
      </c>
      <c r="U118">
        <v>0.36685000000000001</v>
      </c>
      <c r="V118">
        <v>0.48604999999999998</v>
      </c>
      <c r="W118">
        <v>1.831</v>
      </c>
      <c r="X118">
        <v>8.7106000000000006E-3</v>
      </c>
      <c r="Y118">
        <v>1.1105E-2</v>
      </c>
      <c r="Z118">
        <v>7.3550000000000004E-4</v>
      </c>
      <c r="AA118">
        <v>1.9855999999999999E-2</v>
      </c>
      <c r="AB118">
        <v>0.82047999999999999</v>
      </c>
      <c r="AC118">
        <v>1.244E-2</v>
      </c>
      <c r="AD118">
        <v>2.2545E-4</v>
      </c>
      <c r="AE118">
        <v>3.4245999999999999E-3</v>
      </c>
      <c r="AF118">
        <v>3.4816E-2</v>
      </c>
      <c r="AG118">
        <v>16.536000000000001</v>
      </c>
      <c r="AH118">
        <v>16.536000000000001</v>
      </c>
      <c r="AI118">
        <v>20.604600000000001</v>
      </c>
      <c r="AJ118">
        <v>1.1006999999999999E-2</v>
      </c>
      <c r="AK118">
        <v>441.68079999999998</v>
      </c>
      <c r="AL118">
        <v>8.8555999999999996E-2</v>
      </c>
      <c r="AM118">
        <v>9.1563999999999997</v>
      </c>
      <c r="AN118">
        <v>0</v>
      </c>
      <c r="AO118">
        <v>2.9597000000000002</v>
      </c>
      <c r="AP118">
        <v>0.40286</v>
      </c>
      <c r="AQ118">
        <v>0.62368999999999997</v>
      </c>
      <c r="AR118">
        <v>2.0830000000000001E-2</v>
      </c>
      <c r="AS118">
        <v>-1.8332999999999999</v>
      </c>
      <c r="AT118">
        <v>-203.27070000000001</v>
      </c>
    </row>
    <row r="119" spans="2:46" x14ac:dyDescent="0.25">
      <c r="B119" t="s">
        <v>552</v>
      </c>
      <c r="C119">
        <v>63.616</v>
      </c>
      <c r="D119">
        <v>-135.86799999999999</v>
      </c>
      <c r="E119" t="s">
        <v>553</v>
      </c>
      <c r="F119" t="s">
        <v>315</v>
      </c>
      <c r="G119">
        <v>4206.7430000000004</v>
      </c>
      <c r="H119">
        <v>1834.5268000000001</v>
      </c>
      <c r="I119">
        <v>48696.3433</v>
      </c>
      <c r="J119">
        <v>0.18967999999999999</v>
      </c>
      <c r="K119">
        <v>0.14255999999999999</v>
      </c>
      <c r="L119">
        <v>2.6903000000000001</v>
      </c>
      <c r="M119">
        <v>0.94723999999999997</v>
      </c>
      <c r="N119">
        <v>2.6072999999999998E-4</v>
      </c>
      <c r="O119" s="139">
        <v>1.4042E-5</v>
      </c>
      <c r="P119">
        <v>2.1281999999999999E-2</v>
      </c>
      <c r="Q119">
        <v>1.8957999999999999</v>
      </c>
      <c r="R119">
        <v>8.5818000000000005E-3</v>
      </c>
      <c r="S119">
        <v>202.7611</v>
      </c>
      <c r="T119">
        <v>8.4110999999999995E-3</v>
      </c>
      <c r="U119">
        <v>0.36685000000000001</v>
      </c>
      <c r="V119">
        <v>0.48604999999999998</v>
      </c>
      <c r="W119">
        <v>1.831</v>
      </c>
      <c r="X119">
        <v>8.7106000000000006E-3</v>
      </c>
      <c r="Y119">
        <v>1.1105E-2</v>
      </c>
      <c r="Z119">
        <v>7.3550000000000004E-4</v>
      </c>
      <c r="AA119">
        <v>1.9855999999999999E-2</v>
      </c>
      <c r="AB119">
        <v>0.82047999999999999</v>
      </c>
      <c r="AC119">
        <v>1.244E-2</v>
      </c>
      <c r="AD119">
        <v>2.2545E-4</v>
      </c>
      <c r="AE119">
        <v>3.4245999999999999E-3</v>
      </c>
      <c r="AF119">
        <v>3.4816E-2</v>
      </c>
      <c r="AG119">
        <v>16.536000000000001</v>
      </c>
      <c r="AH119">
        <v>16.536000000000001</v>
      </c>
      <c r="AI119">
        <v>20.604600000000001</v>
      </c>
      <c r="AJ119">
        <v>1.1006999999999999E-2</v>
      </c>
      <c r="AK119">
        <v>441.68079999999998</v>
      </c>
      <c r="AL119">
        <v>8.8555999999999996E-2</v>
      </c>
      <c r="AM119">
        <v>7.4522000000000004</v>
      </c>
      <c r="AN119">
        <v>0</v>
      </c>
      <c r="AO119">
        <v>3.3317000000000001</v>
      </c>
      <c r="AP119">
        <v>0.40286</v>
      </c>
      <c r="AQ119">
        <v>0.62368999999999997</v>
      </c>
      <c r="AR119">
        <v>2.0830000000000001E-2</v>
      </c>
      <c r="AS119">
        <v>-1.8332999999999999</v>
      </c>
      <c r="AT119">
        <v>-203.27070000000001</v>
      </c>
    </row>
  </sheetData>
  <mergeCells count="10">
    <mergeCell ref="AY23:CI23"/>
    <mergeCell ref="AV22:AX22"/>
    <mergeCell ref="J22:AT22"/>
    <mergeCell ref="B21:F22"/>
    <mergeCell ref="C1:AB1"/>
    <mergeCell ref="B2:AA2"/>
    <mergeCell ref="B3:AA3"/>
    <mergeCell ref="B4:AT4"/>
    <mergeCell ref="D5:F5"/>
    <mergeCell ref="G5:I5"/>
  </mergeCells>
  <phoneticPr fontId="4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theme="7" tint="-0.249977111117893"/>
  </sheetPr>
  <dimension ref="A3:BT106"/>
  <sheetViews>
    <sheetView topLeftCell="J51" zoomScale="55" zoomScaleNormal="55" workbookViewId="0">
      <selection activeCell="AG106" sqref="AF82:AG106"/>
    </sheetView>
  </sheetViews>
  <sheetFormatPr defaultColWidth="9.140625" defaultRowHeight="15" x14ac:dyDescent="0.25"/>
  <cols>
    <col min="1" max="1" width="11.85546875" customWidth="1"/>
    <col min="2" max="2" width="15.85546875" customWidth="1"/>
    <col min="3" max="3" width="42.85546875" customWidth="1"/>
    <col min="4" max="4" width="19.7109375" customWidth="1"/>
    <col min="5" max="5" width="21.85546875" bestFit="1" customWidth="1"/>
    <col min="6" max="6" width="29.7109375" customWidth="1"/>
    <col min="7" max="7" width="31.85546875" customWidth="1"/>
    <col min="8" max="8" width="15.28515625" customWidth="1"/>
    <col min="9" max="9" width="47.42578125" customWidth="1"/>
    <col min="10" max="10" width="26.140625" customWidth="1"/>
    <col min="11" max="11" width="14.85546875" customWidth="1"/>
    <col min="12" max="12" width="15.7109375" customWidth="1"/>
    <col min="13" max="18" width="14.85546875" customWidth="1"/>
    <col min="19" max="19" width="16.140625" customWidth="1"/>
    <col min="20" max="20" width="13.85546875" customWidth="1"/>
    <col min="21" max="21" width="16.85546875" customWidth="1"/>
    <col min="22" max="22" width="16.28515625" customWidth="1"/>
    <col min="23" max="23" width="17.5703125" customWidth="1"/>
    <col min="24" max="24" width="18.5703125" customWidth="1"/>
    <col min="25" max="32" width="11.42578125" customWidth="1"/>
    <col min="33" max="33" width="12" bestFit="1" customWidth="1"/>
    <col min="40" max="40" width="16.42578125" customWidth="1"/>
    <col min="41" max="41" width="12.42578125" customWidth="1"/>
    <col min="42" max="42" width="12.5703125" customWidth="1"/>
    <col min="44" max="44" width="18" customWidth="1"/>
    <col min="45" max="45" width="26" customWidth="1"/>
  </cols>
  <sheetData>
    <row r="3" spans="1:72" s="159" customFormat="1" ht="15" customHeight="1" x14ac:dyDescent="0.35">
      <c r="A3" s="261" t="s">
        <v>595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176"/>
      <c r="P3" s="176"/>
      <c r="Q3" s="176"/>
      <c r="R3" s="176"/>
      <c r="S3" s="176"/>
      <c r="T3" s="176"/>
      <c r="Y3" s="160"/>
      <c r="Z3" s="160"/>
      <c r="AA3" s="160"/>
      <c r="AB3" s="160"/>
      <c r="AC3" s="160"/>
      <c r="AD3" s="160"/>
      <c r="AE3" s="160"/>
      <c r="AF3" s="160"/>
    </row>
    <row r="4" spans="1:72" ht="98.25" customHeight="1" thickBot="1" x14ac:dyDescent="0.4">
      <c r="A4" s="261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176"/>
      <c r="P4" s="176"/>
      <c r="Q4" s="176"/>
      <c r="R4" s="176"/>
      <c r="S4" s="176"/>
      <c r="T4" s="176"/>
      <c r="U4" s="27"/>
      <c r="V4" s="27"/>
    </row>
    <row r="5" spans="1:72" ht="38.25" customHeight="1" thickBot="1" x14ac:dyDescent="0.4">
      <c r="A5" s="273" t="s">
        <v>587</v>
      </c>
      <c r="B5" s="273"/>
      <c r="C5" s="273"/>
      <c r="D5" s="273"/>
      <c r="E5" s="273"/>
      <c r="F5" s="273"/>
      <c r="G5" s="273"/>
      <c r="H5" s="273"/>
      <c r="I5" s="273"/>
      <c r="J5" s="263" t="s">
        <v>690</v>
      </c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5"/>
      <c r="AL5" s="275" t="s">
        <v>590</v>
      </c>
      <c r="AM5" s="262"/>
      <c r="AN5" s="262"/>
      <c r="AO5" s="262"/>
      <c r="AP5" s="262"/>
      <c r="AQ5" s="262"/>
      <c r="AR5" s="262"/>
      <c r="AS5" s="274"/>
    </row>
    <row r="6" spans="1:72" ht="120" customHeight="1" x14ac:dyDescent="0.35">
      <c r="F6" s="165" t="s">
        <v>586</v>
      </c>
      <c r="G6" s="178" t="s">
        <v>691</v>
      </c>
      <c r="H6" s="2"/>
      <c r="I6" s="166" t="s">
        <v>273</v>
      </c>
      <c r="J6" s="179" t="s">
        <v>689</v>
      </c>
      <c r="K6" s="167" t="s">
        <v>331</v>
      </c>
      <c r="L6" s="167" t="s">
        <v>318</v>
      </c>
      <c r="M6" s="167" t="s">
        <v>329</v>
      </c>
      <c r="N6" s="167" t="s">
        <v>328</v>
      </c>
      <c r="O6" s="167" t="s">
        <v>330</v>
      </c>
      <c r="P6" s="167" t="s">
        <v>326</v>
      </c>
      <c r="Q6" s="167" t="s">
        <v>324</v>
      </c>
      <c r="R6" s="167" t="s">
        <v>325</v>
      </c>
      <c r="S6" s="167" t="s">
        <v>601</v>
      </c>
      <c r="T6" s="167" t="s">
        <v>327</v>
      </c>
      <c r="U6" s="167" t="s">
        <v>331</v>
      </c>
      <c r="V6" s="168" t="s">
        <v>323</v>
      </c>
      <c r="AL6" s="276" t="s">
        <v>268</v>
      </c>
      <c r="AM6" s="277"/>
      <c r="AN6" s="128" t="s">
        <v>270</v>
      </c>
      <c r="AS6" s="140"/>
    </row>
    <row r="7" spans="1:72" ht="15.75" thickBot="1" x14ac:dyDescent="0.3">
      <c r="D7" s="120" t="s">
        <v>277</v>
      </c>
      <c r="E7" s="76" t="s">
        <v>147</v>
      </c>
      <c r="F7" s="143">
        <v>703.30945312576944</v>
      </c>
      <c r="G7">
        <v>0.26149099999999997</v>
      </c>
      <c r="H7" s="120">
        <v>7</v>
      </c>
      <c r="I7" s="169" t="s">
        <v>147</v>
      </c>
      <c r="J7" s="29">
        <f>F7*G7</f>
        <v>183.90909220731055</v>
      </c>
      <c r="K7" s="29">
        <v>172.72998844987646</v>
      </c>
      <c r="L7" s="29">
        <v>236.36692230128395</v>
      </c>
      <c r="M7" s="29">
        <v>272.98956423076743</v>
      </c>
      <c r="N7" s="29">
        <v>222.73927598735304</v>
      </c>
      <c r="O7" s="29">
        <v>207.22368336018761</v>
      </c>
      <c r="P7" s="29">
        <v>227.46032441877563</v>
      </c>
      <c r="Q7" s="29">
        <v>155.81938152243606</v>
      </c>
      <c r="R7" s="29">
        <v>259.4696121768464</v>
      </c>
      <c r="S7" s="29">
        <v>135.97784966733624</v>
      </c>
      <c r="T7" s="29">
        <v>276.2177546206147</v>
      </c>
      <c r="U7" s="29">
        <v>172.72998844987646</v>
      </c>
      <c r="V7" s="29">
        <v>183.90909220731055</v>
      </c>
      <c r="W7" s="29">
        <f t="shared" ref="W7:BF7" si="0">W3*W4</f>
        <v>0</v>
      </c>
      <c r="X7" s="29">
        <f t="shared" si="0"/>
        <v>0</v>
      </c>
      <c r="Y7" s="29">
        <f t="shared" si="0"/>
        <v>0</v>
      </c>
      <c r="Z7" s="29">
        <f t="shared" si="0"/>
        <v>0</v>
      </c>
      <c r="AA7" s="29">
        <f t="shared" si="0"/>
        <v>0</v>
      </c>
      <c r="AB7" s="29">
        <f t="shared" si="0"/>
        <v>0</v>
      </c>
      <c r="AC7" s="29">
        <f t="shared" si="0"/>
        <v>0</v>
      </c>
      <c r="AD7" s="29">
        <f t="shared" si="0"/>
        <v>0</v>
      </c>
      <c r="AE7" s="29">
        <f t="shared" si="0"/>
        <v>0</v>
      </c>
      <c r="AF7" s="29">
        <f t="shared" si="0"/>
        <v>0</v>
      </c>
      <c r="AG7" s="29">
        <f t="shared" si="0"/>
        <v>0</v>
      </c>
      <c r="AH7" s="29">
        <f t="shared" si="0"/>
        <v>0</v>
      </c>
      <c r="AI7" s="29">
        <f t="shared" si="0"/>
        <v>0</v>
      </c>
      <c r="AJ7" s="29">
        <f t="shared" si="0"/>
        <v>0</v>
      </c>
      <c r="AK7" s="29">
        <f t="shared" si="0"/>
        <v>0</v>
      </c>
      <c r="AL7" s="29">
        <f t="shared" si="0"/>
        <v>0</v>
      </c>
      <c r="AM7" s="29">
        <f t="shared" si="0"/>
        <v>0</v>
      </c>
      <c r="AN7" s="29">
        <f t="shared" si="0"/>
        <v>0</v>
      </c>
      <c r="AO7" s="29">
        <f t="shared" si="0"/>
        <v>0</v>
      </c>
      <c r="AP7" s="29">
        <f t="shared" si="0"/>
        <v>0</v>
      </c>
      <c r="AQ7" s="29">
        <f t="shared" si="0"/>
        <v>0</v>
      </c>
      <c r="AR7" s="29">
        <f t="shared" si="0"/>
        <v>0</v>
      </c>
      <c r="AS7" s="29">
        <f t="shared" si="0"/>
        <v>0</v>
      </c>
      <c r="AT7" s="29">
        <f t="shared" si="0"/>
        <v>0</v>
      </c>
      <c r="AU7" s="29">
        <f t="shared" si="0"/>
        <v>0</v>
      </c>
      <c r="AV7" s="29">
        <f t="shared" si="0"/>
        <v>0</v>
      </c>
      <c r="AW7" s="29">
        <f t="shared" si="0"/>
        <v>0</v>
      </c>
      <c r="AX7" s="29">
        <f t="shared" si="0"/>
        <v>0</v>
      </c>
      <c r="AY7" s="29">
        <f t="shared" si="0"/>
        <v>0</v>
      </c>
      <c r="AZ7" s="29">
        <f t="shared" si="0"/>
        <v>0</v>
      </c>
      <c r="BA7" s="29">
        <f t="shared" si="0"/>
        <v>0</v>
      </c>
      <c r="BB7" s="29">
        <f t="shared" si="0"/>
        <v>0</v>
      </c>
      <c r="BC7" s="29">
        <f t="shared" si="0"/>
        <v>0</v>
      </c>
      <c r="BD7" s="29">
        <f t="shared" si="0"/>
        <v>0</v>
      </c>
      <c r="BE7" s="29">
        <f t="shared" si="0"/>
        <v>0</v>
      </c>
      <c r="BF7" s="29">
        <f t="shared" si="0"/>
        <v>0</v>
      </c>
      <c r="BG7" s="174">
        <f>SUM(V7:BF7)</f>
        <v>183.90909220731055</v>
      </c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</row>
    <row r="8" spans="1:72" ht="18" x14ac:dyDescent="0.35">
      <c r="D8" s="107" t="s">
        <v>276</v>
      </c>
      <c r="E8" s="76" t="s">
        <v>148</v>
      </c>
      <c r="F8" s="143">
        <v>0.99999489846940159</v>
      </c>
      <c r="G8">
        <v>0.64138800000000007</v>
      </c>
      <c r="H8" s="107">
        <v>8</v>
      </c>
      <c r="I8" s="169" t="s">
        <v>148</v>
      </c>
      <c r="J8" s="29">
        <f t="shared" ref="J8:J43" si="1">F8*G8</f>
        <v>0.64138472793949264</v>
      </c>
      <c r="K8" s="29">
        <v>1.5231302296648872</v>
      </c>
      <c r="L8" s="29">
        <v>0.21504065295793243</v>
      </c>
      <c r="M8" s="29">
        <v>2.0301896428725791E-2</v>
      </c>
      <c r="N8" s="29">
        <v>0.19059511100158227</v>
      </c>
      <c r="O8" s="29">
        <v>1.8772510397641898E-2</v>
      </c>
      <c r="P8" s="29">
        <v>1.1706330279493218E-2</v>
      </c>
      <c r="Q8" s="29">
        <v>9.269386045035552E-2</v>
      </c>
      <c r="R8" s="29">
        <v>0.71866633368300492</v>
      </c>
      <c r="S8" s="29">
        <v>0.10676745531978106</v>
      </c>
      <c r="T8" s="29">
        <v>1.020823592210641</v>
      </c>
      <c r="U8" s="29">
        <v>1.5231302296648872</v>
      </c>
      <c r="V8" s="170">
        <v>0.64138472793949264</v>
      </c>
      <c r="AH8" s="25"/>
      <c r="AI8" s="25"/>
      <c r="AJ8" s="25"/>
      <c r="AK8" s="25"/>
      <c r="AL8" s="163" t="s">
        <v>269</v>
      </c>
      <c r="AM8" s="29" t="s">
        <v>303</v>
      </c>
      <c r="AN8" s="119">
        <v>3053.9668937500005</v>
      </c>
      <c r="AO8">
        <v>164</v>
      </c>
      <c r="AP8" s="130">
        <v>16</v>
      </c>
      <c r="AR8" s="193">
        <v>5399118</v>
      </c>
      <c r="AS8" s="140">
        <f t="shared" ref="AS8:AS18" si="2">AR8/AO8</f>
        <v>32921.451219512193</v>
      </c>
      <c r="AT8" s="25"/>
      <c r="AU8" s="25"/>
      <c r="AV8" s="25"/>
      <c r="AW8" t="s">
        <v>304</v>
      </c>
      <c r="AX8">
        <v>12</v>
      </c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8" x14ac:dyDescent="0.35">
      <c r="D9" s="120" t="s">
        <v>277</v>
      </c>
      <c r="E9" s="76" t="s">
        <v>279</v>
      </c>
      <c r="F9" s="143">
        <v>703.30059346993221</v>
      </c>
      <c r="G9">
        <v>2.1155200000000005</v>
      </c>
      <c r="H9" s="120">
        <v>9</v>
      </c>
      <c r="I9" s="169" t="s">
        <v>279</v>
      </c>
      <c r="J9" s="29">
        <f t="shared" si="1"/>
        <v>1487.8464714975114</v>
      </c>
      <c r="K9" s="29">
        <v>1537.4994933964883</v>
      </c>
      <c r="L9" s="29">
        <v>1056.3179307334553</v>
      </c>
      <c r="M9" s="29">
        <v>1072.1817547449116</v>
      </c>
      <c r="N9" s="29">
        <v>1206.4770030679952</v>
      </c>
      <c r="O9" s="29">
        <v>1440.0021042914072</v>
      </c>
      <c r="P9" s="29">
        <v>1421.5915367321093</v>
      </c>
      <c r="Q9" s="29">
        <v>1734.7846872060504</v>
      </c>
      <c r="R9" s="29">
        <v>1115.7629481869319</v>
      </c>
      <c r="S9" s="29">
        <v>1814.7499646835818</v>
      </c>
      <c r="T9" s="29">
        <v>955.53231831198877</v>
      </c>
      <c r="U9" s="29">
        <v>1537.4994933964883</v>
      </c>
      <c r="V9" s="170">
        <v>1487.8464714975114</v>
      </c>
      <c r="AH9" s="25"/>
      <c r="AI9" s="25"/>
      <c r="AJ9" s="25"/>
      <c r="AK9" s="25"/>
      <c r="AL9" s="163" t="s">
        <v>114</v>
      </c>
      <c r="AM9" s="29" t="s">
        <v>312</v>
      </c>
      <c r="AN9" s="119">
        <v>3132.5043000000001</v>
      </c>
      <c r="AO9">
        <v>4</v>
      </c>
      <c r="AP9" s="130">
        <v>1</v>
      </c>
      <c r="AR9" s="193">
        <v>173954</v>
      </c>
      <c r="AS9" s="140">
        <f t="shared" si="2"/>
        <v>43488.5</v>
      </c>
      <c r="AT9" s="25"/>
      <c r="AU9" s="25"/>
      <c r="AV9" s="25"/>
      <c r="AW9" t="s">
        <v>303</v>
      </c>
      <c r="AX9">
        <v>16</v>
      </c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8" x14ac:dyDescent="0.35">
      <c r="D10" s="120" t="s">
        <v>277</v>
      </c>
      <c r="E10" s="111" t="s">
        <v>278</v>
      </c>
      <c r="F10" s="143">
        <v>703.318342106258</v>
      </c>
      <c r="G10">
        <v>0.80469299999999999</v>
      </c>
      <c r="H10" s="120">
        <v>10</v>
      </c>
      <c r="I10" s="171" t="s">
        <v>278</v>
      </c>
      <c r="J10" s="29">
        <f t="shared" si="1"/>
        <v>565.95534666451101</v>
      </c>
      <c r="K10" s="29">
        <v>551.68009427478046</v>
      </c>
      <c r="L10" s="29">
        <v>380.72116409688721</v>
      </c>
      <c r="M10" s="29">
        <v>401.559607425568</v>
      </c>
      <c r="N10" s="29">
        <v>445.53810335747227</v>
      </c>
      <c r="O10" s="29">
        <v>520.75682784849982</v>
      </c>
      <c r="P10" s="29">
        <v>508.30524642850094</v>
      </c>
      <c r="Q10" s="29">
        <v>590.57758406386165</v>
      </c>
      <c r="R10" s="29">
        <v>424.29085624244232</v>
      </c>
      <c r="S10" s="29">
        <v>659.35391254119577</v>
      </c>
      <c r="T10" s="29">
        <v>344.21243644690793</v>
      </c>
      <c r="U10" s="29">
        <v>551.68009427478046</v>
      </c>
      <c r="V10" s="170">
        <v>565.95534666451101</v>
      </c>
      <c r="AH10" s="25"/>
      <c r="AI10" s="25"/>
      <c r="AJ10" s="25"/>
      <c r="AK10" s="25"/>
      <c r="AL10" s="163" t="s">
        <v>271</v>
      </c>
      <c r="AM10" s="29" t="s">
        <v>311</v>
      </c>
      <c r="AN10" s="119">
        <v>3355.8813916666663</v>
      </c>
      <c r="AO10">
        <f>AO24-AO15-AO18-AO17-AO16-AO14-AO13-AO12-AO11-AO9-AO8</f>
        <v>199</v>
      </c>
      <c r="AP10" s="130">
        <v>12</v>
      </c>
      <c r="AR10" s="193">
        <v>15386407</v>
      </c>
      <c r="AS10" s="140">
        <f t="shared" si="2"/>
        <v>77318.628140703513</v>
      </c>
      <c r="AT10" s="25"/>
      <c r="AU10" s="25"/>
      <c r="AV10" s="25"/>
      <c r="AW10" t="s">
        <v>305</v>
      </c>
      <c r="AX10">
        <v>6</v>
      </c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8" x14ac:dyDescent="0.35">
      <c r="D11" s="120" t="s">
        <v>277</v>
      </c>
      <c r="E11" s="111" t="s">
        <v>198</v>
      </c>
      <c r="F11" s="143">
        <v>703.30705325036695</v>
      </c>
      <c r="G11">
        <v>2.0452929999999997E-4</v>
      </c>
      <c r="H11" s="120">
        <v>11</v>
      </c>
      <c r="I11" s="171" t="s">
        <v>198</v>
      </c>
      <c r="J11" s="29">
        <f t="shared" si="1"/>
        <v>0.14384689928636027</v>
      </c>
      <c r="K11" s="29">
        <v>0.26991799412463885</v>
      </c>
      <c r="L11" s="29">
        <v>0.51016574942056769</v>
      </c>
      <c r="M11" s="29">
        <v>0</v>
      </c>
      <c r="N11" s="29">
        <v>7.6755298038636583E-3</v>
      </c>
      <c r="O11" s="29">
        <v>2.1821185592133065E-2</v>
      </c>
      <c r="P11" s="29">
        <v>5.4672076146598174E-4</v>
      </c>
      <c r="Q11" s="29">
        <v>6.7081192303335577E-2</v>
      </c>
      <c r="R11" s="29">
        <v>1.6080178029831975E-3</v>
      </c>
      <c r="S11" s="29">
        <v>0.15193307835683259</v>
      </c>
      <c r="T11" s="29">
        <v>0</v>
      </c>
      <c r="U11" s="29">
        <v>0.26991799412463885</v>
      </c>
      <c r="V11" s="170">
        <v>0.14384689928636027</v>
      </c>
      <c r="AH11" s="25"/>
      <c r="AI11" s="25"/>
      <c r="AJ11" s="25"/>
      <c r="AK11" s="25"/>
      <c r="AL11" s="163" t="s">
        <v>271</v>
      </c>
      <c r="AM11" s="29" t="s">
        <v>313</v>
      </c>
      <c r="AN11" s="119">
        <v>3500.6702416666667</v>
      </c>
      <c r="AO11">
        <v>158</v>
      </c>
      <c r="AP11" s="130">
        <v>13</v>
      </c>
      <c r="AR11" s="193">
        <v>8787554</v>
      </c>
      <c r="AS11" s="140">
        <f t="shared" si="2"/>
        <v>55617.430379746838</v>
      </c>
      <c r="AT11" s="25"/>
      <c r="AU11" s="25"/>
      <c r="AV11" s="25"/>
      <c r="AW11" t="s">
        <v>306</v>
      </c>
      <c r="AX11">
        <v>3</v>
      </c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8" x14ac:dyDescent="0.35">
      <c r="D12" s="120" t="s">
        <v>277</v>
      </c>
      <c r="E12" s="111" t="s">
        <v>280</v>
      </c>
      <c r="F12" s="143">
        <v>703.29373551351625</v>
      </c>
      <c r="G12">
        <v>3.9857599E-5</v>
      </c>
      <c r="H12" s="120">
        <v>12</v>
      </c>
      <c r="I12" s="171" t="s">
        <v>280</v>
      </c>
      <c r="J12" s="29">
        <f t="shared" si="1"/>
        <v>2.8031599689309791E-2</v>
      </c>
      <c r="K12" s="29">
        <v>2.4124100398090428E-2</v>
      </c>
      <c r="L12" s="29">
        <v>0.12887907373405255</v>
      </c>
      <c r="M12" s="29">
        <v>0</v>
      </c>
      <c r="N12" s="29">
        <v>0</v>
      </c>
      <c r="O12" s="29">
        <v>3.6868591673391187E-4</v>
      </c>
      <c r="P12" s="29">
        <v>0</v>
      </c>
      <c r="Q12" s="29">
        <v>7.7316245166810665E-4</v>
      </c>
      <c r="R12" s="29">
        <v>0</v>
      </c>
      <c r="S12" s="29">
        <v>9.6656002384074256E-3</v>
      </c>
      <c r="T12" s="29">
        <v>0</v>
      </c>
      <c r="U12" s="29">
        <v>2.4124100398090428E-2</v>
      </c>
      <c r="V12" s="170">
        <v>2.8031599689309791E-2</v>
      </c>
      <c r="AH12" s="25"/>
      <c r="AI12" s="25"/>
      <c r="AJ12" s="25"/>
      <c r="AK12" s="25"/>
      <c r="AL12" s="163" t="s">
        <v>271</v>
      </c>
      <c r="AM12" s="29" t="s">
        <v>307</v>
      </c>
      <c r="AN12" s="119">
        <v>3595.1597285714283</v>
      </c>
      <c r="AO12">
        <v>6</v>
      </c>
      <c r="AP12" s="130">
        <v>7</v>
      </c>
      <c r="AR12" s="193">
        <v>531948</v>
      </c>
      <c r="AS12" s="140">
        <f t="shared" si="2"/>
        <v>88658</v>
      </c>
      <c r="AT12" s="25"/>
      <c r="AU12" s="25"/>
      <c r="AV12" s="25"/>
      <c r="AW12" t="s">
        <v>307</v>
      </c>
      <c r="AX12">
        <v>7</v>
      </c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8" x14ac:dyDescent="0.35">
      <c r="D13" s="107" t="s">
        <v>276</v>
      </c>
      <c r="E13" s="76" t="s">
        <v>281</v>
      </c>
      <c r="F13" s="143">
        <v>0.99999315183119653</v>
      </c>
      <c r="G13">
        <v>0.14033812000000001</v>
      </c>
      <c r="H13" s="107">
        <v>13</v>
      </c>
      <c r="I13" s="169" t="s">
        <v>281</v>
      </c>
      <c r="J13" s="29">
        <f t="shared" si="1"/>
        <v>0.14033715894086468</v>
      </c>
      <c r="K13" s="29">
        <v>0.25431425840110256</v>
      </c>
      <c r="L13" s="29">
        <v>6.8851153492449607E-2</v>
      </c>
      <c r="M13" s="29">
        <v>0</v>
      </c>
      <c r="N13" s="29">
        <v>0</v>
      </c>
      <c r="O13" s="29">
        <v>7.9127791449149534E-5</v>
      </c>
      <c r="P13" s="29">
        <v>0</v>
      </c>
      <c r="Q13" s="29">
        <v>9.6377839983762968E-4</v>
      </c>
      <c r="R13" s="29">
        <v>0</v>
      </c>
      <c r="S13" s="29">
        <v>1.2393248461694628E-2</v>
      </c>
      <c r="T13" s="29">
        <v>0</v>
      </c>
      <c r="U13" s="29">
        <v>0.25431425840110256</v>
      </c>
      <c r="V13" s="170">
        <v>0.14033715894086468</v>
      </c>
      <c r="AH13" s="25"/>
      <c r="AI13" s="25"/>
      <c r="AJ13" s="25"/>
      <c r="AK13" s="25"/>
      <c r="AL13" s="163" t="s">
        <v>271</v>
      </c>
      <c r="AM13" s="29" t="s">
        <v>305</v>
      </c>
      <c r="AN13" s="119">
        <v>3860.2273999999998</v>
      </c>
      <c r="AO13">
        <v>16</v>
      </c>
      <c r="AP13" s="130">
        <v>6</v>
      </c>
      <c r="AR13" s="193">
        <v>1431792</v>
      </c>
      <c r="AS13" s="140">
        <f t="shared" si="2"/>
        <v>89487</v>
      </c>
      <c r="AT13" s="25"/>
      <c r="AU13" s="25"/>
      <c r="AV13" s="25"/>
      <c r="AW13" t="s">
        <v>308</v>
      </c>
      <c r="AX13">
        <v>5</v>
      </c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8" x14ac:dyDescent="0.35">
      <c r="D14" s="107" t="s">
        <v>276</v>
      </c>
      <c r="E14" s="111" t="s">
        <v>196</v>
      </c>
      <c r="F14" s="143">
        <v>1.0000000858959293</v>
      </c>
      <c r="G14">
        <v>31.434160000000009</v>
      </c>
      <c r="H14" s="107">
        <v>14</v>
      </c>
      <c r="I14" s="171" t="s">
        <v>196</v>
      </c>
      <c r="J14" s="29">
        <f t="shared" si="1"/>
        <v>31.434162700066391</v>
      </c>
      <c r="K14" s="29">
        <v>68.749005905259239</v>
      </c>
      <c r="L14" s="29">
        <v>2.9267096263924213</v>
      </c>
      <c r="M14" s="29">
        <v>4.3432003730632003</v>
      </c>
      <c r="N14" s="29">
        <v>15.996734707387608</v>
      </c>
      <c r="O14" s="29">
        <v>2.039254341830298</v>
      </c>
      <c r="P14" s="29">
        <v>6.4279434092769838</v>
      </c>
      <c r="Q14" s="29">
        <v>4.5129003876397382</v>
      </c>
      <c r="R14" s="29">
        <v>81.832640362423419</v>
      </c>
      <c r="S14" s="29">
        <v>1.0182234207945726</v>
      </c>
      <c r="T14" s="29">
        <v>237.43124039437527</v>
      </c>
      <c r="U14" s="29">
        <v>68.749005905259239</v>
      </c>
      <c r="V14" s="170">
        <v>31.434162700066391</v>
      </c>
      <c r="AH14" s="25"/>
      <c r="AI14" s="25"/>
      <c r="AJ14" s="25"/>
      <c r="AK14" s="25"/>
      <c r="AL14" s="163" t="s">
        <v>271</v>
      </c>
      <c r="AM14" s="29" t="s">
        <v>306</v>
      </c>
      <c r="AN14" s="119">
        <v>3899.5415333333331</v>
      </c>
      <c r="AO14">
        <v>23</v>
      </c>
      <c r="AP14" s="130">
        <v>3</v>
      </c>
      <c r="AR14" s="193">
        <v>825474</v>
      </c>
      <c r="AS14" s="140">
        <f t="shared" si="2"/>
        <v>35890.17391304348</v>
      </c>
      <c r="AT14" s="25"/>
      <c r="AU14" s="25"/>
      <c r="AV14" s="25"/>
      <c r="AW14" t="s">
        <v>309</v>
      </c>
      <c r="AX14">
        <v>10</v>
      </c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2" ht="18" x14ac:dyDescent="0.35">
      <c r="D15" s="120" t="s">
        <v>277</v>
      </c>
      <c r="E15" s="111" t="s">
        <v>197</v>
      </c>
      <c r="F15" s="143">
        <v>703.30191366286999</v>
      </c>
      <c r="G15">
        <v>2.6870859999999996E-2</v>
      </c>
      <c r="H15" s="120">
        <v>15</v>
      </c>
      <c r="I15" s="171" t="s">
        <v>197</v>
      </c>
      <c r="J15" s="29">
        <f t="shared" si="1"/>
        <v>18.898327259767065</v>
      </c>
      <c r="K15" s="29">
        <v>47.574857949724837</v>
      </c>
      <c r="L15" s="29">
        <v>23.651577418964518</v>
      </c>
      <c r="M15" s="29">
        <v>108.85707019673902</v>
      </c>
      <c r="N15" s="29">
        <v>105.26917548418788</v>
      </c>
      <c r="O15" s="29">
        <v>64.278694519516932</v>
      </c>
      <c r="P15" s="29">
        <v>42.301902087888443</v>
      </c>
      <c r="Q15" s="29">
        <v>40.957255810099674</v>
      </c>
      <c r="R15" s="29">
        <v>102.95167846168312</v>
      </c>
      <c r="S15" s="29">
        <v>3.350155222335959</v>
      </c>
      <c r="T15" s="29">
        <v>120.8849395242014</v>
      </c>
      <c r="U15" s="29">
        <v>47.574857949724837</v>
      </c>
      <c r="V15" s="172">
        <v>18.898327259767065</v>
      </c>
      <c r="Y15" s="9"/>
      <c r="Z15" s="9"/>
      <c r="AA15" s="9"/>
      <c r="AB15" s="9"/>
      <c r="AC15" s="9"/>
      <c r="AD15" s="9"/>
      <c r="AE15" s="9"/>
      <c r="AF15" s="9"/>
      <c r="AL15" s="163" t="s">
        <v>317</v>
      </c>
      <c r="AM15" s="29" t="s">
        <v>315</v>
      </c>
      <c r="AN15" s="119">
        <v>4397.2955666666667</v>
      </c>
      <c r="AO15">
        <v>1</v>
      </c>
      <c r="AP15" s="130">
        <v>3</v>
      </c>
      <c r="AR15" s="193">
        <v>44238</v>
      </c>
      <c r="AS15" s="140">
        <f t="shared" si="2"/>
        <v>44238</v>
      </c>
      <c r="AW15" t="s">
        <v>310</v>
      </c>
      <c r="AX15">
        <v>6</v>
      </c>
    </row>
    <row r="16" spans="1:72" ht="18" x14ac:dyDescent="0.35">
      <c r="D16" s="107" t="s">
        <v>276</v>
      </c>
      <c r="F16" s="143">
        <v>0.99999991534950539</v>
      </c>
      <c r="G16">
        <v>1098.972</v>
      </c>
      <c r="H16" s="107">
        <v>16</v>
      </c>
      <c r="I16" s="163" t="s">
        <v>144</v>
      </c>
      <c r="J16" s="29">
        <f t="shared" si="1"/>
        <v>1098.9719069714765</v>
      </c>
      <c r="K16" s="29">
        <v>994.87181578360151</v>
      </c>
      <c r="L16" s="29">
        <v>85.86879273116358</v>
      </c>
      <c r="M16" s="29">
        <v>25.419097848260613</v>
      </c>
      <c r="N16" s="29">
        <v>90.963692299877806</v>
      </c>
      <c r="O16" s="29">
        <v>20.806198238744877</v>
      </c>
      <c r="P16" s="29">
        <v>113.14689042205895</v>
      </c>
      <c r="Q16" s="29">
        <v>71.534393944577658</v>
      </c>
      <c r="R16" s="29">
        <v>507.59805703156974</v>
      </c>
      <c r="S16" s="29">
        <v>202.76108283617262</v>
      </c>
      <c r="T16" s="29">
        <v>1287.0129910537044</v>
      </c>
      <c r="U16" s="29">
        <v>994.87181578360151</v>
      </c>
      <c r="V16" s="170">
        <v>1098.9719069714765</v>
      </c>
      <c r="Y16" s="9"/>
      <c r="Z16" s="9"/>
      <c r="AA16" s="9"/>
      <c r="AB16" s="9"/>
      <c r="AC16" s="9"/>
      <c r="AD16" s="9"/>
      <c r="AE16" s="9"/>
      <c r="AF16" s="9"/>
      <c r="AL16" s="163" t="s">
        <v>272</v>
      </c>
      <c r="AM16" s="29" t="s">
        <v>308</v>
      </c>
      <c r="AN16" s="119">
        <v>4888.7733000000007</v>
      </c>
      <c r="AO16">
        <v>33</v>
      </c>
      <c r="AP16" s="130">
        <v>5</v>
      </c>
      <c r="AR16" s="193">
        <v>1037782</v>
      </c>
      <c r="AS16" s="140">
        <f t="shared" si="2"/>
        <v>31447.939393939392</v>
      </c>
      <c r="AW16" t="s">
        <v>311</v>
      </c>
      <c r="AX16">
        <v>12</v>
      </c>
    </row>
    <row r="17" spans="4:50" ht="18" x14ac:dyDescent="0.35">
      <c r="F17" s="143">
        <v>222.78288551628563</v>
      </c>
      <c r="G17">
        <v>8.4111000000000012E-3</v>
      </c>
      <c r="H17">
        <v>17</v>
      </c>
      <c r="I17" s="163" t="s">
        <v>149</v>
      </c>
      <c r="J17" s="29">
        <f t="shared" si="1"/>
        <v>1.8738491283660303</v>
      </c>
      <c r="K17" s="29">
        <v>1.8738491283660299</v>
      </c>
      <c r="L17" s="29">
        <v>1.8738491283660303</v>
      </c>
      <c r="M17" s="29">
        <v>1.8738491283660299</v>
      </c>
      <c r="N17" s="29">
        <v>1.8738491283660303</v>
      </c>
      <c r="O17" s="29">
        <v>1.8738491283660303</v>
      </c>
      <c r="P17" s="29">
        <v>1.8738491283660299</v>
      </c>
      <c r="Q17" s="29">
        <v>1.8738491283660299</v>
      </c>
      <c r="R17" s="29">
        <v>1.8738491283660299</v>
      </c>
      <c r="S17" s="29">
        <v>1.8738491283660299</v>
      </c>
      <c r="T17" s="29">
        <v>1.8738491283660299</v>
      </c>
      <c r="U17" s="29">
        <v>1.8738491283660299</v>
      </c>
      <c r="V17" s="170">
        <v>1.8738491283660303</v>
      </c>
      <c r="Z17" s="9"/>
      <c r="AA17" s="9"/>
      <c r="AB17" s="9"/>
      <c r="AC17" s="9"/>
      <c r="AD17" s="9"/>
      <c r="AE17" s="9"/>
      <c r="AF17" s="9"/>
      <c r="AL17" s="163" t="s">
        <v>317</v>
      </c>
      <c r="AM17" s="29" t="s">
        <v>314</v>
      </c>
      <c r="AN17" s="119">
        <v>4938.6000000000004</v>
      </c>
      <c r="AO17">
        <v>30</v>
      </c>
      <c r="AP17" s="130">
        <v>5</v>
      </c>
      <c r="AR17" s="193">
        <v>1214618</v>
      </c>
      <c r="AS17" s="140">
        <f t="shared" si="2"/>
        <v>40487.26666666667</v>
      </c>
      <c r="AW17" t="s">
        <v>312</v>
      </c>
      <c r="AX17">
        <v>1</v>
      </c>
    </row>
    <row r="18" spans="4:50" ht="18" x14ac:dyDescent="0.35">
      <c r="D18" s="107" t="s">
        <v>276</v>
      </c>
      <c r="F18" s="143">
        <v>1.000001180753423</v>
      </c>
      <c r="G18">
        <v>1.9883999999999999</v>
      </c>
      <c r="H18" s="107">
        <v>18</v>
      </c>
      <c r="I18" s="163" t="s">
        <v>193</v>
      </c>
      <c r="J18" s="29">
        <f t="shared" si="1"/>
        <v>1.9884023478101063</v>
      </c>
      <c r="K18" s="29">
        <v>1.8000021253561616</v>
      </c>
      <c r="L18" s="29">
        <v>0.15536018344185176</v>
      </c>
      <c r="M18" s="29">
        <v>4.5991054304030679E-2</v>
      </c>
      <c r="N18" s="29">
        <v>0.16458019432839835</v>
      </c>
      <c r="O18" s="29">
        <v>3.7645044449462602E-2</v>
      </c>
      <c r="P18" s="29">
        <v>0.20472024172384079</v>
      </c>
      <c r="Q18" s="29">
        <v>0.12943015282491552</v>
      </c>
      <c r="R18" s="29">
        <v>0.91840108440394375</v>
      </c>
      <c r="S18" s="29">
        <v>0.36685043315939331</v>
      </c>
      <c r="T18" s="29">
        <v>2.3286027495024206</v>
      </c>
      <c r="U18" s="29">
        <v>1.8000021253561616</v>
      </c>
      <c r="V18" s="170">
        <v>1.9884023478101063</v>
      </c>
      <c r="Y18" s="9"/>
      <c r="Z18" s="9"/>
      <c r="AA18" s="9"/>
      <c r="AB18" s="9"/>
      <c r="AC18" s="9"/>
      <c r="AD18" s="9"/>
      <c r="AE18" s="9"/>
      <c r="AF18" s="9"/>
      <c r="AL18" s="163" t="s">
        <v>272</v>
      </c>
      <c r="AM18" s="72" t="s">
        <v>304</v>
      </c>
      <c r="AN18" s="119">
        <v>5050.8452000000007</v>
      </c>
      <c r="AO18">
        <v>92</v>
      </c>
      <c r="AP18" s="130">
        <v>12</v>
      </c>
      <c r="AR18" s="193">
        <v>4647178</v>
      </c>
      <c r="AS18" s="140">
        <f t="shared" si="2"/>
        <v>50512.804347826088</v>
      </c>
      <c r="AW18" t="s">
        <v>313</v>
      </c>
      <c r="AX18">
        <v>13</v>
      </c>
    </row>
    <row r="19" spans="4:50" ht="18" x14ac:dyDescent="0.35">
      <c r="D19" s="107" t="s">
        <v>276</v>
      </c>
      <c r="F19" s="143">
        <v>0.99999589222097052</v>
      </c>
      <c r="G19">
        <v>2.6343999999999999</v>
      </c>
      <c r="H19" s="107">
        <v>19</v>
      </c>
      <c r="I19" s="163" t="s">
        <v>192</v>
      </c>
      <c r="J19" s="29">
        <f t="shared" si="1"/>
        <v>2.6343891784669244</v>
      </c>
      <c r="K19" s="29">
        <v>2.3848902033577928</v>
      </c>
      <c r="L19" s="29">
        <v>0.20583915445476447</v>
      </c>
      <c r="M19" s="29">
        <v>6.0933749696592619E-2</v>
      </c>
      <c r="N19" s="29">
        <v>0.2180491042987826</v>
      </c>
      <c r="O19" s="29">
        <v>4.9875795120413124E-2</v>
      </c>
      <c r="P19" s="29">
        <v>0.27122888584709387</v>
      </c>
      <c r="Q19" s="29">
        <v>0.17147929559805203</v>
      </c>
      <c r="R19" s="29">
        <v>1.2167950016544771</v>
      </c>
      <c r="S19" s="29">
        <v>0.48604800341400267</v>
      </c>
      <c r="T19" s="29">
        <v>3.0851873266801384</v>
      </c>
      <c r="U19" s="29">
        <v>2.3848902033577928</v>
      </c>
      <c r="V19" s="170">
        <v>2.6343891784669244</v>
      </c>
      <c r="Y19" s="9"/>
      <c r="Z19" s="9"/>
      <c r="AA19" s="9"/>
      <c r="AB19" s="9"/>
      <c r="AC19" s="9"/>
      <c r="AD19" s="9"/>
      <c r="AE19" s="9"/>
      <c r="AF19" s="9"/>
      <c r="AL19" s="130"/>
      <c r="AP19" s="130"/>
      <c r="AR19" s="194"/>
      <c r="AS19" s="140"/>
      <c r="AW19" t="s">
        <v>314</v>
      </c>
      <c r="AX19">
        <v>5</v>
      </c>
    </row>
    <row r="20" spans="4:50" x14ac:dyDescent="0.25">
      <c r="F20" s="143">
        <v>315.130115159485</v>
      </c>
      <c r="G20">
        <v>1.831</v>
      </c>
      <c r="H20">
        <v>20</v>
      </c>
      <c r="I20" s="163" t="s">
        <v>146</v>
      </c>
      <c r="J20" s="29">
        <f t="shared" si="1"/>
        <v>577.00324085701698</v>
      </c>
      <c r="K20" s="29">
        <v>577.00324085701698</v>
      </c>
      <c r="L20" s="29">
        <v>577.00324085701698</v>
      </c>
      <c r="M20" s="29">
        <v>577.00324085701698</v>
      </c>
      <c r="N20" s="29">
        <v>577.00324085701698</v>
      </c>
      <c r="O20" s="29">
        <v>577.00324085701698</v>
      </c>
      <c r="P20" s="29">
        <v>577.00324085701698</v>
      </c>
      <c r="Q20" s="29">
        <v>577.00324085701698</v>
      </c>
      <c r="R20" s="29">
        <v>577.00324085701709</v>
      </c>
      <c r="S20" s="29">
        <v>577.00324085701709</v>
      </c>
      <c r="T20" s="29">
        <v>577.00324085701698</v>
      </c>
      <c r="U20" s="29">
        <v>577.00324085701698</v>
      </c>
      <c r="V20" s="170">
        <v>577.00324085701698</v>
      </c>
      <c r="Y20" s="9"/>
      <c r="Z20" s="9"/>
      <c r="AA20" s="9"/>
      <c r="AB20" s="9"/>
      <c r="AC20" s="9"/>
      <c r="AD20" s="9"/>
      <c r="AE20" s="9"/>
      <c r="AF20" s="9"/>
      <c r="AL20" s="130"/>
      <c r="AP20" s="130"/>
      <c r="AS20" s="140"/>
      <c r="AW20" t="s">
        <v>315</v>
      </c>
      <c r="AX20">
        <v>3</v>
      </c>
    </row>
    <row r="21" spans="4:50" x14ac:dyDescent="0.25">
      <c r="F21" s="143">
        <v>240.70345023629943</v>
      </c>
      <c r="G21">
        <v>8.7106000000000006E-3</v>
      </c>
      <c r="H21">
        <v>21</v>
      </c>
      <c r="I21" s="163" t="s">
        <v>199</v>
      </c>
      <c r="J21" s="29">
        <f t="shared" si="1"/>
        <v>2.0966714736283101</v>
      </c>
      <c r="K21" s="29">
        <v>2.0966714736283101</v>
      </c>
      <c r="L21" s="29">
        <v>2.0966714736283101</v>
      </c>
      <c r="M21" s="29">
        <v>2.0966714736283101</v>
      </c>
      <c r="N21" s="29">
        <v>2.0966714736283101</v>
      </c>
      <c r="O21" s="29">
        <v>2.0966714736283101</v>
      </c>
      <c r="P21" s="29">
        <v>2.0966714736283101</v>
      </c>
      <c r="Q21" s="29">
        <v>2.0966714736283101</v>
      </c>
      <c r="R21" s="29">
        <v>2.0966714736283101</v>
      </c>
      <c r="S21" s="29">
        <v>2.0966714736283101</v>
      </c>
      <c r="T21" s="29">
        <v>2.0966714736283101</v>
      </c>
      <c r="U21" s="29">
        <v>2.0966714736283101</v>
      </c>
      <c r="V21" s="170">
        <v>2.0966714736283101</v>
      </c>
      <c r="Y21" s="9"/>
      <c r="Z21" s="9"/>
      <c r="AA21" s="9"/>
      <c r="AB21" s="9"/>
      <c r="AC21" s="9"/>
      <c r="AD21" s="9"/>
      <c r="AE21" s="9"/>
      <c r="AF21" s="9"/>
      <c r="AL21" s="130"/>
      <c r="AP21" s="130"/>
      <c r="AS21" s="140"/>
    </row>
    <row r="22" spans="4:50" ht="18" x14ac:dyDescent="0.35">
      <c r="F22" s="143">
        <v>92.444644743827993</v>
      </c>
      <c r="G22">
        <v>1.1105000000000002E-2</v>
      </c>
      <c r="H22">
        <v>22</v>
      </c>
      <c r="I22" s="163" t="s">
        <v>200</v>
      </c>
      <c r="J22" s="29">
        <f t="shared" si="1"/>
        <v>1.0265977798802099</v>
      </c>
      <c r="K22" s="29">
        <v>1.0265977798802099</v>
      </c>
      <c r="L22" s="29">
        <v>1.0265977798802099</v>
      </c>
      <c r="M22" s="29">
        <v>1.0265977798802099</v>
      </c>
      <c r="N22" s="29">
        <v>1.0265977798802099</v>
      </c>
      <c r="O22" s="29">
        <v>1.0265977798802099</v>
      </c>
      <c r="P22" s="29">
        <v>1.0265977798802099</v>
      </c>
      <c r="Q22" s="29">
        <v>1.0265977798802099</v>
      </c>
      <c r="R22" s="29">
        <v>1.0265977798802097</v>
      </c>
      <c r="S22" s="29">
        <v>1.0265977798802097</v>
      </c>
      <c r="T22" s="29">
        <v>1.0265977798802099</v>
      </c>
      <c r="U22" s="29">
        <v>1.0265977798802099</v>
      </c>
      <c r="V22" s="170">
        <v>1.0265977798802099</v>
      </c>
      <c r="Y22" s="9"/>
      <c r="Z22" s="9"/>
      <c r="AA22" s="9"/>
      <c r="AB22" s="9"/>
      <c r="AC22" s="9"/>
      <c r="AD22" s="9"/>
      <c r="AE22" s="9"/>
      <c r="AF22" s="9"/>
      <c r="AL22" s="163" t="s">
        <v>272</v>
      </c>
      <c r="AM22" s="29" t="s">
        <v>310</v>
      </c>
      <c r="AN22" s="119">
        <v>4600.5274666666664</v>
      </c>
      <c r="AO22">
        <v>0</v>
      </c>
      <c r="AP22" s="130">
        <v>6</v>
      </c>
      <c r="AR22" s="193">
        <v>45493</v>
      </c>
      <c r="AS22" s="140"/>
    </row>
    <row r="23" spans="4:50" ht="18" x14ac:dyDescent="0.35">
      <c r="F23" s="143">
        <v>256.9051079597063</v>
      </c>
      <c r="G23">
        <v>7.3550000000000004E-4</v>
      </c>
      <c r="H23">
        <v>23</v>
      </c>
      <c r="I23" s="163" t="s">
        <v>201</v>
      </c>
      <c r="J23" s="29">
        <f t="shared" si="1"/>
        <v>0.188953706904364</v>
      </c>
      <c r="K23" s="29">
        <v>0.188953706904364</v>
      </c>
      <c r="L23" s="29">
        <v>0.188953706904364</v>
      </c>
      <c r="M23" s="29">
        <v>0.188953706904364</v>
      </c>
      <c r="N23" s="29">
        <v>0.188953706904364</v>
      </c>
      <c r="O23" s="29">
        <v>0.188953706904364</v>
      </c>
      <c r="P23" s="29">
        <v>0.188953706904364</v>
      </c>
      <c r="Q23" s="29">
        <v>0.188953706904364</v>
      </c>
      <c r="R23" s="29">
        <v>0.188953706904364</v>
      </c>
      <c r="S23" s="29">
        <v>0.188953706904364</v>
      </c>
      <c r="T23" s="29">
        <v>0.188953706904364</v>
      </c>
      <c r="U23" s="29">
        <v>0.188953706904364</v>
      </c>
      <c r="V23" s="170">
        <v>0.188953706904364</v>
      </c>
      <c r="Y23" s="9"/>
      <c r="Z23" s="9"/>
      <c r="AA23" s="9"/>
      <c r="AB23" s="9"/>
      <c r="AC23" s="9"/>
      <c r="AD23" s="9"/>
      <c r="AE23" s="9"/>
      <c r="AF23" s="9"/>
      <c r="AL23" s="163" t="s">
        <v>316</v>
      </c>
      <c r="AM23" s="29" t="s">
        <v>309</v>
      </c>
      <c r="AN23" s="119">
        <v>6853.1804000000002</v>
      </c>
      <c r="AO23">
        <v>0</v>
      </c>
      <c r="AP23" s="130">
        <v>10</v>
      </c>
      <c r="AR23" s="193">
        <v>40692</v>
      </c>
      <c r="AS23" s="140"/>
    </row>
    <row r="24" spans="4:50" x14ac:dyDescent="0.25">
      <c r="F24" s="143">
        <v>196.3249119042481</v>
      </c>
      <c r="G24">
        <v>1.9855999999999995E-2</v>
      </c>
      <c r="H24">
        <v>24</v>
      </c>
      <c r="I24" s="163" t="s">
        <v>145</v>
      </c>
      <c r="J24" s="29">
        <f t="shared" si="1"/>
        <v>3.8982274507707491</v>
      </c>
      <c r="K24" s="29">
        <v>3.8982274507707499</v>
      </c>
      <c r="L24" s="29">
        <v>3.8982274507707486</v>
      </c>
      <c r="M24" s="29">
        <v>3.8982274507707499</v>
      </c>
      <c r="N24" s="29">
        <v>3.8982274507707491</v>
      </c>
      <c r="O24" s="29">
        <v>3.8982274507707491</v>
      </c>
      <c r="P24" s="29">
        <v>3.8982274507707508</v>
      </c>
      <c r="Q24" s="29">
        <v>3.8982274507707499</v>
      </c>
      <c r="R24" s="29">
        <v>3.8982274507707499</v>
      </c>
      <c r="S24" s="29">
        <v>3.8982274507707499</v>
      </c>
      <c r="T24" s="29">
        <v>3.8982274507707499</v>
      </c>
      <c r="U24" s="29">
        <v>3.8982274507707499</v>
      </c>
      <c r="V24" s="170">
        <v>3.8982274507707491</v>
      </c>
      <c r="Y24" s="9"/>
      <c r="Z24" s="9"/>
      <c r="AA24" s="9"/>
      <c r="AB24" s="9"/>
      <c r="AC24" s="9"/>
      <c r="AD24" s="9"/>
      <c r="AE24" s="9"/>
      <c r="AF24" s="9"/>
      <c r="AL24" s="130"/>
      <c r="AO24">
        <v>726</v>
      </c>
      <c r="AP24" s="130"/>
      <c r="AS24" s="140"/>
    </row>
    <row r="25" spans="4:50" ht="18.75" thickBot="1" x14ac:dyDescent="0.4">
      <c r="F25" s="143">
        <v>162.50838858961095</v>
      </c>
      <c r="G25">
        <v>0.8204800000000001</v>
      </c>
      <c r="H25">
        <v>25</v>
      </c>
      <c r="I25" s="163" t="s">
        <v>191</v>
      </c>
      <c r="J25" s="29">
        <f t="shared" si="1"/>
        <v>133.33488267000399</v>
      </c>
      <c r="K25" s="29">
        <v>133.33488267000399</v>
      </c>
      <c r="L25" s="29">
        <v>133.33488267000399</v>
      </c>
      <c r="M25" s="29">
        <v>133.33488267000399</v>
      </c>
      <c r="N25" s="29">
        <v>133.33488267000399</v>
      </c>
      <c r="O25" s="29">
        <v>133.33488267000399</v>
      </c>
      <c r="P25" s="29">
        <v>133.33488267000399</v>
      </c>
      <c r="Q25" s="29">
        <v>133.33488267000399</v>
      </c>
      <c r="R25" s="29">
        <v>133.33488267000399</v>
      </c>
      <c r="S25" s="29">
        <v>133.33488267000399</v>
      </c>
      <c r="T25" s="29">
        <v>133.33488267000399</v>
      </c>
      <c r="U25" s="29">
        <v>133.33488267000399</v>
      </c>
      <c r="V25" s="170">
        <v>133.33488267000399</v>
      </c>
      <c r="Y25" s="9"/>
      <c r="Z25" s="9"/>
      <c r="AA25" s="9"/>
      <c r="AB25" s="9"/>
      <c r="AC25" s="9"/>
      <c r="AD25" s="9"/>
      <c r="AE25" s="9"/>
      <c r="AF25" s="9"/>
      <c r="AL25" s="132"/>
      <c r="AM25" s="27"/>
      <c r="AN25" s="27"/>
      <c r="AO25" s="27">
        <f>SUM(AO8:AO23)</f>
        <v>726</v>
      </c>
      <c r="AP25" s="132"/>
      <c r="AQ25" s="27"/>
      <c r="AR25" s="164">
        <v>39566248</v>
      </c>
      <c r="AS25" s="153">
        <f>AR25/AO25</f>
        <v>54498.964187327823</v>
      </c>
    </row>
    <row r="26" spans="4:50" x14ac:dyDescent="0.25">
      <c r="F26" s="143">
        <v>603.74275704829427</v>
      </c>
      <c r="G26">
        <v>1.2440000000000001E-2</v>
      </c>
      <c r="H26">
        <v>26</v>
      </c>
      <c r="I26" s="163" t="s">
        <v>206</v>
      </c>
      <c r="J26" s="29">
        <f t="shared" si="1"/>
        <v>7.5105598976807819</v>
      </c>
      <c r="K26" s="29">
        <v>7.5105598976807801</v>
      </c>
      <c r="L26" s="29">
        <v>7.5105598976807828</v>
      </c>
      <c r="M26" s="29">
        <v>7.5105598976807801</v>
      </c>
      <c r="N26" s="29">
        <v>7.5105598976807819</v>
      </c>
      <c r="O26" s="29">
        <v>7.5105598976807819</v>
      </c>
      <c r="P26" s="29">
        <v>7.5105598976807793</v>
      </c>
      <c r="Q26" s="29">
        <v>7.5105598976807801</v>
      </c>
      <c r="R26" s="29">
        <v>7.5105598976807801</v>
      </c>
      <c r="S26" s="29">
        <v>7.5105598976807801</v>
      </c>
      <c r="T26" s="29">
        <v>7.5105598976807801</v>
      </c>
      <c r="U26" s="29">
        <v>7.5105598976807801</v>
      </c>
      <c r="V26" s="170">
        <v>7.5105598976807819</v>
      </c>
      <c r="Y26" s="9"/>
      <c r="Z26" s="9"/>
      <c r="AA26" s="9"/>
      <c r="AB26" s="9"/>
      <c r="AC26" s="9"/>
      <c r="AD26" s="9"/>
      <c r="AE26" s="9"/>
      <c r="AF26" s="9"/>
      <c r="AK26" s="162" t="s">
        <v>592</v>
      </c>
      <c r="AL26" s="192" t="s">
        <v>591</v>
      </c>
    </row>
    <row r="27" spans="4:50" x14ac:dyDescent="0.25">
      <c r="F27" s="143">
        <v>222.78025050912353</v>
      </c>
      <c r="G27">
        <v>2.2545E-4</v>
      </c>
      <c r="H27">
        <v>27</v>
      </c>
      <c r="I27" s="163" t="s">
        <v>284</v>
      </c>
      <c r="J27" s="29">
        <f t="shared" si="1"/>
        <v>5.0225807477281899E-2</v>
      </c>
      <c r="K27" s="29">
        <v>5.0225807477281899E-2</v>
      </c>
      <c r="L27" s="29">
        <v>5.0225807477281892E-2</v>
      </c>
      <c r="M27" s="29">
        <v>5.0225807477281899E-2</v>
      </c>
      <c r="N27" s="29">
        <v>5.0225807477281899E-2</v>
      </c>
      <c r="O27" s="29">
        <v>5.0225807477281899E-2</v>
      </c>
      <c r="P27" s="29">
        <v>5.0225807477281906E-2</v>
      </c>
      <c r="Q27" s="29">
        <v>5.0225807477281899E-2</v>
      </c>
      <c r="R27" s="29">
        <v>5.0225807477281899E-2</v>
      </c>
      <c r="S27" s="29">
        <v>5.0225807477281899E-2</v>
      </c>
      <c r="T27" s="29">
        <v>5.0225807477281899E-2</v>
      </c>
      <c r="U27" s="29">
        <v>5.0225807477281899E-2</v>
      </c>
      <c r="V27" s="170">
        <v>5.0225807477281899E-2</v>
      </c>
      <c r="Y27" s="9"/>
      <c r="Z27" s="9"/>
      <c r="AA27" s="9"/>
      <c r="AB27" s="9"/>
      <c r="AC27" s="9"/>
      <c r="AD27" s="9"/>
      <c r="AE27" s="9"/>
      <c r="AF27" s="9"/>
      <c r="AL27" t="s">
        <v>608</v>
      </c>
    </row>
    <row r="28" spans="4:50" x14ac:dyDescent="0.25">
      <c r="F28" s="143">
        <v>354.59218093312796</v>
      </c>
      <c r="G28">
        <v>3.4245999999999999E-3</v>
      </c>
      <c r="H28">
        <v>28</v>
      </c>
      <c r="I28" s="163" t="s">
        <v>207</v>
      </c>
      <c r="J28" s="29">
        <f t="shared" si="1"/>
        <v>1.21433638282359</v>
      </c>
      <c r="K28" s="29">
        <v>1.21433638282359</v>
      </c>
      <c r="L28" s="29">
        <v>1.21433638282359</v>
      </c>
      <c r="M28" s="29">
        <v>1.21433638282359</v>
      </c>
      <c r="N28" s="29">
        <v>1.21433638282359</v>
      </c>
      <c r="O28" s="29">
        <v>1.21433638282359</v>
      </c>
      <c r="P28" s="29">
        <v>1.21433638282359</v>
      </c>
      <c r="Q28" s="29">
        <v>1.21433638282359</v>
      </c>
      <c r="R28" s="29">
        <v>1.21433638282359</v>
      </c>
      <c r="S28" s="29">
        <v>1.21433638282359</v>
      </c>
      <c r="T28" s="29">
        <v>1.21433638282359</v>
      </c>
      <c r="U28" s="29">
        <v>1.21433638282359</v>
      </c>
      <c r="V28" s="170">
        <v>1.21433638282359</v>
      </c>
      <c r="Y28" s="9"/>
      <c r="Z28" s="9"/>
      <c r="AA28" s="9"/>
      <c r="AB28" s="9"/>
      <c r="AC28" s="9"/>
      <c r="AD28" s="9"/>
      <c r="AE28" s="9"/>
      <c r="AF28" s="9"/>
    </row>
    <row r="29" spans="4:50" x14ac:dyDescent="0.25">
      <c r="F29" s="143">
        <v>212.31102721376496</v>
      </c>
      <c r="G29">
        <v>3.4816000000000007E-2</v>
      </c>
      <c r="H29">
        <v>29</v>
      </c>
      <c r="I29" s="163" t="s">
        <v>150</v>
      </c>
      <c r="J29" s="29">
        <f t="shared" si="1"/>
        <v>7.3918207234744422</v>
      </c>
      <c r="K29" s="29">
        <v>7.3918207234744404</v>
      </c>
      <c r="L29" s="29">
        <v>7.3918207234744422</v>
      </c>
      <c r="M29" s="29">
        <v>7.3918207234744404</v>
      </c>
      <c r="N29" s="29">
        <v>7.3918207234744422</v>
      </c>
      <c r="O29" s="29">
        <v>7.3918207234744422</v>
      </c>
      <c r="P29" s="29">
        <v>7.3918207234744422</v>
      </c>
      <c r="Q29" s="29">
        <v>7.3918207234744422</v>
      </c>
      <c r="R29" s="29">
        <v>7.3918207234744404</v>
      </c>
      <c r="S29" s="29">
        <v>7.3918207234744404</v>
      </c>
      <c r="T29" s="29">
        <v>7.3918207234744404</v>
      </c>
      <c r="U29" s="29">
        <v>7.3918207234744404</v>
      </c>
      <c r="V29" s="170">
        <v>7.3918207234744422</v>
      </c>
      <c r="Y29" s="9"/>
      <c r="Z29" s="9"/>
      <c r="AA29" s="9"/>
      <c r="AB29" s="9"/>
      <c r="AC29" s="9"/>
      <c r="AD29" s="9"/>
      <c r="AE29" s="9"/>
      <c r="AF29" s="9"/>
    </row>
    <row r="30" spans="4:50" x14ac:dyDescent="0.25">
      <c r="D30" s="107" t="s">
        <v>276</v>
      </c>
      <c r="F30" s="143">
        <v>1.0000002042406235</v>
      </c>
      <c r="G30">
        <v>89.625700000000009</v>
      </c>
      <c r="H30" s="107">
        <v>30</v>
      </c>
      <c r="I30" s="163" t="s">
        <v>152</v>
      </c>
      <c r="J30" s="29">
        <f t="shared" si="1"/>
        <v>89.625718305208864</v>
      </c>
      <c r="K30" s="29">
        <v>81.13591657124681</v>
      </c>
      <c r="L30" s="29">
        <v>7.0030014302970862</v>
      </c>
      <c r="M30" s="29">
        <v>2.0730004233908126</v>
      </c>
      <c r="N30" s="29">
        <v>7.4185015151590648</v>
      </c>
      <c r="O30" s="29">
        <v>1.6968003465554899</v>
      </c>
      <c r="P30" s="29">
        <v>9.2276018846507775</v>
      </c>
      <c r="Q30" s="29">
        <v>5.8339011915193737</v>
      </c>
      <c r="R30" s="29">
        <v>41.396708454887822</v>
      </c>
      <c r="S30" s="29">
        <v>16.536003377322952</v>
      </c>
      <c r="T30" s="29">
        <v>104.96122143734094</v>
      </c>
      <c r="U30" s="29">
        <v>81.13591657124681</v>
      </c>
      <c r="V30" s="170">
        <v>89.625718305208864</v>
      </c>
      <c r="Y30" s="9"/>
      <c r="Z30" s="9"/>
      <c r="AA30" s="9"/>
      <c r="AB30" s="9"/>
      <c r="AC30" s="9"/>
      <c r="AD30" s="9"/>
      <c r="AE30" s="9"/>
      <c r="AF30" s="9"/>
    </row>
    <row r="31" spans="4:50" x14ac:dyDescent="0.25">
      <c r="D31" s="107" t="s">
        <v>276</v>
      </c>
      <c r="F31" s="143">
        <v>1.0000002042406235</v>
      </c>
      <c r="G31">
        <v>89.625700000000009</v>
      </c>
      <c r="H31" s="107">
        <v>31</v>
      </c>
      <c r="I31" s="163" t="s">
        <v>204</v>
      </c>
      <c r="J31" s="29">
        <f t="shared" si="1"/>
        <v>89.625718305208864</v>
      </c>
      <c r="K31" s="29">
        <v>81.13591657124681</v>
      </c>
      <c r="L31" s="29">
        <v>7.0030014302970862</v>
      </c>
      <c r="M31" s="29">
        <v>2.0730004233908126</v>
      </c>
      <c r="N31" s="29">
        <v>7.4185015151590648</v>
      </c>
      <c r="O31" s="29">
        <v>1.6968003465554899</v>
      </c>
      <c r="P31" s="29">
        <v>9.2276018846507775</v>
      </c>
      <c r="Q31" s="29">
        <v>5.8339011915193737</v>
      </c>
      <c r="R31" s="29">
        <v>41.396708454887822</v>
      </c>
      <c r="S31" s="29">
        <v>16.536003377322952</v>
      </c>
      <c r="T31" s="29">
        <v>104.96122143734094</v>
      </c>
      <c r="U31" s="29">
        <v>81.13591657124681</v>
      </c>
      <c r="V31" s="170">
        <v>89.625718305208864</v>
      </c>
      <c r="Y31" s="9"/>
      <c r="Z31" s="9"/>
      <c r="AA31" s="9"/>
      <c r="AB31" s="9"/>
      <c r="AC31" s="9"/>
      <c r="AD31" s="9"/>
      <c r="AE31" s="9"/>
      <c r="AF31" s="9"/>
    </row>
    <row r="32" spans="4:50" x14ac:dyDescent="0.25">
      <c r="D32" s="107" t="s">
        <v>276</v>
      </c>
      <c r="F32" s="143">
        <v>0.9999986411407511</v>
      </c>
      <c r="G32">
        <v>111.67760000000001</v>
      </c>
      <c r="H32" s="107">
        <v>32</v>
      </c>
      <c r="I32" s="163" t="s">
        <v>153</v>
      </c>
      <c r="J32" s="29">
        <f t="shared" si="1"/>
        <v>111.67744824586036</v>
      </c>
      <c r="K32" s="29">
        <v>101.09876262082469</v>
      </c>
      <c r="L32" s="29">
        <v>8.7259881425941952</v>
      </c>
      <c r="M32" s="29">
        <v>2.5830964899306741</v>
      </c>
      <c r="N32" s="29">
        <v>9.2436874391127635</v>
      </c>
      <c r="O32" s="29">
        <v>2.1142971269638902</v>
      </c>
      <c r="P32" s="29">
        <v>11.497984375836356</v>
      </c>
      <c r="Q32" s="29">
        <v>7.2692901220444623</v>
      </c>
      <c r="R32" s="29">
        <v>51.582029907186332</v>
      </c>
      <c r="S32" s="29">
        <v>20.604572001248723</v>
      </c>
      <c r="T32" s="29">
        <v>130.78612227982663</v>
      </c>
      <c r="U32" s="29">
        <v>101.09876262082469</v>
      </c>
      <c r="V32" s="170">
        <v>111.67744824586036</v>
      </c>
      <c r="Y32" s="9"/>
      <c r="Z32" s="9"/>
      <c r="AA32" s="9"/>
      <c r="AB32" s="9"/>
      <c r="AC32" s="9"/>
      <c r="AD32" s="9"/>
      <c r="AE32" s="9"/>
      <c r="AF32" s="9"/>
    </row>
    <row r="33" spans="6:45" x14ac:dyDescent="0.25">
      <c r="F33" s="143">
        <v>118.41130519006906</v>
      </c>
      <c r="G33">
        <v>1.1007000000000001E-2</v>
      </c>
      <c r="H33">
        <v>33</v>
      </c>
      <c r="I33" s="163" t="s">
        <v>291</v>
      </c>
      <c r="J33" s="29">
        <f t="shared" si="1"/>
        <v>1.3033532362270903</v>
      </c>
      <c r="K33" s="29">
        <v>1.3033532362270901</v>
      </c>
      <c r="L33" s="29">
        <v>1.3033532362270899</v>
      </c>
      <c r="M33" s="29">
        <v>1.3033532362270901</v>
      </c>
      <c r="N33" s="29">
        <v>1.3033532362270903</v>
      </c>
      <c r="O33" s="29">
        <v>1.3033532362270903</v>
      </c>
      <c r="P33" s="29">
        <v>1.3033532362270903</v>
      </c>
      <c r="Q33" s="29">
        <v>1.3033532362270903</v>
      </c>
      <c r="R33" s="29">
        <v>1.3033532362270899</v>
      </c>
      <c r="S33" s="29">
        <v>1.3033532362270899</v>
      </c>
      <c r="T33" s="29">
        <v>1.3033532362270901</v>
      </c>
      <c r="U33" s="29">
        <v>1.3033532362270901</v>
      </c>
      <c r="V33" s="170">
        <v>1.3033532362270903</v>
      </c>
      <c r="Y33" s="9"/>
      <c r="Z33" s="9"/>
      <c r="AA33" s="9"/>
      <c r="AB33" s="9"/>
      <c r="AC33" s="9"/>
      <c r="AD33" s="9"/>
      <c r="AE33" s="9"/>
      <c r="AF33" s="9"/>
    </row>
    <row r="34" spans="6:45" x14ac:dyDescent="0.25">
      <c r="F34" s="143">
        <v>1.0000000389305106</v>
      </c>
      <c r="G34">
        <v>441.68079999999998</v>
      </c>
      <c r="H34">
        <v>34</v>
      </c>
      <c r="I34" s="163" t="s">
        <v>292</v>
      </c>
      <c r="J34" s="29">
        <f t="shared" si="1"/>
        <v>441.68081719485906</v>
      </c>
      <c r="K34" s="29">
        <v>441.68081719485906</v>
      </c>
      <c r="L34" s="29">
        <v>441.68081719485912</v>
      </c>
      <c r="M34" s="29">
        <v>441.68081719485906</v>
      </c>
      <c r="N34" s="29">
        <v>441.68081719485912</v>
      </c>
      <c r="O34" s="29">
        <v>441.68081719485912</v>
      </c>
      <c r="P34" s="29">
        <v>441.68081719485912</v>
      </c>
      <c r="Q34" s="29">
        <v>441.68081719485912</v>
      </c>
      <c r="R34" s="29">
        <v>441.680817194859</v>
      </c>
      <c r="S34" s="29">
        <v>441.680817194859</v>
      </c>
      <c r="T34" s="29">
        <v>441.68081719485906</v>
      </c>
      <c r="U34" s="29">
        <v>441.68081719485906</v>
      </c>
      <c r="V34" s="170">
        <v>441.68081719485906</v>
      </c>
      <c r="Y34" s="9"/>
      <c r="Z34" s="9"/>
      <c r="AA34" s="9"/>
      <c r="AB34" s="9"/>
      <c r="AC34" s="9"/>
      <c r="AD34" s="9"/>
      <c r="AE34" s="9"/>
      <c r="AF34" s="9"/>
    </row>
    <row r="35" spans="6:45" x14ac:dyDescent="0.25">
      <c r="F35" s="143">
        <v>205.30848106067458</v>
      </c>
      <c r="G35">
        <v>8.8555999999999982E-2</v>
      </c>
      <c r="H35">
        <v>35</v>
      </c>
      <c r="I35" s="163" t="s">
        <v>293</v>
      </c>
      <c r="J35" s="29">
        <f t="shared" si="1"/>
        <v>18.181297848809095</v>
      </c>
      <c r="K35" s="29">
        <v>18.181297848809098</v>
      </c>
      <c r="L35" s="29">
        <v>18.181297848809098</v>
      </c>
      <c r="M35" s="29">
        <v>18.181297848809098</v>
      </c>
      <c r="N35" s="29">
        <v>18.181297848809095</v>
      </c>
      <c r="O35" s="29">
        <v>18.181297848809095</v>
      </c>
      <c r="P35" s="29">
        <v>18.181297848809095</v>
      </c>
      <c r="Q35" s="29">
        <v>18.181297848809095</v>
      </c>
      <c r="R35" s="29">
        <v>18.181297848809098</v>
      </c>
      <c r="S35" s="29">
        <v>18.181297848809098</v>
      </c>
      <c r="T35" s="29">
        <v>18.181297848809098</v>
      </c>
      <c r="U35" s="29">
        <v>18.181297848809098</v>
      </c>
      <c r="V35" s="170">
        <v>18.181297848809095</v>
      </c>
      <c r="Y35" s="9"/>
      <c r="Z35" s="9"/>
      <c r="AA35" s="9"/>
      <c r="AB35" s="9"/>
      <c r="AC35" s="9"/>
      <c r="AD35" s="9"/>
      <c r="AE35" s="9"/>
      <c r="AF35" s="9"/>
    </row>
    <row r="36" spans="6:45" x14ac:dyDescent="0.25">
      <c r="F36" s="143">
        <v>1.0000023710407648</v>
      </c>
      <c r="G36">
        <v>52.05453</v>
      </c>
      <c r="H36" s="107">
        <v>36</v>
      </c>
      <c r="I36" s="163" t="s">
        <v>202</v>
      </c>
      <c r="J36" s="29">
        <f t="shared" si="1"/>
        <v>52.054653423412624</v>
      </c>
      <c r="K36" s="29">
        <v>43.879264039277089</v>
      </c>
      <c r="L36" s="29">
        <v>4.718348687370554</v>
      </c>
      <c r="M36" s="29">
        <v>1.3952033080760751</v>
      </c>
      <c r="N36" s="29">
        <v>4.6396443340931004</v>
      </c>
      <c r="O36" s="29">
        <v>0.98573983722379599</v>
      </c>
      <c r="P36" s="29">
        <v>5.5364845557708797</v>
      </c>
      <c r="Q36" s="29">
        <v>2.8418567381421971</v>
      </c>
      <c r="R36" s="29">
        <v>27.391731613424948</v>
      </c>
      <c r="S36" s="29">
        <v>8.0839858340811759</v>
      </c>
      <c r="T36" s="29">
        <v>72.352571550489827</v>
      </c>
      <c r="U36" s="29">
        <v>43.879264039277089</v>
      </c>
      <c r="V36" s="170">
        <v>52.054653423412624</v>
      </c>
      <c r="Y36" s="9"/>
      <c r="Z36" s="9"/>
      <c r="AA36" s="9"/>
      <c r="AB36" s="9"/>
      <c r="AC36" s="9"/>
      <c r="AD36" s="9"/>
      <c r="AE36" s="9"/>
      <c r="AF36" s="9"/>
    </row>
    <row r="37" spans="6:45" x14ac:dyDescent="0.25">
      <c r="F37" s="143">
        <v>0</v>
      </c>
      <c r="G37">
        <v>0</v>
      </c>
      <c r="H37" s="107">
        <v>37</v>
      </c>
      <c r="I37" s="163" t="s">
        <v>203</v>
      </c>
      <c r="J37" s="29">
        <f t="shared" si="1"/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170">
        <v>0</v>
      </c>
      <c r="Y37" s="9"/>
      <c r="Z37" s="9"/>
      <c r="AA37" s="9"/>
      <c r="AB37" s="9"/>
      <c r="AC37" s="9"/>
      <c r="AD37" s="9"/>
      <c r="AE37" s="9"/>
      <c r="AF37" s="9"/>
    </row>
    <row r="38" spans="6:45" x14ac:dyDescent="0.25">
      <c r="F38" s="143">
        <v>1.0000128075298138</v>
      </c>
      <c r="G38">
        <v>13.99288</v>
      </c>
      <c r="H38" s="107">
        <v>38</v>
      </c>
      <c r="I38" s="163" t="s">
        <v>205</v>
      </c>
      <c r="J38" s="29">
        <f t="shared" si="1"/>
        <v>13.993059214227781</v>
      </c>
      <c r="K38" s="29">
        <v>13.280290085532831</v>
      </c>
      <c r="L38" s="29">
        <v>0.69252261939049964</v>
      </c>
      <c r="M38" s="29">
        <v>0.21530275746116889</v>
      </c>
      <c r="N38" s="29">
        <v>0.90884580658735215</v>
      </c>
      <c r="O38" s="29">
        <v>0.24921902517254882</v>
      </c>
      <c r="P38" s="29">
        <v>1.2770334982922729</v>
      </c>
      <c r="Q38" s="29">
        <v>1.1095875442268806</v>
      </c>
      <c r="R38" s="29">
        <v>4.3217553503015962</v>
      </c>
      <c r="S38" s="29">
        <v>3.1916408765121536</v>
      </c>
      <c r="T38" s="29">
        <v>9.297639078264595</v>
      </c>
      <c r="U38" s="29">
        <v>13.280290085532831</v>
      </c>
      <c r="V38" s="170">
        <v>13.993059214227781</v>
      </c>
      <c r="Y38" s="9"/>
      <c r="Z38" s="9"/>
      <c r="AA38" s="9"/>
      <c r="AB38" s="9"/>
      <c r="AC38" s="9"/>
      <c r="AD38" s="9"/>
      <c r="AE38" s="9"/>
      <c r="AF38" s="9"/>
    </row>
    <row r="39" spans="6:45" x14ac:dyDescent="0.25">
      <c r="F39" s="143">
        <v>276.95527376050052</v>
      </c>
      <c r="G39">
        <v>0.40286</v>
      </c>
      <c r="H39">
        <v>39</v>
      </c>
      <c r="I39" s="163" t="s">
        <v>288</v>
      </c>
      <c r="J39" s="29">
        <f t="shared" si="1"/>
        <v>111.57420158715524</v>
      </c>
      <c r="K39" s="29">
        <v>111.57420158715524</v>
      </c>
      <c r="L39" s="29">
        <v>111.57420158715527</v>
      </c>
      <c r="M39" s="29">
        <v>111.57420158715524</v>
      </c>
      <c r="N39" s="29">
        <v>111.57420158715524</v>
      </c>
      <c r="O39" s="29">
        <v>111.57420158715524</v>
      </c>
      <c r="P39" s="29">
        <v>111.57420158715524</v>
      </c>
      <c r="Q39" s="29">
        <v>111.57420158715524</v>
      </c>
      <c r="R39" s="29">
        <v>111.57420158715524</v>
      </c>
      <c r="S39" s="29">
        <v>111.57420158715524</v>
      </c>
      <c r="T39" s="29">
        <v>111.57420158715524</v>
      </c>
      <c r="U39" s="29">
        <v>111.57420158715524</v>
      </c>
      <c r="V39" s="170">
        <v>111.57420158715524</v>
      </c>
      <c r="Y39" s="9"/>
      <c r="Z39" s="9"/>
      <c r="AA39" s="9"/>
      <c r="AB39" s="9"/>
      <c r="AC39" s="9"/>
      <c r="AD39" s="9"/>
      <c r="AE39" s="9"/>
      <c r="AF39" s="9"/>
    </row>
    <row r="40" spans="6:45" x14ac:dyDescent="0.25">
      <c r="F40" s="143">
        <v>205.3073633086222</v>
      </c>
      <c r="G40">
        <v>0.62368999999999997</v>
      </c>
      <c r="H40">
        <v>40</v>
      </c>
      <c r="I40" s="163" t="s">
        <v>289</v>
      </c>
      <c r="J40" s="29">
        <f t="shared" si="1"/>
        <v>128.04814942195458</v>
      </c>
      <c r="K40" s="29">
        <v>128.04814942195458</v>
      </c>
      <c r="L40" s="29">
        <v>128.04814942195458</v>
      </c>
      <c r="M40" s="29">
        <v>128.04814942195458</v>
      </c>
      <c r="N40" s="29">
        <v>128.04814942195458</v>
      </c>
      <c r="O40" s="29">
        <v>128.04814942195458</v>
      </c>
      <c r="P40" s="29">
        <v>128.04814942195458</v>
      </c>
      <c r="Q40" s="29">
        <v>128.04814942195458</v>
      </c>
      <c r="R40" s="29">
        <v>128.04814942195458</v>
      </c>
      <c r="S40" s="29">
        <v>128.04814942195458</v>
      </c>
      <c r="T40" s="29">
        <v>128.04814942195458</v>
      </c>
      <c r="U40" s="29">
        <v>128.04814942195458</v>
      </c>
      <c r="V40" s="170">
        <v>128.04814942195458</v>
      </c>
      <c r="Y40" s="9"/>
      <c r="Z40" s="9"/>
      <c r="AA40" s="9"/>
      <c r="AB40" s="9"/>
      <c r="AC40" s="9"/>
      <c r="AD40" s="9"/>
      <c r="AE40" s="9"/>
      <c r="AF40" s="9"/>
    </row>
    <row r="41" spans="6:45" x14ac:dyDescent="0.25">
      <c r="F41" s="143">
        <v>355.92579386492309</v>
      </c>
      <c r="G41">
        <v>2.0830000000000005E-2</v>
      </c>
      <c r="H41">
        <v>41</v>
      </c>
      <c r="I41" s="163" t="s">
        <v>290</v>
      </c>
      <c r="J41" s="29">
        <f t="shared" si="1"/>
        <v>7.4139342862063495</v>
      </c>
      <c r="K41" s="29">
        <v>7.4139342862063486</v>
      </c>
      <c r="L41" s="29">
        <v>7.4139342862063513</v>
      </c>
      <c r="M41" s="29">
        <v>7.4139342862063486</v>
      </c>
      <c r="N41" s="29">
        <v>7.4139342862063495</v>
      </c>
      <c r="O41" s="29">
        <v>7.4139342862063495</v>
      </c>
      <c r="P41" s="29">
        <v>7.4139342862063469</v>
      </c>
      <c r="Q41" s="29">
        <v>7.4139342862063486</v>
      </c>
      <c r="R41" s="29">
        <v>7.4139342862063486</v>
      </c>
      <c r="S41" s="29">
        <v>7.4139342862063486</v>
      </c>
      <c r="T41" s="29">
        <v>7.4139342862063486</v>
      </c>
      <c r="U41" s="29">
        <v>7.4139342862063486</v>
      </c>
      <c r="V41" s="170">
        <v>7.4139342862063495</v>
      </c>
      <c r="Y41" s="9"/>
      <c r="Z41" s="9"/>
      <c r="AA41" s="9"/>
      <c r="AB41" s="9"/>
      <c r="AC41" s="9"/>
      <c r="AD41" s="9"/>
      <c r="AE41" s="9"/>
      <c r="AF41" s="9"/>
    </row>
    <row r="42" spans="6:45" x14ac:dyDescent="0.25">
      <c r="F42" s="143">
        <v>1.0000181821487646</v>
      </c>
      <c r="G42">
        <v>-1.8332999999999999</v>
      </c>
      <c r="H42">
        <v>42</v>
      </c>
      <c r="I42" s="163" t="s">
        <v>294</v>
      </c>
      <c r="J42" s="29">
        <f t="shared" si="1"/>
        <v>-1.8333333333333302</v>
      </c>
      <c r="K42" s="29">
        <v>-1.8333333333333302</v>
      </c>
      <c r="L42" s="29">
        <v>-1.8333333333333306</v>
      </c>
      <c r="M42" s="29">
        <v>-1.8333333333333302</v>
      </c>
      <c r="N42" s="29">
        <v>-1.8333333333333304</v>
      </c>
      <c r="O42" s="29">
        <v>-1.8333333333333304</v>
      </c>
      <c r="P42" s="29">
        <v>-1.8333333333333299</v>
      </c>
      <c r="Q42" s="29">
        <v>-1.8333333333333299</v>
      </c>
      <c r="R42" s="29">
        <v>-1.8333333333333304</v>
      </c>
      <c r="S42" s="29">
        <v>-1.8333333333333304</v>
      </c>
      <c r="T42" s="29">
        <v>-1.8333333333333302</v>
      </c>
      <c r="U42" s="29">
        <v>-1.8333333333333302</v>
      </c>
      <c r="V42" s="170">
        <v>-1.8333333333333302</v>
      </c>
      <c r="Y42" s="9"/>
      <c r="Z42" s="9"/>
      <c r="AA42" s="9"/>
      <c r="AB42" s="9"/>
      <c r="AC42" s="9"/>
      <c r="AD42" s="9"/>
      <c r="AE42" s="9"/>
      <c r="AF42" s="9"/>
    </row>
    <row r="43" spans="6:45" ht="15.75" thickBot="1" x14ac:dyDescent="0.3">
      <c r="F43" s="147">
        <v>0.99999982459670289</v>
      </c>
      <c r="G43">
        <v>-203.27070000000001</v>
      </c>
      <c r="H43" s="121">
        <v>43</v>
      </c>
      <c r="I43" s="163" t="s">
        <v>295</v>
      </c>
      <c r="J43" s="29">
        <f t="shared" si="1"/>
        <v>-203.27066434564901</v>
      </c>
      <c r="K43" s="29">
        <v>-203.27066434564901</v>
      </c>
      <c r="L43" s="29">
        <v>-203.27066434564901</v>
      </c>
      <c r="M43" s="29">
        <v>-203.27066434564901</v>
      </c>
      <c r="N43" s="29">
        <v>-203.27066434564901</v>
      </c>
      <c r="O43" s="29">
        <v>-203.27066434564901</v>
      </c>
      <c r="P43" s="29">
        <v>-203.27066434564901</v>
      </c>
      <c r="Q43" s="29">
        <v>-203.27066434564901</v>
      </c>
      <c r="R43" s="29">
        <v>-203.27066434564901</v>
      </c>
      <c r="S43" s="29">
        <v>-203.27066434564901</v>
      </c>
      <c r="T43" s="29">
        <v>-203.27066434564901</v>
      </c>
      <c r="U43" s="29">
        <v>-203.27066434564901</v>
      </c>
      <c r="V43" s="170">
        <v>-203.27066434564901</v>
      </c>
      <c r="Y43" s="9"/>
      <c r="Z43" s="9"/>
      <c r="AA43" s="9"/>
      <c r="AB43" s="9"/>
      <c r="AC43" s="9"/>
      <c r="AD43" s="9"/>
      <c r="AE43" s="9"/>
      <c r="AF43" s="9"/>
      <c r="AQ43" s="77"/>
      <c r="AS43" s="77"/>
    </row>
    <row r="44" spans="6:45" ht="15.75" thickBot="1" x14ac:dyDescent="0.3">
      <c r="I44" s="173"/>
      <c r="J44" s="174">
        <f>SUM(J7:J43)</f>
        <v>4988.2554184809505</v>
      </c>
      <c r="K44" s="174">
        <f>SUM(K7:K43)</f>
        <v>4938.5789063334169</v>
      </c>
      <c r="L44" s="174">
        <f t="shared" ref="L44:T44" si="3">SUM(L7:L43)</f>
        <v>3053.9672169598525</v>
      </c>
      <c r="M44" s="174">
        <f t="shared" si="3"/>
        <v>3132.5042466962441</v>
      </c>
      <c r="N44" s="174">
        <f t="shared" si="3"/>
        <v>3355.881187228073</v>
      </c>
      <c r="O44" s="174">
        <f t="shared" si="3"/>
        <v>3500.665303406181</v>
      </c>
      <c r="P44" s="174">
        <f t="shared" si="3"/>
        <v>3595.175873650679</v>
      </c>
      <c r="Q44" s="174">
        <f t="shared" si="3"/>
        <v>3860.2242829384013</v>
      </c>
      <c r="R44" s="174">
        <f t="shared" si="3"/>
        <v>3899.5373184543855</v>
      </c>
      <c r="S44" s="174">
        <v>4121.9841734311121</v>
      </c>
      <c r="T44" s="174">
        <f t="shared" si="3"/>
        <v>4888.7721915777038</v>
      </c>
      <c r="U44" s="174">
        <f>SUM(U7:U43)</f>
        <v>4938.5789063334169</v>
      </c>
      <c r="V44" s="175">
        <v>4988.2554184809505</v>
      </c>
      <c r="Y44" s="9"/>
      <c r="Z44" s="9"/>
      <c r="AA44" s="9"/>
      <c r="AB44" s="9"/>
      <c r="AC44" s="9"/>
      <c r="AD44" s="9"/>
      <c r="AE44" s="9"/>
      <c r="AF44" s="9"/>
    </row>
    <row r="45" spans="6:45" x14ac:dyDescent="0.25"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Y45" s="9"/>
      <c r="Z45" s="9"/>
      <c r="AA45" s="9"/>
      <c r="AB45" s="9"/>
      <c r="AC45" s="9"/>
      <c r="AD45" s="9"/>
      <c r="AE45" s="9"/>
      <c r="AF45" s="9"/>
    </row>
    <row r="46" spans="6:45" x14ac:dyDescent="0.25"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Y46" s="9"/>
      <c r="Z46" s="9"/>
      <c r="AA46" s="9"/>
      <c r="AB46" s="9"/>
      <c r="AC46" s="9"/>
      <c r="AD46" s="9"/>
      <c r="AE46" s="9"/>
      <c r="AF46" s="9"/>
    </row>
    <row r="47" spans="6:45" ht="15.75" thickBot="1" x14ac:dyDescent="0.3"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Y47" s="9"/>
      <c r="Z47" s="9"/>
      <c r="AA47" s="9"/>
      <c r="AB47" s="9"/>
      <c r="AC47" s="9"/>
      <c r="AD47" s="9"/>
      <c r="AE47" s="9"/>
      <c r="AF47" s="9"/>
      <c r="AP47" s="110"/>
      <c r="AQ47" s="77"/>
    </row>
    <row r="48" spans="6:45" ht="109.5" customHeight="1" thickBot="1" x14ac:dyDescent="0.4">
      <c r="G48" s="270" t="s">
        <v>686</v>
      </c>
      <c r="H48" s="271"/>
      <c r="I48" s="272"/>
      <c r="J48" s="266" t="s">
        <v>692</v>
      </c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8"/>
      <c r="Y48" s="9"/>
      <c r="Z48" s="9"/>
      <c r="AA48" s="9"/>
      <c r="AB48" s="9"/>
      <c r="AC48" s="9"/>
      <c r="AD48" s="9"/>
      <c r="AE48" s="9"/>
      <c r="AF48" s="9"/>
    </row>
    <row r="49" spans="6:32" ht="65.25" customHeight="1" thickBot="1" x14ac:dyDescent="0.35">
      <c r="G49" s="177" t="s">
        <v>320</v>
      </c>
      <c r="H49" s="177" t="s">
        <v>319</v>
      </c>
      <c r="I49" s="180" t="s">
        <v>274</v>
      </c>
      <c r="J49" s="206" t="s">
        <v>687</v>
      </c>
      <c r="K49" t="str">
        <f t="shared" ref="K49:V49" si="4">K6</f>
        <v>SK MATLAB</v>
      </c>
      <c r="L49" t="str">
        <f t="shared" si="4"/>
        <v>BC MATLAB</v>
      </c>
      <c r="M49" t="str">
        <f t="shared" si="4"/>
        <v>PE MATLAB</v>
      </c>
      <c r="N49" t="str">
        <f t="shared" ref="N49:R49" si="5">N6</f>
        <v>ON MATLAB</v>
      </c>
      <c r="O49" t="str">
        <f t="shared" si="5"/>
        <v>QC MATLAB</v>
      </c>
      <c r="P49" t="str">
        <f t="shared" si="5"/>
        <v>NL MATLAB</v>
      </c>
      <c r="Q49" t="str">
        <f t="shared" si="5"/>
        <v>MB MATLAB</v>
      </c>
      <c r="R49" t="str">
        <f t="shared" si="5"/>
        <v>NB MATLAB</v>
      </c>
      <c r="S49" t="str">
        <f t="shared" si="4"/>
        <v>YU MATLAB</v>
      </c>
      <c r="T49" t="str">
        <f t="shared" si="4"/>
        <v>NS MATLAB</v>
      </c>
      <c r="U49" t="str">
        <f t="shared" si="4"/>
        <v>SK MATLAB</v>
      </c>
      <c r="V49" s="140" t="str">
        <f t="shared" si="4"/>
        <v>AB MATLAB</v>
      </c>
      <c r="Y49" s="9"/>
      <c r="Z49" s="9"/>
      <c r="AA49" s="9"/>
      <c r="AB49" s="9"/>
      <c r="AC49" s="9"/>
      <c r="AD49" s="9"/>
      <c r="AE49" s="9"/>
      <c r="AF49" s="9"/>
    </row>
    <row r="50" spans="6:32" x14ac:dyDescent="0.25">
      <c r="F50" s="156" t="s">
        <v>282</v>
      </c>
      <c r="G50" s="202">
        <f>(J7+J9)/(J7+J9+J10+J11+J12+J15)*100</f>
        <v>74.076991860558778</v>
      </c>
      <c r="H50" s="203">
        <f>(J8+J13)/(J8+J13+J14+J16+J18+J19+J30+J31+J32+J36+J37+J38)*100</f>
        <v>5.2366599676810878E-2</v>
      </c>
      <c r="I50" s="181" t="s">
        <v>282</v>
      </c>
      <c r="J50">
        <f>J7+J8+J9+J13</f>
        <v>1672.5372855917024</v>
      </c>
      <c r="K50">
        <f t="shared" ref="K50:V50" si="6">K7+K8+K9+K13</f>
        <v>1712.0069263344308</v>
      </c>
      <c r="L50">
        <f t="shared" si="6"/>
        <v>1292.9687448411896</v>
      </c>
      <c r="M50">
        <f t="shared" si="6"/>
        <v>1345.1916208721077</v>
      </c>
      <c r="N50">
        <f t="shared" ref="N50:R50" si="7">N7+N8+N9+N13</f>
        <v>1429.4068741663498</v>
      </c>
      <c r="O50">
        <f t="shared" si="7"/>
        <v>1647.2446392897839</v>
      </c>
      <c r="P50">
        <f t="shared" si="7"/>
        <v>1649.0635674811645</v>
      </c>
      <c r="Q50">
        <f t="shared" si="7"/>
        <v>1890.6977263673368</v>
      </c>
      <c r="R50">
        <f t="shared" si="7"/>
        <v>1375.9512266974614</v>
      </c>
      <c r="S50">
        <f t="shared" si="6"/>
        <v>1950.8469750546994</v>
      </c>
      <c r="T50">
        <f t="shared" si="6"/>
        <v>1232.7708965248141</v>
      </c>
      <c r="U50">
        <f t="shared" si="6"/>
        <v>1712.0069263344308</v>
      </c>
      <c r="V50" s="140">
        <f t="shared" si="6"/>
        <v>1672.5372855917024</v>
      </c>
      <c r="Y50" s="9"/>
      <c r="Z50" s="9"/>
      <c r="AA50" s="9"/>
      <c r="AB50" s="9"/>
      <c r="AC50" s="9"/>
      <c r="AD50" s="9"/>
      <c r="AE50" s="9"/>
      <c r="AF50" s="9"/>
    </row>
    <row r="51" spans="6:32" x14ac:dyDescent="0.25">
      <c r="F51" s="156" t="s">
        <v>283</v>
      </c>
      <c r="G51" s="202">
        <f>(J10+J11+J12+J15)/(J7+J9+J10+J11+J12+J15)*100</f>
        <v>25.92300813944123</v>
      </c>
      <c r="H51" s="203">
        <f>J14/(J8+J13+J14+J16+J18+J19+J30+J31+J32+J36+J37+J38)*100</f>
        <v>2.1057363774977089</v>
      </c>
      <c r="I51" s="182" t="s">
        <v>283</v>
      </c>
      <c r="J51">
        <f>J10+J11+J12+J14+J15</f>
        <v>616.45971512332005</v>
      </c>
      <c r="K51">
        <f t="shared" ref="K51:V51" si="8">K10+K11+K12+K14+K15</f>
        <v>668.29800022428719</v>
      </c>
      <c r="L51">
        <f t="shared" si="8"/>
        <v>407.93849596539877</v>
      </c>
      <c r="M51">
        <f t="shared" si="8"/>
        <v>514.75987799537029</v>
      </c>
      <c r="N51">
        <f t="shared" si="8"/>
        <v>566.8116890788516</v>
      </c>
      <c r="O51">
        <f t="shared" si="8"/>
        <v>587.0969665813559</v>
      </c>
      <c r="P51">
        <f t="shared" si="8"/>
        <v>557.03563864642786</v>
      </c>
      <c r="Q51">
        <f t="shared" si="8"/>
        <v>636.11559461635613</v>
      </c>
      <c r="R51">
        <f t="shared" si="8"/>
        <v>609.07678308435186</v>
      </c>
      <c r="S51">
        <f t="shared" si="8"/>
        <v>663.88388986292159</v>
      </c>
      <c r="T51">
        <f t="shared" si="8"/>
        <v>702.5286163654846</v>
      </c>
      <c r="U51">
        <f t="shared" si="8"/>
        <v>668.29800022428719</v>
      </c>
      <c r="V51" s="140">
        <f t="shared" si="8"/>
        <v>616.45971512332005</v>
      </c>
      <c r="Y51" s="9"/>
      <c r="Z51" s="9"/>
      <c r="AA51" s="9"/>
      <c r="AB51" s="9"/>
      <c r="AC51" s="9"/>
      <c r="AD51" s="9"/>
      <c r="AE51" s="9"/>
      <c r="AF51" s="9"/>
    </row>
    <row r="52" spans="6:32" x14ac:dyDescent="0.25">
      <c r="F52" s="156" t="s">
        <v>287</v>
      </c>
      <c r="G52" s="202"/>
      <c r="H52" s="203">
        <f>J16/(J8+J13+J14+J16+J18+J19+J30+J31+J32+J36+J37+J38)*100</f>
        <v>73.618793172212548</v>
      </c>
      <c r="I52" s="182" t="s">
        <v>287</v>
      </c>
      <c r="J52">
        <f t="shared" ref="J52:V52" si="9">J16</f>
        <v>1098.9719069714765</v>
      </c>
      <c r="K52">
        <f t="shared" si="9"/>
        <v>994.87181578360151</v>
      </c>
      <c r="L52">
        <f t="shared" si="9"/>
        <v>85.86879273116358</v>
      </c>
      <c r="M52">
        <f t="shared" si="9"/>
        <v>25.419097848260613</v>
      </c>
      <c r="N52">
        <f t="shared" si="9"/>
        <v>90.963692299877806</v>
      </c>
      <c r="O52">
        <f t="shared" si="9"/>
        <v>20.806198238744877</v>
      </c>
      <c r="P52">
        <f t="shared" si="9"/>
        <v>113.14689042205895</v>
      </c>
      <c r="Q52">
        <f t="shared" si="9"/>
        <v>71.534393944577658</v>
      </c>
      <c r="R52">
        <f t="shared" si="9"/>
        <v>507.59805703156974</v>
      </c>
      <c r="S52">
        <f t="shared" si="9"/>
        <v>202.76108283617262</v>
      </c>
      <c r="T52">
        <f t="shared" si="9"/>
        <v>1287.0129910537044</v>
      </c>
      <c r="U52">
        <f t="shared" si="9"/>
        <v>994.87181578360151</v>
      </c>
      <c r="V52" s="140">
        <f t="shared" si="9"/>
        <v>1098.9719069714765</v>
      </c>
      <c r="Y52" s="9"/>
      <c r="Z52" s="9"/>
      <c r="AA52" s="9"/>
      <c r="AB52" s="9"/>
      <c r="AC52" s="9"/>
      <c r="AD52" s="9"/>
      <c r="AE52" s="9"/>
      <c r="AF52" s="9"/>
    </row>
    <row r="53" spans="6:32" x14ac:dyDescent="0.25">
      <c r="F53" s="156" t="s">
        <v>151</v>
      </c>
      <c r="G53" s="202"/>
      <c r="H53" s="203">
        <v>0</v>
      </c>
      <c r="I53" s="182" t="s">
        <v>151</v>
      </c>
      <c r="J53">
        <f>J35+SUM(J39:J41)</f>
        <v>265.21758314412523</v>
      </c>
      <c r="K53">
        <f t="shared" ref="K53:V53" si="10">K35+SUM(K39:K41)</f>
        <v>265.21758314412529</v>
      </c>
      <c r="L53">
        <f t="shared" si="10"/>
        <v>265.21758314412529</v>
      </c>
      <c r="M53">
        <f t="shared" si="10"/>
        <v>265.21758314412529</v>
      </c>
      <c r="N53">
        <f t="shared" si="10"/>
        <v>265.21758314412523</v>
      </c>
      <c r="O53">
        <f t="shared" si="10"/>
        <v>265.21758314412523</v>
      </c>
      <c r="P53">
        <f t="shared" si="10"/>
        <v>265.21758314412523</v>
      </c>
      <c r="Q53">
        <f t="shared" si="10"/>
        <v>265.21758314412523</v>
      </c>
      <c r="R53">
        <f t="shared" si="10"/>
        <v>265.21758314412529</v>
      </c>
      <c r="S53">
        <f t="shared" si="10"/>
        <v>265.21758314412529</v>
      </c>
      <c r="T53">
        <f t="shared" si="10"/>
        <v>265.21758314412529</v>
      </c>
      <c r="U53">
        <f t="shared" si="10"/>
        <v>265.21758314412529</v>
      </c>
      <c r="V53" s="140">
        <f t="shared" si="10"/>
        <v>265.21758314412523</v>
      </c>
      <c r="Y53" s="9"/>
      <c r="Z53" s="9"/>
      <c r="AA53" s="9"/>
      <c r="AB53" s="9"/>
      <c r="AC53" s="9"/>
      <c r="AD53" s="9"/>
      <c r="AE53" s="9"/>
      <c r="AF53" s="9"/>
    </row>
    <row r="54" spans="6:32" ht="18" x14ac:dyDescent="0.35">
      <c r="F54" s="156" t="s">
        <v>321</v>
      </c>
      <c r="G54" s="202"/>
      <c r="H54" s="203">
        <v>0</v>
      </c>
      <c r="I54" s="182" t="s">
        <v>286</v>
      </c>
      <c r="J54">
        <f t="shared" ref="J54:V54" si="11">J20</f>
        <v>577.00324085701698</v>
      </c>
      <c r="K54">
        <f t="shared" si="11"/>
        <v>577.00324085701698</v>
      </c>
      <c r="L54">
        <f t="shared" si="11"/>
        <v>577.00324085701698</v>
      </c>
      <c r="M54">
        <f t="shared" si="11"/>
        <v>577.00324085701698</v>
      </c>
      <c r="N54">
        <f t="shared" si="11"/>
        <v>577.00324085701698</v>
      </c>
      <c r="O54">
        <f t="shared" si="11"/>
        <v>577.00324085701698</v>
      </c>
      <c r="P54">
        <f t="shared" si="11"/>
        <v>577.00324085701698</v>
      </c>
      <c r="Q54">
        <f t="shared" si="11"/>
        <v>577.00324085701698</v>
      </c>
      <c r="R54">
        <f t="shared" si="11"/>
        <v>577.00324085701709</v>
      </c>
      <c r="S54">
        <f t="shared" si="11"/>
        <v>577.00324085701709</v>
      </c>
      <c r="T54">
        <f t="shared" si="11"/>
        <v>577.00324085701698</v>
      </c>
      <c r="U54">
        <f t="shared" si="11"/>
        <v>577.00324085701698</v>
      </c>
      <c r="V54" s="140">
        <f t="shared" si="11"/>
        <v>577.00324085701698</v>
      </c>
      <c r="Y54" s="9"/>
      <c r="Z54" s="9"/>
      <c r="AA54" s="9"/>
      <c r="AB54" s="9"/>
      <c r="AC54" s="9"/>
      <c r="AD54" s="9"/>
      <c r="AE54" s="9"/>
      <c r="AF54" s="9"/>
    </row>
    <row r="55" spans="6:32" x14ac:dyDescent="0.25">
      <c r="F55" s="156"/>
      <c r="G55" s="202"/>
      <c r="H55" s="203">
        <v>0</v>
      </c>
      <c r="I55" s="182"/>
      <c r="V55" s="140"/>
      <c r="Y55" s="9"/>
      <c r="Z55" s="9"/>
      <c r="AA55" s="9"/>
      <c r="AB55" s="9"/>
      <c r="AC55" s="9"/>
      <c r="AD55" s="9"/>
      <c r="AE55" s="9"/>
      <c r="AF55" s="9"/>
    </row>
    <row r="56" spans="6:32" x14ac:dyDescent="0.25">
      <c r="F56" s="156" t="s">
        <v>285</v>
      </c>
      <c r="G56" s="202"/>
      <c r="H56" s="203">
        <f>(J18+J19+J30+J31+J32+J36+J37+J38)/(J8+J13+J14+J16+J18+J19+J30+J31+J32+J36+J37+J38)*100</f>
        <v>24.223103850612922</v>
      </c>
      <c r="I56" s="182" t="s">
        <v>285</v>
      </c>
      <c r="J56">
        <f t="shared" ref="J56:V56" si="12">SUM(J21:J25)+SUM(J26:J32)+SUM(J36:J38)+SUM(J17:J19)</f>
        <v>520.18551404120535</v>
      </c>
      <c r="K56">
        <f t="shared" si="12"/>
        <v>483.30116723785198</v>
      </c>
      <c r="L56">
        <f t="shared" si="12"/>
        <v>187.09018666885581</v>
      </c>
      <c r="M56">
        <f t="shared" si="12"/>
        <v>167.03265322725991</v>
      </c>
      <c r="N56">
        <f t="shared" si="12"/>
        <v>188.59793492974828</v>
      </c>
      <c r="O56">
        <f t="shared" si="12"/>
        <v>165.41650254305085</v>
      </c>
      <c r="P56">
        <f t="shared" si="12"/>
        <v>195.82878034778176</v>
      </c>
      <c r="Q56">
        <f t="shared" si="12"/>
        <v>181.775571256885</v>
      </c>
      <c r="R56">
        <f t="shared" si="12"/>
        <v>326.81025488775674</v>
      </c>
      <c r="S56">
        <f t="shared" si="12"/>
        <v>224.3912289240711</v>
      </c>
      <c r="T56">
        <f t="shared" si="12"/>
        <v>586.35869088045524</v>
      </c>
      <c r="U56">
        <f t="shared" si="12"/>
        <v>483.30116723785198</v>
      </c>
      <c r="V56" s="140">
        <f t="shared" si="12"/>
        <v>520.18551404120535</v>
      </c>
      <c r="Y56" s="9"/>
      <c r="Z56" s="9"/>
      <c r="AA56" s="9"/>
      <c r="AB56" s="9"/>
      <c r="AC56" s="9"/>
      <c r="AD56" s="9"/>
      <c r="AE56" s="9"/>
      <c r="AF56" s="9"/>
    </row>
    <row r="57" spans="6:32" ht="18.75" thickBot="1" x14ac:dyDescent="0.4">
      <c r="F57" s="130" t="s">
        <v>322</v>
      </c>
      <c r="G57" s="204">
        <f>SUM(G50:G54)</f>
        <v>100</v>
      </c>
      <c r="H57" s="205">
        <f>SUM(H50:H56)</f>
        <v>100</v>
      </c>
      <c r="I57" s="182" t="s">
        <v>299</v>
      </c>
      <c r="J57">
        <f t="shared" ref="J57:V57" si="13">SUM(J42:J43)</f>
        <v>-205.10399767898235</v>
      </c>
      <c r="K57">
        <f t="shared" si="13"/>
        <v>-205.10399767898235</v>
      </c>
      <c r="L57">
        <f t="shared" si="13"/>
        <v>-205.10399767898235</v>
      </c>
      <c r="M57">
        <f t="shared" si="13"/>
        <v>-205.10399767898235</v>
      </c>
      <c r="N57">
        <f t="shared" si="13"/>
        <v>-205.10399767898235</v>
      </c>
      <c r="O57">
        <f t="shared" si="13"/>
        <v>-205.10399767898235</v>
      </c>
      <c r="P57">
        <f t="shared" si="13"/>
        <v>-205.10399767898235</v>
      </c>
      <c r="Q57">
        <f t="shared" si="13"/>
        <v>-205.10399767898235</v>
      </c>
      <c r="R57">
        <f t="shared" si="13"/>
        <v>-205.10399767898235</v>
      </c>
      <c r="S57">
        <f t="shared" si="13"/>
        <v>-205.10399767898235</v>
      </c>
      <c r="T57">
        <f t="shared" si="13"/>
        <v>-205.10399767898235</v>
      </c>
      <c r="U57">
        <f t="shared" si="13"/>
        <v>-205.10399767898235</v>
      </c>
      <c r="V57" s="140">
        <f t="shared" si="13"/>
        <v>-205.10399767898235</v>
      </c>
      <c r="Y57" s="9"/>
      <c r="Z57" s="9"/>
      <c r="AA57" s="9"/>
      <c r="AB57" s="9"/>
      <c r="AC57" s="9"/>
      <c r="AD57" s="9"/>
      <c r="AE57" s="9"/>
      <c r="AF57" s="9"/>
    </row>
    <row r="58" spans="6:32" x14ac:dyDescent="0.25">
      <c r="F58" s="130"/>
      <c r="I58" s="182"/>
      <c r="V58" s="140"/>
      <c r="Y58" s="9"/>
      <c r="Z58" s="9"/>
      <c r="AA58" s="9"/>
      <c r="AB58" s="9"/>
      <c r="AC58" s="9"/>
      <c r="AD58" s="9"/>
      <c r="AE58" s="9"/>
      <c r="AF58" s="9"/>
    </row>
    <row r="59" spans="6:32" x14ac:dyDescent="0.25">
      <c r="F59" s="130" t="s">
        <v>194</v>
      </c>
      <c r="I59" s="182" t="s">
        <v>194</v>
      </c>
      <c r="J59">
        <f t="shared" ref="J59:V59" si="14">SUM(J33:J34)</f>
        <v>442.98417043108617</v>
      </c>
      <c r="K59">
        <f t="shared" si="14"/>
        <v>442.98417043108617</v>
      </c>
      <c r="L59">
        <f t="shared" si="14"/>
        <v>442.98417043108623</v>
      </c>
      <c r="M59">
        <f t="shared" si="14"/>
        <v>442.98417043108617</v>
      </c>
      <c r="N59">
        <f t="shared" si="14"/>
        <v>442.98417043108623</v>
      </c>
      <c r="O59">
        <f t="shared" si="14"/>
        <v>442.98417043108623</v>
      </c>
      <c r="P59">
        <f t="shared" si="14"/>
        <v>442.98417043108623</v>
      </c>
      <c r="Q59">
        <f t="shared" si="14"/>
        <v>442.98417043108623</v>
      </c>
      <c r="R59">
        <f t="shared" si="14"/>
        <v>442.98417043108611</v>
      </c>
      <c r="S59">
        <f t="shared" si="14"/>
        <v>442.98417043108611</v>
      </c>
      <c r="T59">
        <f t="shared" si="14"/>
        <v>442.98417043108617</v>
      </c>
      <c r="U59">
        <f t="shared" si="14"/>
        <v>442.98417043108617</v>
      </c>
      <c r="V59" s="140">
        <f t="shared" si="14"/>
        <v>442.98417043108617</v>
      </c>
      <c r="Y59" s="9"/>
      <c r="Z59" s="9"/>
      <c r="AA59" s="9"/>
      <c r="AB59" s="9"/>
      <c r="AC59" s="9"/>
      <c r="AD59" s="9"/>
      <c r="AE59" s="9"/>
      <c r="AF59" s="9"/>
    </row>
    <row r="60" spans="6:32" x14ac:dyDescent="0.25">
      <c r="F60" s="130" t="s">
        <v>296</v>
      </c>
      <c r="I60" s="183" t="s">
        <v>296</v>
      </c>
      <c r="J60" s="117">
        <f t="shared" ref="J60:V60" si="15">J44</f>
        <v>4988.2554184809505</v>
      </c>
      <c r="K60" s="117">
        <f t="shared" si="15"/>
        <v>4938.5789063334169</v>
      </c>
      <c r="L60" s="117">
        <f t="shared" si="15"/>
        <v>3053.9672169598525</v>
      </c>
      <c r="M60" s="117">
        <f t="shared" si="15"/>
        <v>3132.5042466962441</v>
      </c>
      <c r="N60" s="117">
        <f t="shared" si="15"/>
        <v>3355.881187228073</v>
      </c>
      <c r="O60" s="117">
        <f t="shared" si="15"/>
        <v>3500.665303406181</v>
      </c>
      <c r="P60" s="117">
        <f t="shared" si="15"/>
        <v>3595.175873650679</v>
      </c>
      <c r="Q60" s="117">
        <f t="shared" si="15"/>
        <v>3860.2242829384013</v>
      </c>
      <c r="R60" s="117">
        <f t="shared" si="15"/>
        <v>3899.5373184543855</v>
      </c>
      <c r="S60" s="117">
        <f t="shared" si="15"/>
        <v>4121.9841734311121</v>
      </c>
      <c r="T60" s="117">
        <f t="shared" si="15"/>
        <v>4888.7721915777038</v>
      </c>
      <c r="U60" s="117">
        <f t="shared" si="15"/>
        <v>4938.5789063334169</v>
      </c>
      <c r="V60" s="154">
        <f t="shared" si="15"/>
        <v>4988.2554184809505</v>
      </c>
      <c r="Y60" s="9"/>
      <c r="Z60" s="9"/>
      <c r="AA60" s="9"/>
      <c r="AB60" s="9"/>
      <c r="AC60" s="9"/>
      <c r="AD60" s="9"/>
      <c r="AE60" s="9"/>
      <c r="AF60" s="9"/>
    </row>
    <row r="61" spans="6:32" x14ac:dyDescent="0.25">
      <c r="F61" s="130" t="s">
        <v>332</v>
      </c>
      <c r="I61" s="182"/>
      <c r="V61" s="140"/>
      <c r="Y61" s="9"/>
      <c r="Z61" s="9"/>
      <c r="AA61" s="9"/>
      <c r="AB61" s="9"/>
      <c r="AC61" s="9"/>
      <c r="AD61" s="9"/>
      <c r="AE61" s="9"/>
      <c r="AF61" s="9"/>
    </row>
    <row r="62" spans="6:32" x14ac:dyDescent="0.25">
      <c r="I62" s="182"/>
      <c r="V62" s="140"/>
      <c r="Y62" s="9"/>
      <c r="Z62" s="9"/>
      <c r="AA62" s="9"/>
      <c r="AB62" s="9"/>
      <c r="AC62" s="9"/>
      <c r="AD62" s="9"/>
      <c r="AE62" s="9"/>
      <c r="AF62" s="9"/>
    </row>
    <row r="63" spans="6:32" x14ac:dyDescent="0.25">
      <c r="I63" s="182"/>
      <c r="J63" t="str">
        <f>IF(ROUND(SUM(J50:J59),6)=ROUND(SUM(J7:J43),6),"EQUAL","FAIL")</f>
        <v>EQUAL</v>
      </c>
      <c r="K63" t="str">
        <f t="shared" ref="K63:V63" si="16">IF(ROUND(SUM(K50:K59),6)=ROUND(SUM(K7:K43),6),"EQUAL","FAIL")</f>
        <v>EQUAL</v>
      </c>
      <c r="L63" t="str">
        <f t="shared" si="16"/>
        <v>EQUAL</v>
      </c>
      <c r="M63" t="str">
        <f t="shared" si="16"/>
        <v>EQUAL</v>
      </c>
      <c r="N63" t="str">
        <f t="shared" si="16"/>
        <v>EQUAL</v>
      </c>
      <c r="O63" t="str">
        <f t="shared" si="16"/>
        <v>EQUAL</v>
      </c>
      <c r="P63" t="str">
        <f t="shared" si="16"/>
        <v>EQUAL</v>
      </c>
      <c r="Q63" t="str">
        <f t="shared" si="16"/>
        <v>EQUAL</v>
      </c>
      <c r="R63" t="str">
        <f t="shared" si="16"/>
        <v>EQUAL</v>
      </c>
      <c r="S63" t="str">
        <f t="shared" si="16"/>
        <v>EQUAL</v>
      </c>
      <c r="T63" t="str">
        <f t="shared" si="16"/>
        <v>EQUAL</v>
      </c>
      <c r="U63" t="str">
        <f t="shared" si="16"/>
        <v>EQUAL</v>
      </c>
      <c r="V63" s="140" t="str">
        <f t="shared" si="16"/>
        <v>EQUAL</v>
      </c>
      <c r="Y63" s="9"/>
      <c r="Z63" s="9"/>
      <c r="AA63" s="9"/>
      <c r="AB63" s="9"/>
      <c r="AC63" s="9"/>
      <c r="AD63" s="9"/>
      <c r="AE63" s="9"/>
      <c r="AF63" s="9"/>
    </row>
    <row r="64" spans="6:32" x14ac:dyDescent="0.25">
      <c r="I64" s="182"/>
      <c r="V64" s="140"/>
      <c r="Y64" s="9"/>
      <c r="Z64" s="9"/>
      <c r="AA64" s="9"/>
      <c r="AB64" s="9"/>
      <c r="AC64" s="9"/>
      <c r="AD64" s="9"/>
      <c r="AE64" s="9"/>
      <c r="AF64" s="9"/>
    </row>
    <row r="65" spans="7:33" ht="15.75" thickBot="1" x14ac:dyDescent="0.3">
      <c r="I65" s="182"/>
      <c r="V65" s="140"/>
      <c r="Y65" s="9"/>
      <c r="Z65" s="9"/>
      <c r="AA65" s="9"/>
      <c r="AB65" s="9"/>
      <c r="AC65" s="9"/>
      <c r="AD65" s="9"/>
      <c r="AE65" s="9"/>
      <c r="AF65" s="9"/>
    </row>
    <row r="66" spans="7:33" x14ac:dyDescent="0.25">
      <c r="H66" s="207">
        <f>(J30+J31+J32)/(J8+J13+J14+J16+J18+J19+J30+J31+J32+J36+J37+J38)*100</f>
        <v>19.488972617216017</v>
      </c>
      <c r="I66" s="182" t="s">
        <v>275</v>
      </c>
      <c r="J66">
        <f t="shared" ref="J66:V66" si="17">SUM(J30:J32)</f>
        <v>290.9288848562781</v>
      </c>
      <c r="K66">
        <f t="shared" si="17"/>
        <v>263.37059576331831</v>
      </c>
      <c r="L66">
        <f t="shared" si="17"/>
        <v>22.731991003188369</v>
      </c>
      <c r="M66">
        <f t="shared" si="17"/>
        <v>6.7290973367122993</v>
      </c>
      <c r="N66">
        <f t="shared" si="17"/>
        <v>24.080690469430891</v>
      </c>
      <c r="O66">
        <f t="shared" si="17"/>
        <v>5.5078978200748701</v>
      </c>
      <c r="P66">
        <f t="shared" si="17"/>
        <v>29.953188145137911</v>
      </c>
      <c r="Q66">
        <f t="shared" si="17"/>
        <v>18.937092505083211</v>
      </c>
      <c r="R66">
        <f t="shared" si="17"/>
        <v>134.37544681696198</v>
      </c>
      <c r="S66">
        <f t="shared" si="17"/>
        <v>53.676578755894624</v>
      </c>
      <c r="T66">
        <f t="shared" si="17"/>
        <v>340.70856515450851</v>
      </c>
      <c r="U66">
        <f t="shared" si="17"/>
        <v>263.37059576331831</v>
      </c>
      <c r="V66" s="140">
        <f t="shared" si="17"/>
        <v>290.9288848562781</v>
      </c>
      <c r="Y66" s="9"/>
      <c r="Z66" s="9"/>
      <c r="AA66" s="9"/>
      <c r="AB66" s="9"/>
      <c r="AC66" s="9"/>
      <c r="AD66" s="9"/>
      <c r="AE66" s="9"/>
      <c r="AF66" s="9"/>
    </row>
    <row r="67" spans="7:33" x14ac:dyDescent="0.25">
      <c r="G67" s="130"/>
      <c r="H67" s="202"/>
      <c r="I67" s="182" t="s">
        <v>145</v>
      </c>
      <c r="J67">
        <f t="shared" ref="J67:V67" si="18">SUM(J24:J25)</f>
        <v>137.23311012077474</v>
      </c>
      <c r="K67">
        <f t="shared" si="18"/>
        <v>137.23311012077474</v>
      </c>
      <c r="L67">
        <f t="shared" si="18"/>
        <v>137.23311012077474</v>
      </c>
      <c r="M67">
        <f t="shared" si="18"/>
        <v>137.23311012077474</v>
      </c>
      <c r="N67">
        <f t="shared" si="18"/>
        <v>137.23311012077474</v>
      </c>
      <c r="O67">
        <f t="shared" si="18"/>
        <v>137.23311012077474</v>
      </c>
      <c r="P67">
        <f t="shared" si="18"/>
        <v>137.23311012077474</v>
      </c>
      <c r="Q67">
        <f t="shared" si="18"/>
        <v>137.23311012077474</v>
      </c>
      <c r="R67">
        <f t="shared" si="18"/>
        <v>137.23311012077474</v>
      </c>
      <c r="S67">
        <f t="shared" si="18"/>
        <v>137.23311012077474</v>
      </c>
      <c r="T67">
        <f t="shared" si="18"/>
        <v>137.23311012077474</v>
      </c>
      <c r="U67">
        <f t="shared" si="18"/>
        <v>137.23311012077474</v>
      </c>
      <c r="V67" s="140">
        <f t="shared" si="18"/>
        <v>137.23311012077474</v>
      </c>
      <c r="Y67" s="9"/>
      <c r="Z67" s="9"/>
      <c r="AA67" s="9"/>
      <c r="AB67" s="9"/>
      <c r="AC67" s="9"/>
      <c r="AD67" s="9"/>
      <c r="AE67" s="9"/>
      <c r="AF67" s="9"/>
    </row>
    <row r="68" spans="7:33" x14ac:dyDescent="0.25">
      <c r="G68" s="130"/>
      <c r="H68" s="202">
        <f>J18+J19/(J8+J13+J14+J16+J18+J19+J30+J31+J32+J36+J37+J38)*100</f>
        <v>2.1648768789918256</v>
      </c>
      <c r="I68" s="182" t="s">
        <v>117</v>
      </c>
      <c r="J68">
        <f t="shared" ref="J68:V68" si="19">SUM(J17:J19)</f>
        <v>6.4966406546430608</v>
      </c>
      <c r="K68">
        <f t="shared" si="19"/>
        <v>6.058741457079984</v>
      </c>
      <c r="L68">
        <f t="shared" si="19"/>
        <v>2.2350484662626466</v>
      </c>
      <c r="M68">
        <f t="shared" si="19"/>
        <v>1.9807739323666533</v>
      </c>
      <c r="N68">
        <f t="shared" si="19"/>
        <v>2.2564784269932114</v>
      </c>
      <c r="O68">
        <f t="shared" si="19"/>
        <v>1.9613699679359062</v>
      </c>
      <c r="P68">
        <f t="shared" si="19"/>
        <v>2.3497982559369643</v>
      </c>
      <c r="Q68">
        <f t="shared" si="19"/>
        <v>2.1747585767889972</v>
      </c>
      <c r="R68">
        <f t="shared" si="19"/>
        <v>4.0090452144244511</v>
      </c>
      <c r="S68">
        <f t="shared" si="19"/>
        <v>2.7267475649394259</v>
      </c>
      <c r="T68">
        <f t="shared" si="19"/>
        <v>7.2876392045485892</v>
      </c>
      <c r="U68">
        <f t="shared" si="19"/>
        <v>6.058741457079984</v>
      </c>
      <c r="V68" s="140">
        <f t="shared" si="19"/>
        <v>6.4966406546430608</v>
      </c>
      <c r="Y68" s="9"/>
      <c r="Z68" s="9"/>
      <c r="AA68" s="9"/>
      <c r="AB68" s="9"/>
      <c r="AC68" s="9"/>
      <c r="AD68" s="9"/>
      <c r="AE68" s="9"/>
      <c r="AF68" s="9"/>
    </row>
    <row r="69" spans="7:33" x14ac:dyDescent="0.25">
      <c r="G69" s="130"/>
      <c r="H69" s="202"/>
      <c r="I69" s="182" t="s">
        <v>121</v>
      </c>
      <c r="J69">
        <f t="shared" ref="J69:V69" si="20">SUM(J21:J23)</f>
        <v>3.3122229604128841</v>
      </c>
      <c r="K69">
        <f t="shared" si="20"/>
        <v>3.3122229604128841</v>
      </c>
      <c r="L69">
        <f t="shared" si="20"/>
        <v>3.3122229604128841</v>
      </c>
      <c r="M69">
        <f t="shared" si="20"/>
        <v>3.3122229604128841</v>
      </c>
      <c r="N69">
        <f t="shared" si="20"/>
        <v>3.3122229604128841</v>
      </c>
      <c r="O69">
        <f t="shared" si="20"/>
        <v>3.3122229604128841</v>
      </c>
      <c r="P69">
        <f t="shared" si="20"/>
        <v>3.3122229604128841</v>
      </c>
      <c r="Q69">
        <f t="shared" si="20"/>
        <v>3.3122229604128841</v>
      </c>
      <c r="R69">
        <f t="shared" si="20"/>
        <v>3.3122229604128837</v>
      </c>
      <c r="S69">
        <f t="shared" si="20"/>
        <v>3.3122229604128837</v>
      </c>
      <c r="T69">
        <f t="shared" si="20"/>
        <v>3.3122229604128841</v>
      </c>
      <c r="U69">
        <f t="shared" si="20"/>
        <v>3.3122229604128841</v>
      </c>
      <c r="V69" s="140">
        <f t="shared" si="20"/>
        <v>3.3122229604128841</v>
      </c>
      <c r="Y69" s="9"/>
      <c r="Z69" s="9"/>
      <c r="AA69" s="9"/>
      <c r="AB69" s="9"/>
      <c r="AC69" s="9"/>
      <c r="AD69" s="9"/>
      <c r="AE69" s="9"/>
      <c r="AF69" s="9"/>
    </row>
    <row r="70" spans="7:33" x14ac:dyDescent="0.25">
      <c r="G70" s="130"/>
      <c r="H70" s="202"/>
      <c r="I70" s="182" t="s">
        <v>195</v>
      </c>
      <c r="J70">
        <f t="shared" ref="J70:V70" si="21">SUM(J26:J29)</f>
        <v>16.166942811456096</v>
      </c>
      <c r="K70">
        <f t="shared" si="21"/>
        <v>16.166942811456092</v>
      </c>
      <c r="L70">
        <f t="shared" si="21"/>
        <v>16.166942811456096</v>
      </c>
      <c r="M70">
        <f t="shared" si="21"/>
        <v>16.166942811456092</v>
      </c>
      <c r="N70">
        <f t="shared" si="21"/>
        <v>16.166942811456096</v>
      </c>
      <c r="O70">
        <f t="shared" si="21"/>
        <v>16.166942811456096</v>
      </c>
      <c r="P70">
        <f t="shared" si="21"/>
        <v>16.166942811456092</v>
      </c>
      <c r="Q70">
        <f t="shared" si="21"/>
        <v>16.166942811456096</v>
      </c>
      <c r="R70">
        <f t="shared" si="21"/>
        <v>16.166942811456092</v>
      </c>
      <c r="S70">
        <f t="shared" si="21"/>
        <v>16.166942811456092</v>
      </c>
      <c r="T70">
        <f t="shared" si="21"/>
        <v>16.166942811456092</v>
      </c>
      <c r="U70">
        <f t="shared" si="21"/>
        <v>16.166942811456092</v>
      </c>
      <c r="V70" s="140">
        <f t="shared" si="21"/>
        <v>16.166942811456096</v>
      </c>
      <c r="Y70" s="9"/>
      <c r="Z70" s="9"/>
      <c r="AA70" s="9"/>
      <c r="AB70" s="9"/>
      <c r="AC70" s="9"/>
      <c r="AD70" s="9"/>
      <c r="AE70" s="9"/>
      <c r="AF70" s="9"/>
    </row>
    <row r="71" spans="7:33" x14ac:dyDescent="0.25">
      <c r="G71" s="130"/>
      <c r="H71" s="202"/>
      <c r="I71" s="182"/>
      <c r="V71" s="140"/>
      <c r="Y71" s="9"/>
      <c r="Z71" s="9"/>
      <c r="AA71" s="9"/>
      <c r="AB71" s="9"/>
      <c r="AC71" s="9"/>
      <c r="AD71" s="9"/>
      <c r="AE71" s="9"/>
      <c r="AF71" s="9"/>
    </row>
    <row r="72" spans="7:33" x14ac:dyDescent="0.25">
      <c r="G72" s="130"/>
      <c r="H72" s="202">
        <f>J36/(J8+J13+J14+J16+J18+J19+J30+J31+J32+J36+J37+J38)*100</f>
        <v>3.4870780041958649</v>
      </c>
      <c r="I72" s="182" t="s">
        <v>300</v>
      </c>
      <c r="J72">
        <f t="shared" ref="J72:V72" si="22">J36</f>
        <v>52.054653423412624</v>
      </c>
      <c r="K72">
        <f t="shared" si="22"/>
        <v>43.879264039277089</v>
      </c>
      <c r="L72">
        <f t="shared" si="22"/>
        <v>4.718348687370554</v>
      </c>
      <c r="M72">
        <f t="shared" si="22"/>
        <v>1.3952033080760751</v>
      </c>
      <c r="N72">
        <f t="shared" si="22"/>
        <v>4.6396443340931004</v>
      </c>
      <c r="O72">
        <f t="shared" si="22"/>
        <v>0.98573983722379599</v>
      </c>
      <c r="P72">
        <f t="shared" si="22"/>
        <v>5.5364845557708797</v>
      </c>
      <c r="Q72">
        <f t="shared" si="22"/>
        <v>2.8418567381421971</v>
      </c>
      <c r="R72">
        <f t="shared" si="22"/>
        <v>27.391731613424948</v>
      </c>
      <c r="S72">
        <f t="shared" si="22"/>
        <v>8.0839858340811759</v>
      </c>
      <c r="T72">
        <f t="shared" si="22"/>
        <v>72.352571550489827</v>
      </c>
      <c r="U72">
        <f t="shared" si="22"/>
        <v>43.879264039277089</v>
      </c>
      <c r="V72" s="140">
        <f t="shared" si="22"/>
        <v>52.054653423412624</v>
      </c>
      <c r="Y72" s="9"/>
      <c r="Z72" s="9"/>
      <c r="AA72" s="9"/>
      <c r="AB72" s="9"/>
      <c r="AC72" s="9"/>
      <c r="AD72" s="9"/>
      <c r="AE72" s="9"/>
      <c r="AF72" s="9"/>
    </row>
    <row r="73" spans="7:33" x14ac:dyDescent="0.25">
      <c r="G73" s="130"/>
      <c r="H73" s="202">
        <v>0</v>
      </c>
      <c r="I73" s="182" t="s">
        <v>297</v>
      </c>
      <c r="J73">
        <f t="shared" ref="J73:V73" si="23">J37</f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0</v>
      </c>
      <c r="U73">
        <f t="shared" si="23"/>
        <v>0</v>
      </c>
      <c r="V73" s="140">
        <f t="shared" si="23"/>
        <v>0</v>
      </c>
      <c r="Y73" s="9"/>
      <c r="Z73" s="9"/>
      <c r="AA73" s="9"/>
      <c r="AB73" s="9"/>
      <c r="AC73" s="9"/>
      <c r="AD73" s="9"/>
      <c r="AE73" s="9"/>
      <c r="AF73" s="9"/>
    </row>
    <row r="74" spans="7:33" ht="15.75" thickBot="1" x14ac:dyDescent="0.3">
      <c r="G74" s="130"/>
      <c r="H74" s="208">
        <f>J38/(J8+J13+J14+J16+J18+J19+J30+J31+J32+J36+J37+J38)*100</f>
        <v>0.93737803996976532</v>
      </c>
      <c r="I74" s="182" t="s">
        <v>298</v>
      </c>
      <c r="J74">
        <f t="shared" ref="J74:V74" si="24">J38</f>
        <v>13.993059214227781</v>
      </c>
      <c r="K74">
        <f t="shared" si="24"/>
        <v>13.280290085532831</v>
      </c>
      <c r="L74">
        <f t="shared" si="24"/>
        <v>0.69252261939049964</v>
      </c>
      <c r="M74">
        <f t="shared" si="24"/>
        <v>0.21530275746116889</v>
      </c>
      <c r="N74">
        <f t="shared" si="24"/>
        <v>0.90884580658735215</v>
      </c>
      <c r="O74">
        <f t="shared" si="24"/>
        <v>0.24921902517254882</v>
      </c>
      <c r="P74">
        <f t="shared" si="24"/>
        <v>1.2770334982922729</v>
      </c>
      <c r="Q74">
        <f t="shared" si="24"/>
        <v>1.1095875442268806</v>
      </c>
      <c r="R74">
        <f t="shared" si="24"/>
        <v>4.3217553503015962</v>
      </c>
      <c r="S74">
        <f t="shared" si="24"/>
        <v>3.1916408765121536</v>
      </c>
      <c r="T74">
        <f t="shared" si="24"/>
        <v>9.297639078264595</v>
      </c>
      <c r="U74">
        <f t="shared" si="24"/>
        <v>13.280290085532831</v>
      </c>
      <c r="V74" s="140">
        <f t="shared" si="24"/>
        <v>13.993059214227781</v>
      </c>
      <c r="Y74" s="9"/>
      <c r="Z74" s="9"/>
      <c r="AA74" s="9"/>
      <c r="AB74" s="9"/>
      <c r="AC74" s="9"/>
      <c r="AD74" s="9"/>
      <c r="AE74" s="9"/>
      <c r="AF74" s="9"/>
    </row>
    <row r="75" spans="7:33" ht="15.75" thickBot="1" x14ac:dyDescent="0.3">
      <c r="G75" s="130"/>
      <c r="I75" s="184"/>
      <c r="J75" s="2">
        <f>SUM(J66:J74)</f>
        <v>520.18551404120524</v>
      </c>
      <c r="K75" s="2">
        <f t="shared" ref="K75:V75" si="25">SUM(K66:K74)</f>
        <v>483.30116723785193</v>
      </c>
      <c r="L75" s="2">
        <f t="shared" si="25"/>
        <v>187.09018666885581</v>
      </c>
      <c r="M75" s="2">
        <f t="shared" si="25"/>
        <v>167.03265322725991</v>
      </c>
      <c r="N75" s="2">
        <f t="shared" ref="N75:R75" si="26">SUM(N66:N74)</f>
        <v>188.59793492974828</v>
      </c>
      <c r="O75" s="2">
        <f t="shared" si="26"/>
        <v>165.41650254305085</v>
      </c>
      <c r="P75" s="2">
        <f t="shared" si="26"/>
        <v>195.82878034778176</v>
      </c>
      <c r="Q75" s="2">
        <f t="shared" si="26"/>
        <v>181.775571256885</v>
      </c>
      <c r="R75" s="2">
        <f t="shared" si="26"/>
        <v>326.81025488775668</v>
      </c>
      <c r="S75" s="2">
        <f t="shared" si="25"/>
        <v>224.3912289240711</v>
      </c>
      <c r="T75" s="2">
        <f t="shared" si="25"/>
        <v>586.35869088045536</v>
      </c>
      <c r="U75" s="2">
        <f t="shared" si="25"/>
        <v>483.30116723785193</v>
      </c>
      <c r="V75" s="152">
        <f t="shared" si="25"/>
        <v>520.18551404120524</v>
      </c>
      <c r="Y75" s="9"/>
      <c r="Z75" s="9"/>
      <c r="AA75" s="9"/>
      <c r="AB75" s="9"/>
      <c r="AC75" s="9"/>
      <c r="AD75" s="9"/>
      <c r="AE75" s="9"/>
      <c r="AF75" s="9"/>
    </row>
    <row r="76" spans="7:33" x14ac:dyDescent="0.25">
      <c r="G76" s="278" t="s">
        <v>589</v>
      </c>
      <c r="H76" s="279"/>
      <c r="I76" s="280"/>
      <c r="J76" s="130"/>
      <c r="V76" s="140"/>
      <c r="Y76" s="9"/>
      <c r="Z76" s="9"/>
      <c r="AA76" s="9"/>
      <c r="AB76" s="9"/>
      <c r="AC76" s="9"/>
      <c r="AD76" s="9"/>
      <c r="AE76" s="9"/>
      <c r="AF76" s="9"/>
    </row>
    <row r="77" spans="7:33" x14ac:dyDescent="0.25">
      <c r="G77" s="281"/>
      <c r="H77" s="279"/>
      <c r="I77" s="280"/>
      <c r="J77" s="130" t="str">
        <f t="shared" ref="J77:V77" si="27">IF(ROUND(SUM(J50:J55)+J57+J59+SUM(J66:J74),6)=ROUND(SUM(J7:J43),6),"EQUAL","FAIL")</f>
        <v>EQUAL</v>
      </c>
      <c r="K77" t="str">
        <f t="shared" si="27"/>
        <v>EQUAL</v>
      </c>
      <c r="L77" t="str">
        <f t="shared" si="27"/>
        <v>EQUAL</v>
      </c>
      <c r="M77" t="str">
        <f t="shared" si="27"/>
        <v>EQUAL</v>
      </c>
      <c r="N77" t="str">
        <f t="shared" si="27"/>
        <v>EQUAL</v>
      </c>
      <c r="O77" t="str">
        <f t="shared" si="27"/>
        <v>EQUAL</v>
      </c>
      <c r="P77" t="str">
        <f t="shared" si="27"/>
        <v>EQUAL</v>
      </c>
      <c r="Q77" t="str">
        <f t="shared" si="27"/>
        <v>EQUAL</v>
      </c>
      <c r="R77" t="str">
        <f t="shared" si="27"/>
        <v>EQUAL</v>
      </c>
      <c r="S77" t="str">
        <f t="shared" si="27"/>
        <v>EQUAL</v>
      </c>
      <c r="T77" t="str">
        <f t="shared" si="27"/>
        <v>EQUAL</v>
      </c>
      <c r="U77" t="str">
        <f t="shared" si="27"/>
        <v>EQUAL</v>
      </c>
      <c r="V77" s="140" t="str">
        <f t="shared" si="27"/>
        <v>EQUAL</v>
      </c>
      <c r="Y77" s="9"/>
      <c r="Z77" s="9"/>
      <c r="AA77" s="9"/>
      <c r="AB77" s="9"/>
      <c r="AC77" s="9"/>
      <c r="AD77" s="9"/>
      <c r="AE77" s="9"/>
      <c r="AF77" s="9"/>
    </row>
    <row r="78" spans="7:33" ht="15.75" thickBot="1" x14ac:dyDescent="0.3">
      <c r="G78" s="281"/>
      <c r="H78" s="279"/>
      <c r="I78" s="280"/>
      <c r="J78" s="132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153"/>
      <c r="Y78" s="9"/>
      <c r="Z78" s="9"/>
      <c r="AA78" s="9"/>
      <c r="AB78" s="9"/>
      <c r="AC78" s="9"/>
      <c r="AD78" s="9"/>
      <c r="AE78" s="9"/>
      <c r="AF78" s="9"/>
    </row>
    <row r="79" spans="7:33" ht="24" thickBot="1" x14ac:dyDescent="0.4">
      <c r="G79" s="282"/>
      <c r="H79" s="283"/>
      <c r="I79" s="280"/>
      <c r="J79" s="284" t="s">
        <v>688</v>
      </c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6" t="s">
        <v>140</v>
      </c>
      <c r="AG79" s="286"/>
    </row>
    <row r="80" spans="7:33" x14ac:dyDescent="0.25">
      <c r="I80" s="122"/>
      <c r="J80" s="262" t="s">
        <v>303</v>
      </c>
      <c r="K80" s="262"/>
      <c r="L80" s="269" t="s">
        <v>304</v>
      </c>
      <c r="M80" s="269"/>
      <c r="N80" s="269" t="s">
        <v>305</v>
      </c>
      <c r="O80" s="269"/>
      <c r="P80" s="269" t="s">
        <v>306</v>
      </c>
      <c r="Q80" s="269"/>
      <c r="R80" s="269" t="s">
        <v>307</v>
      </c>
      <c r="S80" s="269"/>
      <c r="T80" s="262" t="s">
        <v>308</v>
      </c>
      <c r="U80" s="262"/>
      <c r="V80" s="262" t="s">
        <v>311</v>
      </c>
      <c r="W80" s="262"/>
      <c r="X80" s="262" t="s">
        <v>312</v>
      </c>
      <c r="Y80" s="262"/>
      <c r="Z80" s="262" t="s">
        <v>313</v>
      </c>
      <c r="AA80" s="262"/>
      <c r="AB80" s="262" t="s">
        <v>314</v>
      </c>
      <c r="AC80" s="262"/>
      <c r="AD80" s="262" t="s">
        <v>315</v>
      </c>
      <c r="AE80" s="274"/>
      <c r="AF80" t="s">
        <v>751</v>
      </c>
    </row>
    <row r="81" spans="9:33" x14ac:dyDescent="0.25">
      <c r="I81" s="130"/>
      <c r="J81" s="155" t="s">
        <v>320</v>
      </c>
      <c r="K81" s="155" t="s">
        <v>319</v>
      </c>
      <c r="L81" s="155" t="s">
        <v>320</v>
      </c>
      <c r="M81" s="155" t="s">
        <v>319</v>
      </c>
      <c r="N81" s="155" t="s">
        <v>320</v>
      </c>
      <c r="O81" s="155" t="s">
        <v>319</v>
      </c>
      <c r="P81" s="155" t="s">
        <v>320</v>
      </c>
      <c r="Q81" s="155" t="s">
        <v>319</v>
      </c>
      <c r="R81" s="155" t="s">
        <v>320</v>
      </c>
      <c r="S81" t="s">
        <v>319</v>
      </c>
      <c r="T81" t="s">
        <v>320</v>
      </c>
      <c r="U81" t="s">
        <v>319</v>
      </c>
      <c r="V81" t="s">
        <v>320</v>
      </c>
      <c r="W81" t="s">
        <v>319</v>
      </c>
      <c r="X81" t="s">
        <v>320</v>
      </c>
      <c r="Y81" t="s">
        <v>319</v>
      </c>
      <c r="Z81" t="s">
        <v>320</v>
      </c>
      <c r="AA81" t="s">
        <v>319</v>
      </c>
      <c r="AB81" t="s">
        <v>320</v>
      </c>
      <c r="AC81" t="s">
        <v>319</v>
      </c>
      <c r="AD81" t="s">
        <v>320</v>
      </c>
      <c r="AE81" s="140" t="s">
        <v>319</v>
      </c>
      <c r="AF81" t="s">
        <v>320</v>
      </c>
      <c r="AG81" s="140" t="s">
        <v>319</v>
      </c>
    </row>
    <row r="82" spans="9:33" x14ac:dyDescent="0.25">
      <c r="I82" s="156" t="s">
        <v>282</v>
      </c>
      <c r="J82">
        <v>76.143453609685594</v>
      </c>
      <c r="K82" s="157">
        <v>0.24143856335081937</v>
      </c>
      <c r="L82">
        <v>74.076991860558778</v>
      </c>
      <c r="M82" s="157">
        <v>5.2366599676810878E-2</v>
      </c>
      <c r="N82" s="157">
        <v>74.958330002724139</v>
      </c>
      <c r="O82" s="157">
        <v>9.4288999682724334E-2</v>
      </c>
      <c r="P82" s="157">
        <v>72.286433685796581</v>
      </c>
      <c r="Q82" s="157">
        <v>9.4764168282936642E-2</v>
      </c>
      <c r="R82" s="157">
        <v>74.968503937887576</v>
      </c>
      <c r="S82">
        <v>7.4643820259602291E-3</v>
      </c>
      <c r="T82">
        <v>72.590501504917469</v>
      </c>
      <c r="U82">
        <v>5.226315432837151E-2</v>
      </c>
      <c r="V82">
        <v>72.18150173226428</v>
      </c>
      <c r="W82">
        <v>0.13895536289601884</v>
      </c>
      <c r="X82">
        <v>72.492995290005155</v>
      </c>
      <c r="Y82">
        <v>5.3105831387682878E-2</v>
      </c>
      <c r="Z82">
        <v>73.79106586291293</v>
      </c>
      <c r="AA82">
        <v>6.3484897240659116E-2</v>
      </c>
      <c r="AB82">
        <v>74.043008864019853</v>
      </c>
      <c r="AC82">
        <v>0.12786328116804879</v>
      </c>
      <c r="AD82">
        <v>74.637767069996173</v>
      </c>
      <c r="AE82" s="140">
        <v>4.4182100889441807E-2</v>
      </c>
      <c r="AF82">
        <f>AVERAGE(J82,L82,N82,P82,R82,T82,V82,X82,Z82,AB82,AD82)</f>
        <v>73.833686674615322</v>
      </c>
      <c r="AG82">
        <f>AVERAGE(K82,M82,O82,Q82,S82,U82,W82,Y82,AA82,AC82,AE82)</f>
        <v>8.8197940084497675E-2</v>
      </c>
    </row>
    <row r="83" spans="9:33" x14ac:dyDescent="0.25">
      <c r="I83" s="156" t="s">
        <v>283</v>
      </c>
      <c r="J83">
        <v>23.85654639031441</v>
      </c>
      <c r="K83" s="157">
        <v>2.489048825946659</v>
      </c>
      <c r="L83">
        <v>25.92300813944123</v>
      </c>
      <c r="M83" s="157">
        <v>2.1057363774977089</v>
      </c>
      <c r="N83" s="157">
        <v>25.04166999727585</v>
      </c>
      <c r="O83" s="157">
        <v>4.543322556945415</v>
      </c>
      <c r="P83" s="157">
        <v>27.713566314203437</v>
      </c>
      <c r="Q83" s="157">
        <v>10.790545958372771</v>
      </c>
      <c r="R83" s="157">
        <v>25.031496062112428</v>
      </c>
      <c r="S83">
        <v>4.0986905462720111</v>
      </c>
      <c r="T83">
        <v>27.409498495082524</v>
      </c>
      <c r="U83">
        <v>12.155778582894863</v>
      </c>
      <c r="V83">
        <v>27.81849826773572</v>
      </c>
      <c r="W83">
        <v>11.662587066034089</v>
      </c>
      <c r="X83">
        <v>27.507004709994849</v>
      </c>
      <c r="Y83">
        <v>11.360971498626245</v>
      </c>
      <c r="Z83">
        <v>26.208934137087059</v>
      </c>
      <c r="AA83">
        <v>6.8674059538009065</v>
      </c>
      <c r="AB83">
        <v>25.956991135980132</v>
      </c>
      <c r="AC83">
        <v>4.9455685007934003</v>
      </c>
      <c r="AD83">
        <v>25.362232930003831</v>
      </c>
      <c r="AE83" s="140">
        <v>0.3775342749572777</v>
      </c>
      <c r="AF83">
        <f>AVERAGE(J83,L83,N83,P83,R83,T83,V83,X83,Z83,AB83,AD83)</f>
        <v>26.166313325384678</v>
      </c>
      <c r="AG83">
        <f>AVERAGE(K83,M83,O83,Q83,S83,U83,W83,Y83,AA83,AC83,AE83)</f>
        <v>6.4906536492855773</v>
      </c>
    </row>
    <row r="84" spans="9:33" x14ac:dyDescent="0.25">
      <c r="I84" s="156" t="s">
        <v>287</v>
      </c>
      <c r="K84" s="157">
        <v>73.027954603208727</v>
      </c>
      <c r="M84" s="157">
        <v>73.618793172212548</v>
      </c>
      <c r="N84" s="157"/>
      <c r="O84" s="157">
        <v>72.016618513442793</v>
      </c>
      <c r="P84" s="157"/>
      <c r="Q84" s="157">
        <v>66.932462872051843</v>
      </c>
      <c r="R84" s="157"/>
      <c r="S84">
        <v>72.146573263800903</v>
      </c>
      <c r="U84">
        <v>65.891265726330673</v>
      </c>
      <c r="W84">
        <v>66.318033067418938</v>
      </c>
      <c r="Y84">
        <v>66.491439806909938</v>
      </c>
      <c r="AA84">
        <v>70.067086154871134</v>
      </c>
      <c r="AC84">
        <v>71.567677956636786</v>
      </c>
      <c r="AE84" s="140">
        <v>75.179235553599426</v>
      </c>
      <c r="AG84">
        <f t="shared" ref="AG84:AG106" si="28">AVERAGE(K84,M84,O84,Q84,S84,U84,W84,Y84,AA84,AC84,AE84)</f>
        <v>70.296103699134889</v>
      </c>
    </row>
    <row r="85" spans="9:33" x14ac:dyDescent="0.25">
      <c r="I85" s="156" t="s">
        <v>151</v>
      </c>
      <c r="K85" s="157">
        <v>0</v>
      </c>
      <c r="M85" s="157">
        <v>0</v>
      </c>
      <c r="N85" s="157"/>
      <c r="O85" s="157">
        <v>0</v>
      </c>
      <c r="P85" s="157"/>
      <c r="Q85" s="157">
        <v>0</v>
      </c>
      <c r="R85" s="157"/>
      <c r="S85">
        <v>0</v>
      </c>
      <c r="U85">
        <v>0</v>
      </c>
      <c r="W85">
        <v>0</v>
      </c>
      <c r="Y85">
        <v>0</v>
      </c>
      <c r="AA85">
        <v>0</v>
      </c>
      <c r="AC85">
        <v>0</v>
      </c>
      <c r="AE85" s="140">
        <v>0</v>
      </c>
      <c r="AG85">
        <f t="shared" si="28"/>
        <v>0</v>
      </c>
    </row>
    <row r="86" spans="9:33" x14ac:dyDescent="0.25">
      <c r="I86" s="156" t="s">
        <v>321</v>
      </c>
      <c r="K86" s="157">
        <v>0</v>
      </c>
      <c r="M86" s="157">
        <v>0</v>
      </c>
      <c r="N86" s="157"/>
      <c r="O86" s="157">
        <v>0</v>
      </c>
      <c r="P86" s="157"/>
      <c r="Q86" s="157">
        <v>0</v>
      </c>
      <c r="R86" s="157"/>
      <c r="S86">
        <v>0</v>
      </c>
      <c r="U86">
        <v>0</v>
      </c>
      <c r="W86">
        <v>0</v>
      </c>
      <c r="Y86">
        <v>0</v>
      </c>
      <c r="AA86">
        <v>0</v>
      </c>
      <c r="AC86">
        <v>0</v>
      </c>
      <c r="AE86" s="140">
        <v>0</v>
      </c>
      <c r="AG86">
        <f t="shared" si="28"/>
        <v>0</v>
      </c>
    </row>
    <row r="87" spans="9:33" x14ac:dyDescent="0.25">
      <c r="I87" s="156"/>
      <c r="K87" s="157"/>
      <c r="M87" s="157">
        <v>0</v>
      </c>
      <c r="N87" s="157"/>
      <c r="O87" s="157"/>
      <c r="P87" s="157"/>
      <c r="Q87" s="157"/>
      <c r="R87" s="157"/>
      <c r="AE87" s="140">
        <v>0</v>
      </c>
      <c r="AG87">
        <f t="shared" si="28"/>
        <v>0</v>
      </c>
    </row>
    <row r="88" spans="9:33" x14ac:dyDescent="0.25">
      <c r="I88" s="156" t="s">
        <v>285</v>
      </c>
      <c r="K88" s="157">
        <v>24.24155800749379</v>
      </c>
      <c r="M88" s="157">
        <v>24.223103850612922</v>
      </c>
      <c r="N88" s="157"/>
      <c r="O88" s="157">
        <v>23.345769929929059</v>
      </c>
      <c r="P88" s="157"/>
      <c r="Q88" s="157">
        <v>22.182227001292443</v>
      </c>
      <c r="R88" s="157"/>
      <c r="S88">
        <v>23.747271807901154</v>
      </c>
      <c r="U88">
        <v>21.90069253644608</v>
      </c>
      <c r="W88">
        <v>21.880424503650964</v>
      </c>
      <c r="Y88">
        <v>22.094482863076145</v>
      </c>
      <c r="AA88">
        <v>23.002022994087294</v>
      </c>
      <c r="AC88">
        <v>23.358890261401783</v>
      </c>
      <c r="AE88" s="140">
        <v>24.399048070553885</v>
      </c>
      <c r="AG88">
        <f t="shared" si="28"/>
        <v>23.125044711495047</v>
      </c>
    </row>
    <row r="89" spans="9:33" x14ac:dyDescent="0.25">
      <c r="I89" s="130" t="s">
        <v>322</v>
      </c>
      <c r="K89" s="157"/>
      <c r="L89" s="157"/>
      <c r="M89" s="157"/>
      <c r="N89" s="157"/>
      <c r="O89" s="157"/>
      <c r="P89" s="157"/>
      <c r="Q89" s="157"/>
      <c r="R89" s="157"/>
      <c r="AD89">
        <v>100</v>
      </c>
      <c r="AE89" s="140">
        <v>100.00000000000003</v>
      </c>
      <c r="AG89">
        <f t="shared" si="28"/>
        <v>100.00000000000003</v>
      </c>
    </row>
    <row r="90" spans="9:33" x14ac:dyDescent="0.25">
      <c r="I90" s="130"/>
      <c r="J90" s="25"/>
      <c r="K90" s="158"/>
      <c r="AE90" s="140"/>
      <c r="AG90" t="e">
        <f t="shared" si="28"/>
        <v>#DIV/0!</v>
      </c>
    </row>
    <row r="91" spans="9:33" x14ac:dyDescent="0.25">
      <c r="I91" s="130" t="s">
        <v>194</v>
      </c>
      <c r="AE91" s="140"/>
      <c r="AG91" t="e">
        <f t="shared" si="28"/>
        <v>#DIV/0!</v>
      </c>
    </row>
    <row r="92" spans="9:33" x14ac:dyDescent="0.25">
      <c r="I92" s="130" t="s">
        <v>296</v>
      </c>
      <c r="AE92" s="140"/>
      <c r="AG92" t="e">
        <f t="shared" si="28"/>
        <v>#DIV/0!</v>
      </c>
    </row>
    <row r="93" spans="9:33" x14ac:dyDescent="0.25">
      <c r="I93" s="130" t="s">
        <v>332</v>
      </c>
      <c r="J93">
        <f>SUM(J82:J92)</f>
        <v>100</v>
      </c>
      <c r="K93">
        <f t="shared" ref="K93:AC93" si="29">SUM(K82:K92)</f>
        <v>100</v>
      </c>
      <c r="L93">
        <f t="shared" si="29"/>
        <v>100</v>
      </c>
      <c r="M93">
        <f>SUM(M82:M92)</f>
        <v>100</v>
      </c>
      <c r="N93">
        <f t="shared" si="29"/>
        <v>99.999999999999986</v>
      </c>
      <c r="O93">
        <f t="shared" si="29"/>
        <v>100</v>
      </c>
      <c r="P93">
        <f t="shared" si="29"/>
        <v>100.00000000000001</v>
      </c>
      <c r="Q93">
        <f t="shared" si="29"/>
        <v>100</v>
      </c>
      <c r="R93">
        <f t="shared" si="29"/>
        <v>100</v>
      </c>
      <c r="S93">
        <f t="shared" si="29"/>
        <v>100.00000000000003</v>
      </c>
      <c r="T93">
        <f t="shared" si="29"/>
        <v>100</v>
      </c>
      <c r="U93">
        <f t="shared" si="29"/>
        <v>100</v>
      </c>
      <c r="V93">
        <f t="shared" si="29"/>
        <v>100</v>
      </c>
      <c r="W93">
        <f t="shared" si="29"/>
        <v>100</v>
      </c>
      <c r="X93">
        <f t="shared" si="29"/>
        <v>100</v>
      </c>
      <c r="Y93">
        <f t="shared" si="29"/>
        <v>100</v>
      </c>
      <c r="Z93">
        <f t="shared" si="29"/>
        <v>99.999999999999986</v>
      </c>
      <c r="AA93">
        <f t="shared" si="29"/>
        <v>100</v>
      </c>
      <c r="AB93">
        <f t="shared" si="29"/>
        <v>99.999999999999986</v>
      </c>
      <c r="AC93">
        <f t="shared" si="29"/>
        <v>100.00000000000001</v>
      </c>
      <c r="AE93" s="140"/>
      <c r="AG93">
        <f t="shared" si="28"/>
        <v>100</v>
      </c>
    </row>
    <row r="94" spans="9:33" x14ac:dyDescent="0.25">
      <c r="I94" s="130"/>
      <c r="AE94" s="140"/>
      <c r="AG94" t="e">
        <f t="shared" si="28"/>
        <v>#DIV/0!</v>
      </c>
    </row>
    <row r="95" spans="9:33" x14ac:dyDescent="0.25">
      <c r="I95" s="130"/>
      <c r="AE95" s="140"/>
      <c r="AG95" t="e">
        <f t="shared" si="28"/>
        <v>#DIV/0!</v>
      </c>
    </row>
    <row r="96" spans="9:33" x14ac:dyDescent="0.25">
      <c r="I96" s="130"/>
      <c r="AE96" s="140"/>
      <c r="AG96" t="e">
        <f t="shared" si="28"/>
        <v>#DIV/0!</v>
      </c>
    </row>
    <row r="97" spans="9:33" x14ac:dyDescent="0.25">
      <c r="I97" s="130"/>
      <c r="AE97" s="140"/>
      <c r="AG97" t="e">
        <f t="shared" si="28"/>
        <v>#DIV/0!</v>
      </c>
    </row>
    <row r="98" spans="9:33" x14ac:dyDescent="0.25">
      <c r="I98" s="130" t="s">
        <v>275</v>
      </c>
      <c r="K98">
        <v>19.332644074998331</v>
      </c>
      <c r="M98">
        <v>19.488972617216017</v>
      </c>
      <c r="O98">
        <v>19.064750415708666</v>
      </c>
      <c r="Q98">
        <v>17.718900772766951</v>
      </c>
      <c r="S98">
        <v>19.099242364828577</v>
      </c>
      <c r="U98">
        <v>17.443272723651777</v>
      </c>
      <c r="W98">
        <v>17.556279725027643</v>
      </c>
      <c r="Y98">
        <v>17.602016137227331</v>
      </c>
      <c r="AA98">
        <v>18.548431898180997</v>
      </c>
      <c r="AC98">
        <v>18.945980458789695</v>
      </c>
      <c r="AE98" s="140">
        <v>19.902064545893335</v>
      </c>
      <c r="AG98">
        <f t="shared" si="28"/>
        <v>18.609323248571759</v>
      </c>
    </row>
    <row r="99" spans="9:33" x14ac:dyDescent="0.25">
      <c r="I99" s="130" t="s">
        <v>145</v>
      </c>
      <c r="AE99" s="140"/>
      <c r="AG99" t="e">
        <f t="shared" si="28"/>
        <v>#DIV/0!</v>
      </c>
    </row>
    <row r="100" spans="9:33" x14ac:dyDescent="0.25">
      <c r="I100" s="130" t="s">
        <v>117</v>
      </c>
      <c r="K100">
        <v>0.33041810552243056</v>
      </c>
      <c r="M100">
        <v>2.1648768789918256</v>
      </c>
      <c r="O100">
        <v>0.30206541724900016</v>
      </c>
      <c r="Q100">
        <v>1.0788490710400929</v>
      </c>
      <c r="S100">
        <v>0.37766564580019935</v>
      </c>
      <c r="U100">
        <v>2.4865552327880427</v>
      </c>
      <c r="W100">
        <v>0.32355117872441291</v>
      </c>
      <c r="Y100">
        <v>0.20538194906930446</v>
      </c>
      <c r="AA100">
        <v>0.20560709083797668</v>
      </c>
      <c r="AC100">
        <v>1.9715629750334771</v>
      </c>
      <c r="AE100" s="140">
        <v>0.54706606836855354</v>
      </c>
      <c r="AG100">
        <f t="shared" si="28"/>
        <v>0.90850905576593799</v>
      </c>
    </row>
    <row r="101" spans="9:33" x14ac:dyDescent="0.25">
      <c r="I101" s="130" t="s">
        <v>121</v>
      </c>
      <c r="AE101" s="140"/>
      <c r="AG101" t="e">
        <f t="shared" si="28"/>
        <v>#DIV/0!</v>
      </c>
    </row>
    <row r="102" spans="9:33" x14ac:dyDescent="0.25">
      <c r="I102" s="130" t="s">
        <v>195</v>
      </c>
      <c r="AE102" s="140"/>
      <c r="AG102" t="e">
        <f t="shared" si="28"/>
        <v>#DIV/0!</v>
      </c>
    </row>
    <row r="103" spans="9:33" x14ac:dyDescent="0.25">
      <c r="I103" s="130"/>
      <c r="AE103" s="140"/>
      <c r="AG103" t="e">
        <f t="shared" si="28"/>
        <v>#DIV/0!</v>
      </c>
    </row>
    <row r="104" spans="9:33" x14ac:dyDescent="0.25">
      <c r="I104" s="130" t="s">
        <v>300</v>
      </c>
      <c r="K104">
        <v>4.0127657881738701</v>
      </c>
      <c r="M104">
        <v>3.4870780041958649</v>
      </c>
      <c r="O104">
        <v>2.8610141401240865</v>
      </c>
      <c r="Q104">
        <v>3.611905195103509</v>
      </c>
      <c r="S104">
        <v>3.5302639527860338</v>
      </c>
      <c r="U104">
        <v>3.7042380699774493</v>
      </c>
      <c r="W104">
        <v>3.3825813199742165</v>
      </c>
      <c r="Y104">
        <v>3.6495817959837624</v>
      </c>
      <c r="AA104">
        <v>3.3195837753978275</v>
      </c>
      <c r="AC104">
        <v>3.1565242757065728</v>
      </c>
      <c r="AE104" s="140">
        <v>2.9973595856331028</v>
      </c>
      <c r="AG104">
        <f t="shared" si="28"/>
        <v>3.4284450820960273</v>
      </c>
    </row>
    <row r="105" spans="9:33" x14ac:dyDescent="0.25">
      <c r="I105" s="130" t="s">
        <v>297</v>
      </c>
      <c r="K105">
        <v>0</v>
      </c>
      <c r="M105">
        <v>0</v>
      </c>
      <c r="O105">
        <v>0</v>
      </c>
      <c r="Q105">
        <v>0</v>
      </c>
      <c r="S105">
        <v>0</v>
      </c>
      <c r="U105">
        <v>0</v>
      </c>
      <c r="W105">
        <v>0</v>
      </c>
      <c r="Y105">
        <v>0</v>
      </c>
      <c r="AA105">
        <v>0</v>
      </c>
      <c r="AC105">
        <v>0</v>
      </c>
      <c r="AE105" s="140">
        <v>0</v>
      </c>
      <c r="AG105">
        <f t="shared" si="28"/>
        <v>0</v>
      </c>
    </row>
    <row r="106" spans="9:33" ht="15.75" thickBot="1" x14ac:dyDescent="0.3">
      <c r="I106" s="132" t="s">
        <v>298</v>
      </c>
      <c r="J106" s="27"/>
      <c r="K106" s="27">
        <v>0.5889626347592799</v>
      </c>
      <c r="L106" s="27"/>
      <c r="M106" s="27">
        <v>0.93737803996976532</v>
      </c>
      <c r="N106" s="27"/>
      <c r="O106" s="27">
        <v>1.1170674478875937</v>
      </c>
      <c r="P106" s="27"/>
      <c r="Q106" s="27">
        <v>0.56987162483989229</v>
      </c>
      <c r="R106" s="27"/>
      <c r="S106" s="27">
        <v>0.81428301300368044</v>
      </c>
      <c r="T106" s="27"/>
      <c r="U106" s="27">
        <v>0.47601167306933945</v>
      </c>
      <c r="V106" s="27"/>
      <c r="W106" s="27">
        <v>0.66260355896443768</v>
      </c>
      <c r="X106" s="27"/>
      <c r="Y106" s="27">
        <v>0.56319033914772265</v>
      </c>
      <c r="Z106" s="27"/>
      <c r="AA106" s="27">
        <v>0.83927158185393524</v>
      </c>
      <c r="AB106" s="27"/>
      <c r="AC106" s="27">
        <v>0.95533867673548001</v>
      </c>
      <c r="AD106" s="27"/>
      <c r="AE106" s="153">
        <v>1.1833884387551588</v>
      </c>
      <c r="AG106">
        <f t="shared" si="28"/>
        <v>0.79157882081693498</v>
      </c>
    </row>
  </sheetData>
  <sortState xmlns:xlrd2="http://schemas.microsoft.com/office/spreadsheetml/2017/richdata2" ref="AL8:AN20">
    <sortCondition ref="AN8:AN20"/>
  </sortState>
  <mergeCells count="21">
    <mergeCell ref="AD80:AE80"/>
    <mergeCell ref="AL5:AS5"/>
    <mergeCell ref="AL6:AM6"/>
    <mergeCell ref="G76:I79"/>
    <mergeCell ref="J79:AE79"/>
    <mergeCell ref="AF79:AG79"/>
    <mergeCell ref="A3:N4"/>
    <mergeCell ref="Z80:AA80"/>
    <mergeCell ref="J5:V5"/>
    <mergeCell ref="J48:V48"/>
    <mergeCell ref="AB80:AC80"/>
    <mergeCell ref="J80:K80"/>
    <mergeCell ref="P80:Q80"/>
    <mergeCell ref="R80:S80"/>
    <mergeCell ref="T80:U80"/>
    <mergeCell ref="V80:W80"/>
    <mergeCell ref="X80:Y80"/>
    <mergeCell ref="G48:I48"/>
    <mergeCell ref="A5:I5"/>
    <mergeCell ref="L80:M80"/>
    <mergeCell ref="N80:O8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E7CA-3992-4B1F-8CC6-37FD9BFFED2C}">
  <sheetPr>
    <tabColor theme="7" tint="-0.249977111117893"/>
  </sheetPr>
  <dimension ref="A1:BS110"/>
  <sheetViews>
    <sheetView topLeftCell="I4" zoomScale="55" zoomScaleNormal="55" workbookViewId="0">
      <selection activeCell="AR36" sqref="AR36"/>
    </sheetView>
  </sheetViews>
  <sheetFormatPr defaultColWidth="9.140625" defaultRowHeight="15" x14ac:dyDescent="0.25"/>
  <cols>
    <col min="1" max="1" width="32.140625" customWidth="1"/>
    <col min="2" max="2" width="15.85546875" customWidth="1"/>
    <col min="3" max="3" width="13.5703125" customWidth="1"/>
    <col min="4" max="4" width="13.42578125" customWidth="1"/>
    <col min="5" max="5" width="15.42578125" customWidth="1"/>
    <col min="6" max="6" width="13.85546875" customWidth="1"/>
    <col min="7" max="7" width="11.28515625" customWidth="1"/>
    <col min="8" max="8" width="15.28515625" customWidth="1"/>
    <col min="9" max="9" width="10.42578125" customWidth="1"/>
    <col min="10" max="10" width="11.28515625" customWidth="1"/>
    <col min="11" max="11" width="9.28515625" customWidth="1"/>
    <col min="12" max="12" width="8.85546875" customWidth="1"/>
    <col min="13" max="13" width="9.140625" customWidth="1"/>
    <col min="14" max="17" width="14.85546875" customWidth="1"/>
    <col min="18" max="18" width="16.140625" customWidth="1"/>
    <col min="19" max="19" width="13.85546875" customWidth="1"/>
    <col min="20" max="20" width="16.85546875" customWidth="1"/>
    <col min="21" max="21" width="16.28515625" customWidth="1"/>
    <col min="22" max="22" width="17.5703125" customWidth="1"/>
    <col min="23" max="23" width="18.5703125" customWidth="1"/>
    <col min="24" max="31" width="11.42578125" customWidth="1"/>
    <col min="32" max="32" width="12" bestFit="1" customWidth="1"/>
    <col min="39" max="39" width="16.42578125" customWidth="1"/>
    <col min="40" max="40" width="12.42578125" customWidth="1"/>
    <col min="41" max="41" width="12.5703125" customWidth="1"/>
    <col min="43" max="43" width="18" customWidth="1"/>
    <col min="44" max="44" width="26" customWidth="1"/>
  </cols>
  <sheetData>
    <row r="1" spans="1:71" ht="24" thickBot="1" x14ac:dyDescent="0.3">
      <c r="B1" s="287" t="s">
        <v>725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8"/>
    </row>
    <row r="2" spans="1:71" ht="31.5" thickBot="1" x14ac:dyDescent="0.35">
      <c r="A2" s="180" t="s">
        <v>274</v>
      </c>
      <c r="B2" s="128" t="s">
        <v>814</v>
      </c>
      <c r="C2" t="s">
        <v>303</v>
      </c>
      <c r="D2" t="s">
        <v>312</v>
      </c>
      <c r="E2" t="s">
        <v>311</v>
      </c>
      <c r="F2" t="s">
        <v>313</v>
      </c>
      <c r="G2" t="s">
        <v>307</v>
      </c>
      <c r="H2" t="s">
        <v>306</v>
      </c>
      <c r="I2" t="s">
        <v>305</v>
      </c>
      <c r="J2" t="s">
        <v>315</v>
      </c>
      <c r="K2" t="s">
        <v>308</v>
      </c>
      <c r="L2" t="s">
        <v>314</v>
      </c>
      <c r="M2" s="140" t="s">
        <v>304</v>
      </c>
    </row>
    <row r="3" spans="1:71" s="159" customFormat="1" ht="15" customHeight="1" thickBot="1" x14ac:dyDescent="0.3">
      <c r="A3" s="181" t="s">
        <v>282</v>
      </c>
      <c r="B3">
        <v>238.59000939738056</v>
      </c>
      <c r="C3">
        <v>1651.7831446263779</v>
      </c>
      <c r="D3">
        <v>1718.5805621143468</v>
      </c>
      <c r="E3">
        <v>1826.1222738604281</v>
      </c>
      <c r="F3">
        <v>2104.4843165273887</v>
      </c>
      <c r="G3">
        <v>2106.7899884008229</v>
      </c>
      <c r="H3">
        <v>1757.6820780869439</v>
      </c>
      <c r="I3">
        <v>2415.4900577253693</v>
      </c>
      <c r="J3">
        <v>2408.8814896506597</v>
      </c>
      <c r="K3">
        <v>1574.6610351985316</v>
      </c>
      <c r="L3">
        <v>2186.7233709126017</v>
      </c>
      <c r="M3" s="140">
        <v>2146.6798842065841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71" ht="98.25" customHeight="1" thickBot="1" x14ac:dyDescent="0.3">
      <c r="A4" s="182" t="s">
        <v>731</v>
      </c>
      <c r="B4">
        <v>89.331787137708375</v>
      </c>
      <c r="C4">
        <v>520.31062670746269</v>
      </c>
      <c r="D4">
        <v>656.31525612985092</v>
      </c>
      <c r="E4">
        <v>719.35346076006215</v>
      </c>
      <c r="F4">
        <v>749.46156844727318</v>
      </c>
      <c r="G4">
        <v>709.67358686385501</v>
      </c>
      <c r="H4">
        <v>754.61574828616972</v>
      </c>
      <c r="I4">
        <v>811.22561792605211</v>
      </c>
      <c r="J4">
        <v>819.52280808396245</v>
      </c>
      <c r="K4">
        <v>827.83641844795864</v>
      </c>
      <c r="L4">
        <v>834.22107279302827</v>
      </c>
      <c r="M4" s="140">
        <v>766.68722570514785</v>
      </c>
      <c r="O4" t="s">
        <v>302</v>
      </c>
      <c r="P4" s="123" t="s">
        <v>335</v>
      </c>
      <c r="Q4" s="220" t="s">
        <v>336</v>
      </c>
      <c r="R4" s="221" t="s">
        <v>337</v>
      </c>
      <c r="S4" s="127" t="s">
        <v>732</v>
      </c>
      <c r="T4" s="2"/>
      <c r="U4" s="2"/>
      <c r="V4" s="2"/>
    </row>
    <row r="5" spans="1:71" ht="38.25" customHeight="1" thickBot="1" x14ac:dyDescent="0.3">
      <c r="A5" s="182" t="s">
        <v>287</v>
      </c>
      <c r="B5">
        <v>53.600463660879328</v>
      </c>
      <c r="C5">
        <v>98.662992169413471</v>
      </c>
      <c r="D5">
        <v>38.940883486365252</v>
      </c>
      <c r="E5">
        <v>103.21156789347376</v>
      </c>
      <c r="F5">
        <v>34.683352800572798</v>
      </c>
      <c r="G5">
        <v>123.98398056039342</v>
      </c>
      <c r="H5">
        <v>516.802744386776</v>
      </c>
      <c r="I5">
        <v>82.439390518508162</v>
      </c>
      <c r="J5">
        <v>216.35610439683143</v>
      </c>
      <c r="K5">
        <v>1280.7060950222483</v>
      </c>
      <c r="L5">
        <v>1001.8730461221653</v>
      </c>
      <c r="M5" s="140">
        <v>1108.1784676723694</v>
      </c>
      <c r="O5" t="s">
        <v>304</v>
      </c>
      <c r="P5" s="212">
        <v>5368.8771058925931</v>
      </c>
      <c r="Q5">
        <v>1870.4259900000002</v>
      </c>
      <c r="R5">
        <v>40733.838069999998</v>
      </c>
      <c r="S5">
        <f>R5+(3.6)*Q5</f>
        <v>47467.371633999996</v>
      </c>
      <c r="T5" s="2"/>
      <c r="U5" s="2"/>
      <c r="V5" s="2"/>
    </row>
    <row r="6" spans="1:71" ht="24" customHeight="1" thickBot="1" x14ac:dyDescent="0.3">
      <c r="A6" s="182" t="s">
        <v>151</v>
      </c>
      <c r="B6">
        <v>5.6041731114665616</v>
      </c>
      <c r="C6">
        <v>50.672322156740499</v>
      </c>
      <c r="D6">
        <v>50.672322172397799</v>
      </c>
      <c r="E6">
        <v>50.6723222870706</v>
      </c>
      <c r="F6">
        <v>50.672322214814997</v>
      </c>
      <c r="G6">
        <v>50.672322119255298</v>
      </c>
      <c r="H6">
        <v>50.672322054747902</v>
      </c>
      <c r="I6">
        <v>50.672322039660699</v>
      </c>
      <c r="J6">
        <v>50.6723222028658</v>
      </c>
      <c r="K6">
        <v>50.6723224003211</v>
      </c>
      <c r="L6">
        <v>50.672322261186501</v>
      </c>
      <c r="M6" s="140">
        <v>50.672322353889797</v>
      </c>
      <c r="O6" t="s">
        <v>303</v>
      </c>
      <c r="P6" s="212">
        <v>3259.2121568107359</v>
      </c>
      <c r="Q6" s="25">
        <v>1885.5573937499998</v>
      </c>
      <c r="R6">
        <v>30642.616487500003</v>
      </c>
      <c r="S6">
        <f t="shared" ref="S6:S15" si="0">R6+(3.6)*Q6</f>
        <v>37430.623105000006</v>
      </c>
      <c r="T6" s="2"/>
      <c r="U6" s="2"/>
      <c r="V6" s="2"/>
    </row>
    <row r="7" spans="1:71" ht="18.75" thickBot="1" x14ac:dyDescent="0.4">
      <c r="A7" s="182" t="s">
        <v>286</v>
      </c>
      <c r="C7">
        <v>531.53414222574304</v>
      </c>
      <c r="D7">
        <v>531.53414548404498</v>
      </c>
      <c r="E7">
        <v>531.53414335033199</v>
      </c>
      <c r="F7">
        <v>531.53414315013595</v>
      </c>
      <c r="G7">
        <v>531.53414131282796</v>
      </c>
      <c r="H7">
        <v>531.53414344067903</v>
      </c>
      <c r="I7">
        <v>531.534142006651</v>
      </c>
      <c r="J7">
        <v>531.53414319459705</v>
      </c>
      <c r="K7">
        <v>531.53414396841697</v>
      </c>
      <c r="L7">
        <v>531.53414404106297</v>
      </c>
      <c r="M7" s="140">
        <v>531.53414298852397</v>
      </c>
      <c r="O7" t="s">
        <v>305</v>
      </c>
      <c r="P7" s="212">
        <v>4291.667080560117</v>
      </c>
      <c r="Q7" s="25">
        <v>1912.0394166666665</v>
      </c>
      <c r="R7">
        <v>45524.802266666666</v>
      </c>
      <c r="S7">
        <f t="shared" si="0"/>
        <v>52408.144166666665</v>
      </c>
      <c r="T7" s="2"/>
      <c r="U7" s="2"/>
      <c r="V7" s="2"/>
      <c r="AG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</row>
    <row r="8" spans="1:71" ht="15.75" thickBot="1" x14ac:dyDescent="0.3">
      <c r="A8" s="182"/>
      <c r="M8" s="140"/>
      <c r="O8" t="s">
        <v>306</v>
      </c>
      <c r="P8" s="212">
        <v>4162.0467319872914</v>
      </c>
      <c r="Q8" s="25">
        <v>2057.2757000000001</v>
      </c>
      <c r="R8">
        <v>34338.905766666663</v>
      </c>
      <c r="S8">
        <f t="shared" si="0"/>
        <v>41745.09828666666</v>
      </c>
      <c r="T8" s="2"/>
      <c r="U8" s="2"/>
      <c r="V8" s="2"/>
      <c r="AG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</row>
    <row r="9" spans="1:71" ht="15.75" thickBot="1" x14ac:dyDescent="0.3">
      <c r="A9" s="182" t="s">
        <v>285</v>
      </c>
      <c r="B9">
        <v>35.235986133308906</v>
      </c>
      <c r="C9">
        <v>85.268068924942199</v>
      </c>
      <c r="D9">
        <v>65.397361675282781</v>
      </c>
      <c r="E9">
        <v>86.631470903258588</v>
      </c>
      <c r="F9">
        <v>63.902404265959035</v>
      </c>
      <c r="G9">
        <v>93.452526949923083</v>
      </c>
      <c r="H9">
        <v>229.75883573197524</v>
      </c>
      <c r="I9">
        <v>79.324690343875801</v>
      </c>
      <c r="J9">
        <v>123.43349832751436</v>
      </c>
      <c r="K9">
        <v>520.62550683581594</v>
      </c>
      <c r="L9">
        <v>402.62234894212611</v>
      </c>
      <c r="M9" s="140">
        <v>444.14420296607688</v>
      </c>
      <c r="O9" t="s">
        <v>307</v>
      </c>
      <c r="P9" s="212">
        <v>3937.0874062070779</v>
      </c>
      <c r="Q9" s="25">
        <v>1908.5939714285716</v>
      </c>
      <c r="R9">
        <v>39702.589071428571</v>
      </c>
      <c r="S9">
        <f t="shared" si="0"/>
        <v>46573.527368571427</v>
      </c>
      <c r="T9" s="2"/>
      <c r="U9" s="2"/>
      <c r="V9" s="2"/>
      <c r="AG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</row>
    <row r="10" spans="1:71" ht="18.75" thickBot="1" x14ac:dyDescent="0.4">
      <c r="A10" s="182" t="s">
        <v>299</v>
      </c>
      <c r="B10">
        <v>136.04495981146655</v>
      </c>
      <c r="C10">
        <v>-120.62785999994396</v>
      </c>
      <c r="D10">
        <v>-120.62786</v>
      </c>
      <c r="E10">
        <v>-120.62786</v>
      </c>
      <c r="F10">
        <v>-120.62786</v>
      </c>
      <c r="G10">
        <v>-120.62786</v>
      </c>
      <c r="H10">
        <v>-120.62786</v>
      </c>
      <c r="I10">
        <v>-120.62786</v>
      </c>
      <c r="J10">
        <v>-120.62786</v>
      </c>
      <c r="K10">
        <v>-120.62786</v>
      </c>
      <c r="L10">
        <v>-120.62786</v>
      </c>
      <c r="M10" s="140">
        <v>-120.627859999999</v>
      </c>
      <c r="O10" s="117" t="s">
        <v>308</v>
      </c>
      <c r="P10" s="212">
        <v>5107.0163818732926</v>
      </c>
      <c r="Q10" s="25">
        <v>2089.78406</v>
      </c>
      <c r="R10">
        <v>30627.31424</v>
      </c>
      <c r="S10">
        <f t="shared" si="0"/>
        <v>38150.536855999999</v>
      </c>
      <c r="T10" s="2"/>
      <c r="U10" s="2"/>
      <c r="V10" s="2"/>
      <c r="AG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</row>
    <row r="11" spans="1:71" ht="15.75" thickBot="1" x14ac:dyDescent="0.3">
      <c r="A11" s="182"/>
      <c r="M11" s="140"/>
      <c r="O11" t="s">
        <v>311</v>
      </c>
      <c r="P11" s="212">
        <v>3638.5060990546244</v>
      </c>
      <c r="Q11" s="25">
        <v>2076.3356250000002</v>
      </c>
      <c r="R11">
        <v>35738.66930833333</v>
      </c>
      <c r="S11">
        <f t="shared" si="0"/>
        <v>43213.477558333332</v>
      </c>
      <c r="T11" s="2"/>
      <c r="U11" s="2"/>
      <c r="V11" s="2"/>
      <c r="AG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</row>
    <row r="12" spans="1:71" ht="15.75" thickBot="1" x14ac:dyDescent="0.3">
      <c r="A12" s="210" t="s">
        <v>194</v>
      </c>
      <c r="B12">
        <v>-32.057267451158907</v>
      </c>
      <c r="C12">
        <v>441.60871999999995</v>
      </c>
      <c r="D12">
        <v>441.60871999999995</v>
      </c>
      <c r="E12">
        <v>441.60871999999995</v>
      </c>
      <c r="F12">
        <v>441.60871999999995</v>
      </c>
      <c r="G12">
        <v>441.60871999999995</v>
      </c>
      <c r="H12">
        <v>441.60871999999995</v>
      </c>
      <c r="I12">
        <v>441.60871999999995</v>
      </c>
      <c r="J12">
        <v>441.60871999999995</v>
      </c>
      <c r="K12">
        <v>441.60871999999995</v>
      </c>
      <c r="L12">
        <v>441.60871999999995</v>
      </c>
      <c r="M12" s="140">
        <v>441.60871999999995</v>
      </c>
      <c r="O12" t="s">
        <v>312</v>
      </c>
      <c r="P12" s="212">
        <v>3382.4213910622884</v>
      </c>
      <c r="Q12" s="25">
        <v>2070.9222</v>
      </c>
      <c r="R12">
        <v>33492.505499999999</v>
      </c>
      <c r="S12">
        <f t="shared" si="0"/>
        <v>40947.825420000001</v>
      </c>
      <c r="T12" s="2"/>
      <c r="U12" s="2"/>
      <c r="V12" s="2"/>
      <c r="AG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</row>
    <row r="13" spans="1:71" ht="15.75" thickBot="1" x14ac:dyDescent="0.3">
      <c r="A13" s="211" t="s">
        <v>296</v>
      </c>
      <c r="B13" s="212">
        <v>526.3501118010513</v>
      </c>
      <c r="C13" s="212">
        <v>3259.2121568107359</v>
      </c>
      <c r="D13" s="212">
        <v>3382.4213910622884</v>
      </c>
      <c r="E13" s="212">
        <v>3638.5060990546244</v>
      </c>
      <c r="F13" s="212">
        <v>3855.7189674061447</v>
      </c>
      <c r="G13" s="212">
        <v>3937.0874062070779</v>
      </c>
      <c r="H13" s="212">
        <v>4162.0467319872914</v>
      </c>
      <c r="I13" s="212">
        <v>4291.667080560117</v>
      </c>
      <c r="J13" s="212">
        <v>4471.3812258564303</v>
      </c>
      <c r="K13" s="212">
        <v>5107.0163818732926</v>
      </c>
      <c r="L13" s="212">
        <v>5328.627165072171</v>
      </c>
      <c r="M13" s="213">
        <v>5368.8771058925931</v>
      </c>
      <c r="O13" s="148" t="s">
        <v>313</v>
      </c>
      <c r="P13" s="212">
        <v>3855.7189674061447</v>
      </c>
      <c r="Q13" s="25">
        <v>1965.2430666666667</v>
      </c>
      <c r="R13">
        <v>40291.817600000002</v>
      </c>
      <c r="S13">
        <f t="shared" si="0"/>
        <v>47366.692640000001</v>
      </c>
      <c r="T13" s="2"/>
      <c r="U13" s="2"/>
      <c r="V13" s="2"/>
      <c r="AG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</row>
    <row r="14" spans="1:71" ht="15.75" thickBot="1" x14ac:dyDescent="0.3">
      <c r="A14" s="182" t="s">
        <v>121</v>
      </c>
      <c r="C14">
        <v>0.71644685135672204</v>
      </c>
      <c r="D14">
        <v>0.71644685190845703</v>
      </c>
      <c r="E14">
        <v>0.71644685149438703</v>
      </c>
      <c r="F14">
        <v>0.71644684181764096</v>
      </c>
      <c r="G14">
        <v>0.71644684263808101</v>
      </c>
      <c r="H14">
        <v>0.71644685116083295</v>
      </c>
      <c r="I14">
        <v>0.71644684570167305</v>
      </c>
      <c r="J14">
        <v>0.71644685137687503</v>
      </c>
      <c r="K14">
        <v>0.71644684989347895</v>
      </c>
      <c r="L14">
        <v>0.71644684911348899</v>
      </c>
      <c r="M14" s="140">
        <v>0.71644685263234997</v>
      </c>
      <c r="O14" t="s">
        <v>314</v>
      </c>
      <c r="P14" s="212">
        <v>5328.627165072171</v>
      </c>
      <c r="Q14">
        <v>1924.0320799999997</v>
      </c>
      <c r="R14">
        <v>41690.58382</v>
      </c>
      <c r="S14">
        <f t="shared" si="0"/>
        <v>48617.099307999997</v>
      </c>
      <c r="T14" s="2"/>
      <c r="U14" s="2"/>
      <c r="V14" s="2"/>
      <c r="AG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</row>
    <row r="15" spans="1:71" ht="15.75" thickBot="1" x14ac:dyDescent="0.3">
      <c r="A15" s="182" t="s">
        <v>684</v>
      </c>
      <c r="C15">
        <v>1.112891986941086</v>
      </c>
      <c r="D15">
        <v>0.80723220241462501</v>
      </c>
      <c r="E15">
        <v>1.1649848492503236</v>
      </c>
      <c r="F15">
        <v>0.79092646149774637</v>
      </c>
      <c r="G15">
        <v>1.3053843077674898</v>
      </c>
      <c r="H15">
        <v>8.8313125375701489</v>
      </c>
      <c r="I15">
        <v>1.0169753062218214</v>
      </c>
      <c r="J15">
        <v>2.2016447755658795</v>
      </c>
      <c r="K15">
        <v>48.523441894426121</v>
      </c>
      <c r="L15">
        <v>27.938166926586909</v>
      </c>
      <c r="M15" s="140">
        <v>32.850925343163979</v>
      </c>
      <c r="O15" t="s">
        <v>315</v>
      </c>
      <c r="P15" s="213">
        <v>4471.3812258564303</v>
      </c>
      <c r="Q15">
        <v>1846.9015333333334</v>
      </c>
      <c r="R15">
        <v>45594.677533333328</v>
      </c>
      <c r="S15">
        <f t="shared" si="0"/>
        <v>52243.523053333331</v>
      </c>
      <c r="T15" s="2"/>
      <c r="U15" s="2"/>
      <c r="V15" s="2"/>
      <c r="X15" s="9"/>
      <c r="Y15" s="9"/>
      <c r="Z15" s="9"/>
      <c r="AA15" s="9"/>
      <c r="AB15" s="9"/>
      <c r="AC15" s="9"/>
      <c r="AD15" s="9"/>
      <c r="AE15" s="9"/>
    </row>
    <row r="16" spans="1:71" x14ac:dyDescent="0.25">
      <c r="A16" s="182" t="s">
        <v>728</v>
      </c>
      <c r="C16">
        <v>28.208130813758139</v>
      </c>
      <c r="D16">
        <v>28.208130818840811</v>
      </c>
      <c r="E16">
        <v>28.208130819742689</v>
      </c>
      <c r="F16">
        <v>28.208130815069289</v>
      </c>
      <c r="G16">
        <v>28.208130807407137</v>
      </c>
      <c r="H16">
        <v>28.2081308177967</v>
      </c>
      <c r="I16">
        <v>28.208130810144191</v>
      </c>
      <c r="J16">
        <v>28.208130817850449</v>
      </c>
      <c r="K16">
        <v>28.20813081489667</v>
      </c>
      <c r="L16">
        <v>28.208130818472277</v>
      </c>
      <c r="M16" s="140">
        <v>28.208130813944038</v>
      </c>
      <c r="O16" s="2"/>
      <c r="P16" s="2"/>
      <c r="Q16" s="2"/>
      <c r="R16" s="2"/>
      <c r="S16" s="2"/>
      <c r="T16" s="2"/>
      <c r="U16" s="2"/>
      <c r="V16" s="2"/>
      <c r="X16" s="9"/>
      <c r="Y16" s="9"/>
      <c r="Z16" s="9"/>
      <c r="AA16" s="9"/>
      <c r="AB16" s="9"/>
      <c r="AC16" s="9"/>
      <c r="AD16" s="9"/>
      <c r="AE16" s="9"/>
    </row>
    <row r="17" spans="1:31" x14ac:dyDescent="0.25">
      <c r="O17" s="2"/>
      <c r="P17" s="2"/>
      <c r="Q17" s="2"/>
      <c r="R17" s="2"/>
      <c r="S17" s="2"/>
      <c r="T17" s="2"/>
      <c r="U17" s="2"/>
      <c r="V17" s="2"/>
      <c r="Y17" s="9"/>
      <c r="Z17" s="9"/>
      <c r="AA17" s="9"/>
      <c r="AB17" s="9"/>
      <c r="AC17" s="9"/>
      <c r="AD17" s="9"/>
      <c r="AE17" s="9"/>
    </row>
    <row r="18" spans="1:31" x14ac:dyDescent="0.25">
      <c r="A18" s="182"/>
      <c r="M18" s="140"/>
      <c r="O18" s="2" t="s">
        <v>304</v>
      </c>
      <c r="P18" s="2">
        <v>4988.2515400000002</v>
      </c>
      <c r="Q18" s="2">
        <v>1870.4259900000002</v>
      </c>
      <c r="R18" s="2">
        <v>40733.838069999998</v>
      </c>
      <c r="S18" s="2">
        <v>493.44599000000017</v>
      </c>
      <c r="T18" s="2"/>
      <c r="U18" s="2"/>
      <c r="V18" s="2"/>
      <c r="X18" s="9"/>
      <c r="Y18" s="9"/>
      <c r="Z18" s="9"/>
      <c r="AA18" s="9"/>
      <c r="AB18" s="9"/>
      <c r="AC18" s="9"/>
      <c r="AD18" s="9"/>
      <c r="AE18" s="9"/>
    </row>
    <row r="19" spans="1:31" x14ac:dyDescent="0.25">
      <c r="A19" s="182" t="s">
        <v>195</v>
      </c>
      <c r="B19">
        <v>13.761247500463112</v>
      </c>
      <c r="C19">
        <v>27.565766956413089</v>
      </c>
      <c r="D19">
        <v>27.565767101490255</v>
      </c>
      <c r="E19">
        <v>27.565767025699223</v>
      </c>
      <c r="F19">
        <v>27.565766962676257</v>
      </c>
      <c r="G19">
        <v>27.565766905407408</v>
      </c>
      <c r="H19">
        <v>27.565767013048607</v>
      </c>
      <c r="I19">
        <v>27.565766913468167</v>
      </c>
      <c r="J19">
        <v>27.565767050562641</v>
      </c>
      <c r="K19">
        <v>27.565766940741838</v>
      </c>
      <c r="L19">
        <v>27.565767009719409</v>
      </c>
      <c r="M19" s="140">
        <v>27.565766949277005</v>
      </c>
      <c r="O19" s="2" t="s">
        <v>303</v>
      </c>
      <c r="P19" s="2">
        <v>3053.9668937500005</v>
      </c>
      <c r="Q19" s="2">
        <v>1885.5573937499998</v>
      </c>
      <c r="R19" s="2">
        <v>30642.616487500003</v>
      </c>
      <c r="S19" s="2">
        <v>508.57739374999983</v>
      </c>
      <c r="T19" s="2"/>
      <c r="U19" s="2"/>
      <c r="V19" s="2"/>
      <c r="X19" s="9"/>
      <c r="Y19" s="9"/>
      <c r="Z19" s="9"/>
      <c r="AA19" s="9"/>
      <c r="AB19" s="9"/>
      <c r="AC19" s="9"/>
      <c r="AD19" s="9"/>
      <c r="AE19" s="9"/>
    </row>
    <row r="20" spans="1:31" x14ac:dyDescent="0.25">
      <c r="A20" s="182" t="s">
        <v>729</v>
      </c>
      <c r="B20">
        <v>8.6485030552788285</v>
      </c>
      <c r="C20">
        <f t="shared" ref="C20:M20" si="1">C15+C16+C14</f>
        <v>30.037469652055947</v>
      </c>
      <c r="D20">
        <f t="shared" si="1"/>
        <v>29.731809873163893</v>
      </c>
      <c r="E20">
        <f t="shared" si="1"/>
        <v>30.089562520487398</v>
      </c>
      <c r="F20">
        <f t="shared" si="1"/>
        <v>29.715504118384679</v>
      </c>
      <c r="G20">
        <f t="shared" si="1"/>
        <v>30.229961957812709</v>
      </c>
      <c r="H20">
        <f t="shared" si="1"/>
        <v>37.755890206527681</v>
      </c>
      <c r="I20">
        <f t="shared" si="1"/>
        <v>29.941552962067682</v>
      </c>
      <c r="J20">
        <f t="shared" si="1"/>
        <v>31.126222444793203</v>
      </c>
      <c r="K20">
        <f t="shared" si="1"/>
        <v>77.448019559216263</v>
      </c>
      <c r="L20">
        <f t="shared" si="1"/>
        <v>56.862744594172675</v>
      </c>
      <c r="M20">
        <f t="shared" si="1"/>
        <v>61.775503009740369</v>
      </c>
      <c r="O20" s="2" t="s">
        <v>305</v>
      </c>
      <c r="P20" s="2">
        <v>3860.2273999999998</v>
      </c>
      <c r="Q20" s="2">
        <v>1912.0394166666665</v>
      </c>
      <c r="R20" s="2">
        <v>45524.802266666666</v>
      </c>
      <c r="S20" s="2">
        <v>535.05941666666649</v>
      </c>
      <c r="T20" s="2"/>
      <c r="U20" s="2"/>
      <c r="V20" s="2"/>
      <c r="X20" s="9"/>
      <c r="Y20" s="9"/>
      <c r="Z20" s="9"/>
      <c r="AA20" s="9"/>
      <c r="AB20" s="9"/>
      <c r="AC20" s="9"/>
      <c r="AD20" s="9"/>
      <c r="AE20" s="9"/>
    </row>
    <row r="21" spans="1:31" x14ac:dyDescent="0.25">
      <c r="A21" s="182" t="s">
        <v>730</v>
      </c>
      <c r="B21">
        <v>0.88913942754422881</v>
      </c>
      <c r="C21">
        <f t="shared" ref="C21:M21" si="2">C24+C25+C27</f>
        <v>27.664832316473174</v>
      </c>
      <c r="D21">
        <f t="shared" si="2"/>
        <v>8.0997847006286374</v>
      </c>
      <c r="E21">
        <f t="shared" si="2"/>
        <v>28.976141357071963</v>
      </c>
      <c r="F21">
        <f t="shared" si="2"/>
        <v>6.6211331848980945</v>
      </c>
      <c r="G21">
        <f t="shared" si="2"/>
        <v>35.656798086702963</v>
      </c>
      <c r="H21">
        <f t="shared" si="2"/>
        <v>164.43717851239896</v>
      </c>
      <c r="I21">
        <f t="shared" si="2"/>
        <v>21.817370468339934</v>
      </c>
      <c r="J21">
        <f t="shared" si="2"/>
        <v>64.741508832158516</v>
      </c>
      <c r="K21">
        <f t="shared" si="2"/>
        <v>415.61172033585791</v>
      </c>
      <c r="L21">
        <f t="shared" si="2"/>
        <v>318.193837338234</v>
      </c>
      <c r="M21">
        <f t="shared" si="2"/>
        <v>354.80293300705949</v>
      </c>
      <c r="O21" s="2" t="s">
        <v>306</v>
      </c>
      <c r="P21" s="2">
        <v>3899.5415333333331</v>
      </c>
      <c r="Q21" s="2">
        <v>2057.2757000000001</v>
      </c>
      <c r="R21" s="2">
        <v>34338.905766666663</v>
      </c>
      <c r="S21" s="2">
        <v>680.29570000000012</v>
      </c>
      <c r="T21" s="2"/>
      <c r="U21" s="2"/>
      <c r="V21" s="2"/>
      <c r="X21" s="9"/>
      <c r="Y21" s="9"/>
      <c r="Z21" s="9"/>
      <c r="AA21" s="9"/>
      <c r="AB21" s="9"/>
      <c r="AC21" s="9"/>
      <c r="AD21" s="9"/>
      <c r="AE21" s="9"/>
    </row>
    <row r="22" spans="1:31" x14ac:dyDescent="0.25">
      <c r="B22">
        <v>0.36350635934012698</v>
      </c>
      <c r="O22" s="2" t="s">
        <v>307</v>
      </c>
      <c r="P22" s="2">
        <v>3595.1597285714283</v>
      </c>
      <c r="Q22" s="2">
        <v>1908.5939714285716</v>
      </c>
      <c r="R22" s="2">
        <v>39702.589071428571</v>
      </c>
      <c r="S22" s="2">
        <v>531.61397142857163</v>
      </c>
      <c r="T22" s="2"/>
      <c r="U22" s="2"/>
      <c r="V22" s="2"/>
      <c r="X22" s="9"/>
      <c r="Y22" s="9"/>
      <c r="Z22" s="9"/>
      <c r="AA22" s="9"/>
      <c r="AB22" s="9"/>
      <c r="AC22" s="9"/>
      <c r="AD22" s="9"/>
      <c r="AE22" s="9"/>
    </row>
    <row r="23" spans="1:31" x14ac:dyDescent="0.25">
      <c r="B23">
        <v>8.4529608129301472</v>
      </c>
      <c r="O23" s="2" t="s">
        <v>308</v>
      </c>
      <c r="P23" s="2">
        <v>4888.7733000000007</v>
      </c>
      <c r="Q23" s="2">
        <v>2089.78406</v>
      </c>
      <c r="R23" s="2">
        <v>30627.31424</v>
      </c>
      <c r="S23" s="2">
        <v>712.80405999999994</v>
      </c>
      <c r="T23" s="2"/>
      <c r="U23" s="2"/>
      <c r="V23" s="2"/>
      <c r="X23" s="9"/>
      <c r="Y23" s="9"/>
      <c r="Z23" s="9"/>
      <c r="AA23" s="9"/>
      <c r="AB23" s="9"/>
      <c r="AC23" s="9"/>
      <c r="AD23" s="9"/>
      <c r="AE23" s="9"/>
    </row>
    <row r="24" spans="1:31" x14ac:dyDescent="0.25">
      <c r="A24" s="182" t="s">
        <v>275</v>
      </c>
      <c r="C24">
        <v>22.345869172676672</v>
      </c>
      <c r="D24">
        <v>6.535591325870616</v>
      </c>
      <c r="E24">
        <v>23.549942207311787</v>
      </c>
      <c r="F24">
        <v>5.4084680652236719</v>
      </c>
      <c r="G24">
        <v>29.048965549364755</v>
      </c>
      <c r="H24">
        <v>133.03908233345123</v>
      </c>
      <c r="I24">
        <v>18.050850808563737</v>
      </c>
      <c r="J24">
        <v>53.502458810236718</v>
      </c>
      <c r="K24">
        <v>335.26584746445883</v>
      </c>
      <c r="L24">
        <v>261.45091354818283</v>
      </c>
      <c r="M24" s="140">
        <v>289.59301544133621</v>
      </c>
      <c r="O24" s="2" t="s">
        <v>311</v>
      </c>
      <c r="P24" s="2">
        <v>3355.8813916666663</v>
      </c>
      <c r="Q24" s="2">
        <v>2076.3356250000002</v>
      </c>
      <c r="R24" s="2">
        <v>35738.66930833333</v>
      </c>
      <c r="S24" s="2">
        <v>699.35562500000015</v>
      </c>
      <c r="T24" s="2"/>
      <c r="U24" s="2"/>
      <c r="V24" s="2"/>
      <c r="X24" s="9"/>
      <c r="Y24" s="9"/>
      <c r="Z24" s="9"/>
      <c r="AA24" s="9"/>
      <c r="AB24" s="9"/>
      <c r="AC24" s="9"/>
      <c r="AD24" s="9"/>
      <c r="AE24" s="9"/>
    </row>
    <row r="25" spans="1:31" x14ac:dyDescent="0.25">
      <c r="A25" s="182" t="s">
        <v>300</v>
      </c>
      <c r="B25">
        <v>2.5352712017665651</v>
      </c>
      <c r="C25">
        <v>4.6382035988077241</v>
      </c>
      <c r="D25">
        <v>1.3550819941836492</v>
      </c>
      <c r="E25">
        <v>4.5373846762856695</v>
      </c>
      <c r="F25">
        <v>0.96794504989041552</v>
      </c>
      <c r="G25">
        <v>5.3693499451838687</v>
      </c>
      <c r="H25">
        <v>27.119320706989779</v>
      </c>
      <c r="I25">
        <v>2.7088599786765934</v>
      </c>
      <c r="J25">
        <v>8.057762419572386</v>
      </c>
      <c r="K25">
        <v>71.196760803789488</v>
      </c>
      <c r="L25">
        <v>43.5594324250253</v>
      </c>
      <c r="M25" s="140">
        <v>50.549738507955169</v>
      </c>
      <c r="O25" s="2" t="s">
        <v>312</v>
      </c>
      <c r="P25" s="2">
        <v>3132.5043000000001</v>
      </c>
      <c r="Q25" s="2">
        <v>2070.9222</v>
      </c>
      <c r="R25" s="2">
        <v>33492.505499999999</v>
      </c>
      <c r="S25" s="2">
        <v>693.94219999999996</v>
      </c>
      <c r="T25" s="2"/>
      <c r="U25" s="2"/>
      <c r="V25" s="2"/>
      <c r="X25" s="9"/>
      <c r="Y25" s="9"/>
      <c r="Z25" s="9"/>
      <c r="AA25" s="9"/>
      <c r="AB25" s="9"/>
      <c r="AC25" s="9"/>
      <c r="AD25" s="9"/>
      <c r="AE25" s="9"/>
    </row>
    <row r="26" spans="1:31" x14ac:dyDescent="0.25">
      <c r="A26" s="182" t="s">
        <v>297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40">
        <v>0</v>
      </c>
      <c r="O26" s="2" t="s">
        <v>313</v>
      </c>
      <c r="P26" s="2">
        <v>3500.6702416666667</v>
      </c>
      <c r="Q26" s="2">
        <v>1965.2430666666667</v>
      </c>
      <c r="R26" s="2">
        <v>40291.817600000002</v>
      </c>
      <c r="S26" s="2">
        <v>588.26306666666665</v>
      </c>
      <c r="T26" s="2"/>
      <c r="U26" s="2"/>
      <c r="V26" s="2"/>
      <c r="X26" s="9"/>
      <c r="Y26" s="9"/>
      <c r="Z26" s="9"/>
      <c r="AA26" s="9"/>
      <c r="AB26" s="9"/>
      <c r="AC26" s="9"/>
      <c r="AD26" s="9"/>
      <c r="AE26" s="9"/>
    </row>
    <row r="27" spans="1:31" ht="15.75" thickBot="1" x14ac:dyDescent="0.3">
      <c r="A27" s="210" t="s">
        <v>298</v>
      </c>
      <c r="B27">
        <v>0.58535777598589545</v>
      </c>
      <c r="C27">
        <v>0.68075954498877611</v>
      </c>
      <c r="D27">
        <v>0.20911138057437229</v>
      </c>
      <c r="E27">
        <v>0.88881447347450748</v>
      </c>
      <c r="F27">
        <v>0.24472006978400748</v>
      </c>
      <c r="G27">
        <v>1.2384825921543381</v>
      </c>
      <c r="H27">
        <v>4.2787754719579532</v>
      </c>
      <c r="I27">
        <v>1.0576596810996057</v>
      </c>
      <c r="J27">
        <v>3.1812876023494105</v>
      </c>
      <c r="K27">
        <v>9.1491120676095523</v>
      </c>
      <c r="L27">
        <v>13.183491365025899</v>
      </c>
      <c r="M27" s="140">
        <v>14.660179057768101</v>
      </c>
      <c r="O27" s="2" t="s">
        <v>314</v>
      </c>
      <c r="P27" s="2">
        <v>4938.5840399999997</v>
      </c>
      <c r="Q27" s="2">
        <v>1924.0320799999997</v>
      </c>
      <c r="R27" s="2">
        <v>41690.58382</v>
      </c>
      <c r="S27" s="2">
        <v>547.05207999999971</v>
      </c>
      <c r="T27" s="2"/>
      <c r="U27" s="2"/>
      <c r="V27" s="2"/>
      <c r="X27" s="9"/>
      <c r="Y27" s="9"/>
      <c r="Z27" s="9"/>
      <c r="AA27" s="9"/>
      <c r="AB27" s="9"/>
      <c r="AC27" s="9"/>
      <c r="AD27" s="9"/>
      <c r="AE27" s="9"/>
    </row>
    <row r="28" spans="1:31" ht="15.75" thickBot="1" x14ac:dyDescent="0.3">
      <c r="A28" s="211" t="s">
        <v>727</v>
      </c>
      <c r="B28" s="212">
        <f t="shared" ref="B28:M28" si="3">SUM(B19:B21)</f>
        <v>23.29888998328617</v>
      </c>
      <c r="C28" s="212">
        <f t="shared" si="3"/>
        <v>85.268068924942213</v>
      </c>
      <c r="D28" s="212">
        <f t="shared" si="3"/>
        <v>65.397361675282781</v>
      </c>
      <c r="E28" s="212">
        <f t="shared" si="3"/>
        <v>86.631470903258588</v>
      </c>
      <c r="F28" s="212">
        <f t="shared" si="3"/>
        <v>63.902404265959028</v>
      </c>
      <c r="G28" s="212">
        <f t="shared" si="3"/>
        <v>93.452526949923083</v>
      </c>
      <c r="H28" s="212">
        <f t="shared" si="3"/>
        <v>229.75883573197524</v>
      </c>
      <c r="I28" s="212">
        <f t="shared" si="3"/>
        <v>79.324690343875787</v>
      </c>
      <c r="J28" s="212">
        <f t="shared" si="3"/>
        <v>123.43349832751436</v>
      </c>
      <c r="K28" s="212">
        <f t="shared" si="3"/>
        <v>520.62550683581605</v>
      </c>
      <c r="L28" s="212">
        <f t="shared" si="3"/>
        <v>402.62234894212611</v>
      </c>
      <c r="M28" s="212">
        <f t="shared" si="3"/>
        <v>444.14420296607688</v>
      </c>
      <c r="N28" s="214"/>
      <c r="O28" s="2" t="s">
        <v>315</v>
      </c>
      <c r="P28" s="2">
        <v>4397.2955666666667</v>
      </c>
      <c r="Q28" s="2">
        <v>1846.9015333333334</v>
      </c>
      <c r="R28" s="2">
        <v>45594.677533333328</v>
      </c>
      <c r="S28" s="2">
        <v>469.9215333333334</v>
      </c>
      <c r="T28" s="2"/>
      <c r="U28" s="2"/>
      <c r="V28" s="2"/>
      <c r="X28" s="9"/>
      <c r="Y28" s="9"/>
      <c r="Z28" s="9"/>
      <c r="AA28" s="9"/>
      <c r="AB28" s="9"/>
      <c r="AC28" s="9"/>
      <c r="AD28" s="9"/>
      <c r="AE28" s="9"/>
    </row>
    <row r="29" spans="1:31" ht="23.25" x14ac:dyDescent="0.25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"/>
      <c r="T29" s="2"/>
      <c r="U29" s="2"/>
      <c r="V29" s="2"/>
      <c r="X29" s="9"/>
      <c r="Y29" s="9"/>
      <c r="Z29" s="9"/>
      <c r="AA29" s="9"/>
      <c r="AB29" s="9"/>
      <c r="AC29" s="9"/>
      <c r="AD29" s="9"/>
      <c r="AE29" s="9"/>
    </row>
    <row r="30" spans="1:31" ht="15.75" thickBot="1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T30" s="2"/>
      <c r="U30" s="2"/>
      <c r="V30" s="2"/>
      <c r="X30" s="9"/>
      <c r="Y30" s="9"/>
      <c r="Z30" s="9"/>
      <c r="AA30" s="9"/>
      <c r="AB30" s="9"/>
      <c r="AC30" s="9"/>
      <c r="AD30" s="9"/>
      <c r="AE30" s="9"/>
    </row>
    <row r="31" spans="1:31" x14ac:dyDescent="0.25">
      <c r="G31" s="217" t="s">
        <v>590</v>
      </c>
      <c r="H31" s="215"/>
      <c r="I31" s="215"/>
      <c r="J31" s="215"/>
      <c r="K31" s="215"/>
      <c r="L31" s="215"/>
      <c r="M31" s="215"/>
      <c r="N31" s="216"/>
      <c r="T31" s="2"/>
      <c r="U31" s="2"/>
      <c r="V31" s="2"/>
      <c r="X31" s="9"/>
      <c r="Y31" s="9"/>
      <c r="Z31" s="9"/>
      <c r="AA31" s="9"/>
      <c r="AB31" s="9"/>
      <c r="AC31" s="9"/>
      <c r="AD31" s="9"/>
      <c r="AE31" s="9"/>
    </row>
    <row r="32" spans="1:31" ht="85.5" customHeight="1" thickBot="1" x14ac:dyDescent="0.4">
      <c r="B32" t="s">
        <v>752</v>
      </c>
      <c r="G32" s="218" t="s">
        <v>268</v>
      </c>
      <c r="H32" s="219"/>
      <c r="I32" s="128" t="s">
        <v>270</v>
      </c>
      <c r="N32" s="140"/>
      <c r="T32" s="2"/>
      <c r="U32" s="2"/>
      <c r="V32" s="2"/>
      <c r="X32" s="9"/>
      <c r="Y32" s="9"/>
      <c r="Z32" s="9"/>
      <c r="AA32" s="9"/>
      <c r="AB32" s="9"/>
      <c r="AC32" s="9"/>
      <c r="AD32" s="9"/>
      <c r="AE32" s="9"/>
    </row>
    <row r="33" spans="1:44" ht="32.25" customHeight="1" thickBot="1" x14ac:dyDescent="0.3">
      <c r="A33" t="s">
        <v>815</v>
      </c>
      <c r="B33">
        <v>16.77</v>
      </c>
      <c r="C33">
        <v>526</v>
      </c>
      <c r="D33">
        <f>B33/100*C33</f>
        <v>88.2102</v>
      </c>
      <c r="G33" s="195" t="s">
        <v>610</v>
      </c>
      <c r="H33" s="29" t="s">
        <v>302</v>
      </c>
      <c r="I33" s="29" t="s">
        <v>301</v>
      </c>
      <c r="J33" s="128" t="s">
        <v>588</v>
      </c>
      <c r="K33" s="197" t="s">
        <v>609</v>
      </c>
      <c r="L33" s="161"/>
      <c r="M33" s="161" t="s">
        <v>593</v>
      </c>
      <c r="N33" s="196" t="s">
        <v>594</v>
      </c>
      <c r="T33" s="2"/>
      <c r="U33" s="2"/>
      <c r="V33" s="2"/>
      <c r="X33" s="9"/>
      <c r="Y33" s="9"/>
      <c r="Z33" s="9"/>
      <c r="AA33" s="9"/>
      <c r="AB33" s="9"/>
      <c r="AC33" s="9"/>
      <c r="AD33" s="9"/>
      <c r="AE33" s="9"/>
    </row>
    <row r="34" spans="1:44" ht="18.75" thickBot="1" x14ac:dyDescent="0.4">
      <c r="A34" t="s">
        <v>303</v>
      </c>
      <c r="B34">
        <v>17.103281279863499</v>
      </c>
      <c r="C34" s="212">
        <v>3259.2121568107359</v>
      </c>
      <c r="D34">
        <f>B34/100*C34</f>
        <v>557.43222268684599</v>
      </c>
      <c r="G34" s="163" t="s">
        <v>269</v>
      </c>
      <c r="H34" s="29" t="s">
        <v>303</v>
      </c>
      <c r="I34" s="119">
        <v>3053.9668937500005</v>
      </c>
      <c r="J34">
        <v>164</v>
      </c>
      <c r="K34" s="130">
        <v>16</v>
      </c>
      <c r="M34" s="193">
        <v>5399118</v>
      </c>
      <c r="N34" s="140">
        <f t="shared" ref="N34:N44" si="4">M34/J34</f>
        <v>32921.451219512193</v>
      </c>
      <c r="O34" t="s">
        <v>607</v>
      </c>
      <c r="P34" t="s">
        <v>606</v>
      </c>
      <c r="Q34" s="25"/>
      <c r="R34" s="25"/>
      <c r="S34" s="25"/>
      <c r="T34" s="2"/>
      <c r="U34" s="2"/>
      <c r="V34" s="2"/>
      <c r="X34" s="9"/>
      <c r="Y34" s="9"/>
      <c r="Z34" s="9"/>
      <c r="AA34" s="9"/>
      <c r="AB34" s="9"/>
      <c r="AC34" s="9"/>
      <c r="AD34" s="9"/>
      <c r="AE34" s="9"/>
    </row>
    <row r="35" spans="1:44" ht="15.75" customHeight="1" thickBot="1" x14ac:dyDescent="0.4">
      <c r="A35" t="s">
        <v>312</v>
      </c>
      <c r="B35">
        <v>0</v>
      </c>
      <c r="C35" s="212">
        <v>3382.4213910622884</v>
      </c>
      <c r="D35">
        <f t="shared" ref="D35:D44" si="5">B35/100*C35</f>
        <v>0</v>
      </c>
      <c r="G35" s="163" t="s">
        <v>114</v>
      </c>
      <c r="H35" s="29" t="s">
        <v>312</v>
      </c>
      <c r="I35" s="119">
        <v>3132.5043000000001</v>
      </c>
      <c r="J35">
        <v>4</v>
      </c>
      <c r="K35" s="130">
        <v>1</v>
      </c>
      <c r="M35" s="193">
        <v>173954</v>
      </c>
      <c r="N35" s="140">
        <f t="shared" si="4"/>
        <v>43488.5</v>
      </c>
      <c r="O35" t="s">
        <v>304</v>
      </c>
      <c r="P35">
        <v>12</v>
      </c>
      <c r="Q35" s="25"/>
      <c r="R35" s="25"/>
      <c r="S35" s="25"/>
      <c r="T35" s="2"/>
      <c r="U35" s="2"/>
      <c r="V35" s="2"/>
      <c r="X35" s="9"/>
      <c r="Y35" s="9"/>
      <c r="Z35" s="9"/>
      <c r="AA35" s="9"/>
      <c r="AB35" s="9"/>
      <c r="AC35" s="9"/>
      <c r="AD35" s="9"/>
      <c r="AE35" s="9"/>
    </row>
    <row r="36" spans="1:44" ht="15.75" customHeight="1" thickBot="1" x14ac:dyDescent="0.4">
      <c r="A36" t="s">
        <v>311</v>
      </c>
      <c r="B36">
        <v>12.0445220968152</v>
      </c>
      <c r="C36" s="212">
        <v>3638.5060990546244</v>
      </c>
      <c r="D36">
        <f t="shared" si="5"/>
        <v>438.24067109460299</v>
      </c>
      <c r="G36" s="163" t="s">
        <v>271</v>
      </c>
      <c r="H36" s="29" t="s">
        <v>311</v>
      </c>
      <c r="I36" s="119">
        <v>3355.8813916666663</v>
      </c>
      <c r="J36">
        <f>J50-J41-J44-J43-J42-J40-J39-J38-J37-J35-J34</f>
        <v>199</v>
      </c>
      <c r="K36" s="130">
        <v>12</v>
      </c>
      <c r="M36" s="193">
        <v>15386407</v>
      </c>
      <c r="N36" s="140">
        <f t="shared" si="4"/>
        <v>77318.628140703513</v>
      </c>
      <c r="O36" t="s">
        <v>303</v>
      </c>
      <c r="P36">
        <v>16</v>
      </c>
      <c r="Q36" s="25"/>
      <c r="R36" s="25"/>
      <c r="S36" s="25"/>
      <c r="T36" s="2"/>
      <c r="U36" s="2"/>
      <c r="V36" s="2"/>
      <c r="X36" s="9"/>
      <c r="Y36" s="9"/>
      <c r="Z36" s="9"/>
      <c r="AA36" s="9"/>
      <c r="AB36" s="9"/>
      <c r="AC36" s="9"/>
      <c r="AD36" s="9"/>
      <c r="AE36" s="9"/>
    </row>
    <row r="37" spans="1:44" ht="15.75" customHeight="1" thickBot="1" x14ac:dyDescent="0.4">
      <c r="A37" t="s">
        <v>313</v>
      </c>
      <c r="B37">
        <v>11.833108674461682</v>
      </c>
      <c r="C37" s="212">
        <v>3855.7189674061447</v>
      </c>
      <c r="D37">
        <f t="shared" si="5"/>
        <v>456.25141559500094</v>
      </c>
      <c r="G37" s="163" t="s">
        <v>271</v>
      </c>
      <c r="H37" s="29" t="s">
        <v>313</v>
      </c>
      <c r="I37" s="119">
        <v>3500.6702416666667</v>
      </c>
      <c r="J37">
        <v>158</v>
      </c>
      <c r="K37" s="130">
        <v>13</v>
      </c>
      <c r="M37" s="193">
        <v>8787554</v>
      </c>
      <c r="N37" s="140">
        <f t="shared" si="4"/>
        <v>55617.430379746838</v>
      </c>
      <c r="O37" t="s">
        <v>305</v>
      </c>
      <c r="P37">
        <v>6</v>
      </c>
      <c r="Q37" s="25"/>
      <c r="R37" s="25"/>
      <c r="S37" s="25"/>
      <c r="T37" s="2"/>
      <c r="U37" s="2"/>
      <c r="V37" s="2"/>
      <c r="X37" s="9"/>
      <c r="Y37" s="9"/>
      <c r="Z37" s="9"/>
      <c r="AA37" s="9"/>
      <c r="AB37" s="9"/>
      <c r="AC37" s="9"/>
      <c r="AD37" s="9"/>
      <c r="AE37" s="9"/>
    </row>
    <row r="38" spans="1:44" ht="15.75" customHeight="1" thickBot="1" x14ac:dyDescent="0.4">
      <c r="A38" t="s">
        <v>307</v>
      </c>
      <c r="B38">
        <v>12.8037748325635</v>
      </c>
      <c r="C38" s="212">
        <v>3937.0874062070779</v>
      </c>
      <c r="D38">
        <f t="shared" si="5"/>
        <v>504.09580645196894</v>
      </c>
      <c r="G38" s="163" t="s">
        <v>271</v>
      </c>
      <c r="H38" s="29" t="s">
        <v>307</v>
      </c>
      <c r="I38" s="119">
        <v>3595.1597285714283</v>
      </c>
      <c r="J38">
        <v>6</v>
      </c>
      <c r="K38" s="130">
        <v>7</v>
      </c>
      <c r="M38" s="193">
        <v>531948</v>
      </c>
      <c r="N38" s="140">
        <f t="shared" si="4"/>
        <v>88658</v>
      </c>
      <c r="O38" t="s">
        <v>306</v>
      </c>
      <c r="P38">
        <v>3</v>
      </c>
      <c r="Q38" s="25"/>
      <c r="R38" s="25"/>
      <c r="S38" s="25"/>
      <c r="T38" s="2"/>
      <c r="U38" s="2"/>
      <c r="V38" s="2"/>
      <c r="X38" s="9"/>
      <c r="Y38" s="9"/>
      <c r="Z38" s="9"/>
      <c r="AA38" s="9"/>
      <c r="AB38" s="9"/>
      <c r="AC38" s="9"/>
      <c r="AD38" s="9"/>
      <c r="AE38" s="9"/>
    </row>
    <row r="39" spans="1:44" ht="15.75" customHeight="1" thickBot="1" x14ac:dyDescent="0.4">
      <c r="A39" t="s">
        <v>306</v>
      </c>
      <c r="B39">
        <v>0.8962878995536232</v>
      </c>
      <c r="C39" s="212">
        <v>4162.0467319872914</v>
      </c>
      <c r="D39">
        <f t="shared" si="5"/>
        <v>37.30392123256911</v>
      </c>
      <c r="G39" s="163" t="s">
        <v>271</v>
      </c>
      <c r="H39" s="29" t="s">
        <v>305</v>
      </c>
      <c r="I39" s="119">
        <v>3860.2273999999998</v>
      </c>
      <c r="J39">
        <v>16</v>
      </c>
      <c r="K39" s="130">
        <v>6</v>
      </c>
      <c r="M39" s="193">
        <v>1431792</v>
      </c>
      <c r="N39" s="140">
        <f t="shared" si="4"/>
        <v>89487</v>
      </c>
      <c r="O39" t="s">
        <v>307</v>
      </c>
      <c r="P39">
        <v>7</v>
      </c>
      <c r="Q39" s="25"/>
      <c r="R39" s="25"/>
      <c r="S39" s="25"/>
      <c r="T39" s="2"/>
      <c r="U39" s="2"/>
      <c r="V39" s="2"/>
      <c r="X39" s="9"/>
      <c r="Y39" s="9"/>
      <c r="Z39" s="9"/>
      <c r="AA39" s="9"/>
      <c r="AB39" s="9"/>
      <c r="AC39" s="9"/>
      <c r="AD39" s="9"/>
      <c r="AE39" s="9"/>
    </row>
    <row r="40" spans="1:44" ht="15.75" customHeight="1" thickBot="1" x14ac:dyDescent="0.4">
      <c r="A40" t="s">
        <v>305</v>
      </c>
      <c r="B40">
        <v>8.6913386901353107</v>
      </c>
      <c r="C40" s="212">
        <v>4291.667080560117</v>
      </c>
      <c r="D40">
        <f t="shared" si="5"/>
        <v>373.00332142452203</v>
      </c>
      <c r="G40" s="163" t="s">
        <v>271</v>
      </c>
      <c r="H40" s="29" t="s">
        <v>306</v>
      </c>
      <c r="I40" s="119">
        <v>3899.5415333333331</v>
      </c>
      <c r="J40">
        <v>23</v>
      </c>
      <c r="K40" s="130">
        <v>3</v>
      </c>
      <c r="M40" s="193">
        <v>825474</v>
      </c>
      <c r="N40" s="140">
        <f t="shared" si="4"/>
        <v>35890.17391304348</v>
      </c>
      <c r="O40" t="s">
        <v>308</v>
      </c>
      <c r="P40">
        <v>5</v>
      </c>
      <c r="Q40" s="25"/>
      <c r="R40" s="25"/>
      <c r="S40" s="25"/>
      <c r="T40" s="2"/>
      <c r="U40" s="2"/>
      <c r="V40" s="2"/>
      <c r="X40" s="9"/>
      <c r="Y40" s="9"/>
      <c r="Z40" s="9"/>
      <c r="AA40" s="9"/>
      <c r="AB40" s="9"/>
      <c r="AC40" s="9"/>
      <c r="AD40" s="9"/>
      <c r="AE40" s="9"/>
    </row>
    <row r="41" spans="1:44" ht="15.75" customHeight="1" thickBot="1" x14ac:dyDescent="0.4">
      <c r="A41" t="s">
        <v>315</v>
      </c>
      <c r="B41">
        <v>2.286565470960082</v>
      </c>
      <c r="C41" s="212">
        <v>4471.3812258564303</v>
      </c>
      <c r="D41">
        <f t="shared" si="5"/>
        <v>102.24105918542479</v>
      </c>
      <c r="G41" s="163" t="s">
        <v>317</v>
      </c>
      <c r="H41" s="29" t="s">
        <v>315</v>
      </c>
      <c r="I41" s="119">
        <v>4397.2955666666667</v>
      </c>
      <c r="J41">
        <v>1</v>
      </c>
      <c r="K41" s="130">
        <v>3</v>
      </c>
      <c r="M41" s="193">
        <v>44238</v>
      </c>
      <c r="N41" s="140">
        <f t="shared" si="4"/>
        <v>44238</v>
      </c>
      <c r="O41" t="s">
        <v>309</v>
      </c>
      <c r="P41">
        <v>10</v>
      </c>
      <c r="Q41" s="25"/>
      <c r="R41" s="25"/>
      <c r="S41" s="25"/>
      <c r="T41" s="2"/>
      <c r="U41" s="2"/>
      <c r="V41" s="2"/>
      <c r="X41" s="9"/>
      <c r="Y41" s="9"/>
      <c r="Z41" s="9"/>
      <c r="AA41" s="9"/>
      <c r="AB41" s="9"/>
      <c r="AC41" s="9"/>
      <c r="AD41" s="9"/>
      <c r="AE41" s="9"/>
    </row>
    <row r="42" spans="1:44" ht="15.75" customHeight="1" thickBot="1" x14ac:dyDescent="0.4">
      <c r="A42" t="s">
        <v>308</v>
      </c>
      <c r="B42">
        <v>3.4282224596821766</v>
      </c>
      <c r="C42" s="212">
        <v>5107.0163818732926</v>
      </c>
      <c r="D42">
        <f t="shared" si="5"/>
        <v>175.07988262302828</v>
      </c>
      <c r="G42" s="163" t="s">
        <v>272</v>
      </c>
      <c r="H42" s="29" t="s">
        <v>308</v>
      </c>
      <c r="I42" s="119">
        <v>4888.7733000000007</v>
      </c>
      <c r="J42">
        <v>33</v>
      </c>
      <c r="K42" s="130">
        <v>5</v>
      </c>
      <c r="M42" s="193">
        <v>1037782</v>
      </c>
      <c r="N42" s="140">
        <f t="shared" si="4"/>
        <v>31447.939393939392</v>
      </c>
      <c r="O42" t="s">
        <v>310</v>
      </c>
      <c r="P42">
        <v>6</v>
      </c>
      <c r="T42" s="2"/>
      <c r="U42" s="2"/>
      <c r="V42" s="2"/>
      <c r="X42" s="9"/>
      <c r="Y42" s="9"/>
      <c r="Z42" s="9"/>
      <c r="AA42" s="9"/>
      <c r="AB42" s="9"/>
      <c r="AC42" s="9"/>
      <c r="AD42" s="9"/>
      <c r="AE42" s="9"/>
    </row>
    <row r="43" spans="1:44" ht="15.75" customHeight="1" thickBot="1" x14ac:dyDescent="0.4">
      <c r="A43" t="s">
        <v>314</v>
      </c>
      <c r="B43">
        <v>2.8738857629529839</v>
      </c>
      <c r="C43" s="212">
        <v>5328.627165072171</v>
      </c>
      <c r="D43">
        <f t="shared" si="5"/>
        <v>153.13865745785432</v>
      </c>
      <c r="G43" s="163" t="s">
        <v>317</v>
      </c>
      <c r="H43" s="29" t="s">
        <v>314</v>
      </c>
      <c r="I43" s="119">
        <v>4938.6000000000004</v>
      </c>
      <c r="J43">
        <v>30</v>
      </c>
      <c r="K43" s="130">
        <v>5</v>
      </c>
      <c r="M43" s="193">
        <v>1214618</v>
      </c>
      <c r="N43" s="140">
        <f t="shared" si="4"/>
        <v>40487.26666666667</v>
      </c>
      <c r="O43" t="s">
        <v>311</v>
      </c>
      <c r="P43">
        <v>12</v>
      </c>
      <c r="T43" s="2"/>
      <c r="U43" s="2"/>
      <c r="V43" s="2"/>
      <c r="X43" s="9"/>
      <c r="Y43" s="9"/>
      <c r="Z43" s="9"/>
      <c r="AA43" s="9"/>
      <c r="AB43" s="9"/>
      <c r="AC43" s="9"/>
      <c r="AD43" s="9"/>
      <c r="AE43" s="9"/>
      <c r="AP43" s="77"/>
      <c r="AR43" s="77"/>
    </row>
    <row r="44" spans="1:44" ht="15.75" customHeight="1" thickBot="1" x14ac:dyDescent="0.4">
      <c r="A44" t="s">
        <v>304</v>
      </c>
      <c r="B44">
        <v>3.3855830262516338</v>
      </c>
      <c r="C44" s="213">
        <v>5368.8771058925931</v>
      </c>
      <c r="D44">
        <f t="shared" si="5"/>
        <v>181.7677919974096</v>
      </c>
      <c r="G44" s="163" t="s">
        <v>272</v>
      </c>
      <c r="H44" s="72" t="s">
        <v>304</v>
      </c>
      <c r="I44" s="119">
        <v>5050.8452000000007</v>
      </c>
      <c r="J44">
        <v>92</v>
      </c>
      <c r="K44" s="130">
        <v>12</v>
      </c>
      <c r="M44" s="193">
        <v>4647178</v>
      </c>
      <c r="N44" s="140">
        <f t="shared" si="4"/>
        <v>50512.804347826088</v>
      </c>
      <c r="O44" t="s">
        <v>312</v>
      </c>
      <c r="P44">
        <v>1</v>
      </c>
      <c r="T44" s="2"/>
      <c r="U44" s="2"/>
      <c r="V44" s="2"/>
      <c r="X44" s="9"/>
      <c r="Y44" s="9"/>
      <c r="Z44" s="9"/>
      <c r="AA44" s="9"/>
      <c r="AB44" s="9"/>
      <c r="AC44" s="9"/>
      <c r="AD44" s="9"/>
      <c r="AE44" s="9"/>
    </row>
    <row r="45" spans="1:44" ht="15.75" customHeight="1" x14ac:dyDescent="0.35">
      <c r="G45" s="130"/>
      <c r="K45" s="130"/>
      <c r="M45" s="194"/>
      <c r="N45" s="140"/>
      <c r="O45" t="s">
        <v>313</v>
      </c>
      <c r="P45">
        <v>13</v>
      </c>
      <c r="T45" s="2"/>
      <c r="U45" s="2"/>
      <c r="V45" s="2"/>
      <c r="X45" s="9"/>
      <c r="Y45" s="9"/>
      <c r="Z45" s="9"/>
      <c r="AA45" s="9"/>
      <c r="AB45" s="9"/>
      <c r="AC45" s="9"/>
      <c r="AD45" s="9"/>
      <c r="AE45" s="9"/>
    </row>
    <row r="46" spans="1:44" ht="15.75" customHeight="1" x14ac:dyDescent="0.25">
      <c r="C46" s="77">
        <f>AVERAGE(C34:C44)</f>
        <v>4254.7783374347964</v>
      </c>
      <c r="G46" s="130"/>
      <c r="K46" s="130"/>
      <c r="N46" s="140"/>
      <c r="O46" t="s">
        <v>314</v>
      </c>
      <c r="P46">
        <v>5</v>
      </c>
      <c r="T46" s="117"/>
      <c r="U46" s="117"/>
      <c r="X46" s="9"/>
      <c r="Y46" s="9"/>
      <c r="Z46" s="9"/>
      <c r="AA46" s="9"/>
      <c r="AB46" s="9"/>
      <c r="AC46" s="9"/>
      <c r="AD46" s="9"/>
      <c r="AE46" s="9"/>
    </row>
    <row r="47" spans="1:44" x14ac:dyDescent="0.25">
      <c r="G47" s="130"/>
      <c r="K47" s="130"/>
      <c r="N47" s="140"/>
      <c r="O47" t="s">
        <v>315</v>
      </c>
      <c r="P47">
        <v>3</v>
      </c>
      <c r="T47" s="117"/>
      <c r="U47" s="117"/>
      <c r="X47" s="9"/>
      <c r="Y47" s="9"/>
      <c r="Z47" s="9"/>
      <c r="AA47" s="9"/>
      <c r="AB47" s="9"/>
      <c r="AC47" s="9"/>
      <c r="AD47" s="9"/>
      <c r="AE47" s="9"/>
      <c r="AO47" s="110"/>
      <c r="AP47" s="77"/>
    </row>
    <row r="48" spans="1:44" ht="28.5" customHeight="1" x14ac:dyDescent="0.35">
      <c r="G48" s="163" t="s">
        <v>272</v>
      </c>
      <c r="H48" s="29" t="s">
        <v>310</v>
      </c>
      <c r="I48" s="119">
        <v>4600.5274666666664</v>
      </c>
      <c r="J48">
        <v>0</v>
      </c>
      <c r="K48" s="130">
        <v>6</v>
      </c>
      <c r="M48" s="193">
        <v>45493</v>
      </c>
      <c r="N48" s="140"/>
      <c r="X48" s="9"/>
      <c r="Y48" s="9"/>
      <c r="Z48" s="9"/>
      <c r="AA48" s="9"/>
      <c r="AB48" s="9"/>
      <c r="AC48" s="9"/>
      <c r="AD48" s="9"/>
      <c r="AE48" s="9"/>
    </row>
    <row r="49" spans="2:31" ht="15.75" customHeight="1" x14ac:dyDescent="0.35">
      <c r="B49">
        <v>16.77</v>
      </c>
      <c r="C49">
        <v>526</v>
      </c>
      <c r="D49">
        <f>B49/100*C49</f>
        <v>88.2102</v>
      </c>
      <c r="G49" s="163" t="s">
        <v>316</v>
      </c>
      <c r="H49" s="29" t="s">
        <v>309</v>
      </c>
      <c r="I49" s="119">
        <v>6853.1804000000002</v>
      </c>
      <c r="J49">
        <v>0</v>
      </c>
      <c r="K49" s="130">
        <v>10</v>
      </c>
      <c r="M49" s="193">
        <v>40692</v>
      </c>
      <c r="N49" s="140"/>
      <c r="X49" s="9"/>
      <c r="Y49" s="9"/>
      <c r="Z49" s="9"/>
      <c r="AA49" s="9"/>
      <c r="AB49" s="9"/>
      <c r="AC49" s="9"/>
      <c r="AD49" s="9"/>
      <c r="AE49" s="9"/>
    </row>
    <row r="50" spans="2:31" ht="15.75" customHeight="1" x14ac:dyDescent="0.25">
      <c r="B50">
        <v>17.103281279863499</v>
      </c>
      <c r="C50">
        <v>85.268068924942213</v>
      </c>
      <c r="D50">
        <f>B50/100*C50</f>
        <v>14.583637670140748</v>
      </c>
      <c r="G50" s="130"/>
      <c r="J50">
        <v>726</v>
      </c>
      <c r="K50" s="130"/>
      <c r="N50" s="140"/>
      <c r="X50" s="9"/>
      <c r="Y50" s="9"/>
      <c r="Z50" s="9"/>
      <c r="AA50" s="9"/>
      <c r="AB50" s="9"/>
      <c r="AC50" s="9"/>
      <c r="AD50" s="9"/>
      <c r="AE50" s="9"/>
    </row>
    <row r="51" spans="2:31" ht="18.75" thickBot="1" x14ac:dyDescent="0.4">
      <c r="B51">
        <v>0</v>
      </c>
      <c r="C51">
        <v>65.397361675282781</v>
      </c>
      <c r="D51">
        <f t="shared" ref="D51:D60" si="6">B51/100*C51</f>
        <v>0</v>
      </c>
      <c r="G51" s="132"/>
      <c r="H51" s="27"/>
      <c r="I51" s="27"/>
      <c r="J51" s="27">
        <f>SUM(J34:J49)</f>
        <v>726</v>
      </c>
      <c r="K51" s="132"/>
      <c r="L51" s="27"/>
      <c r="M51" s="164">
        <v>39566248</v>
      </c>
      <c r="N51" s="153">
        <f>M51/J51</f>
        <v>54498.964187327823</v>
      </c>
      <c r="X51" s="9"/>
      <c r="Y51" s="9"/>
      <c r="Z51" s="9"/>
      <c r="AA51" s="9"/>
      <c r="AB51" s="9"/>
      <c r="AC51" s="9"/>
      <c r="AD51" s="9"/>
      <c r="AE51" s="9"/>
    </row>
    <row r="52" spans="2:31" ht="16.5" customHeight="1" x14ac:dyDescent="0.25">
      <c r="B52">
        <v>12.0445220968152</v>
      </c>
      <c r="C52">
        <v>86.631470903258588</v>
      </c>
      <c r="D52">
        <f t="shared" si="6"/>
        <v>10.434346655739011</v>
      </c>
      <c r="F52" s="162" t="s">
        <v>592</v>
      </c>
      <c r="G52" s="192" t="s">
        <v>591</v>
      </c>
      <c r="X52" s="9"/>
      <c r="Y52" s="9"/>
      <c r="Z52" s="9"/>
      <c r="AA52" s="9"/>
      <c r="AB52" s="9"/>
      <c r="AC52" s="9"/>
      <c r="AD52" s="9"/>
      <c r="AE52" s="9"/>
    </row>
    <row r="53" spans="2:31" x14ac:dyDescent="0.25">
      <c r="B53">
        <v>11.833108674461682</v>
      </c>
      <c r="C53">
        <v>63.902404265959028</v>
      </c>
      <c r="D53">
        <f t="shared" si="6"/>
        <v>7.5616409423847699</v>
      </c>
      <c r="G53" t="s">
        <v>608</v>
      </c>
      <c r="X53" s="9"/>
      <c r="Y53" s="9"/>
      <c r="Z53" s="9"/>
      <c r="AA53" s="9"/>
      <c r="AB53" s="9"/>
      <c r="AC53" s="9"/>
      <c r="AD53" s="9"/>
      <c r="AE53" s="9"/>
    </row>
    <row r="54" spans="2:31" x14ac:dyDescent="0.25">
      <c r="B54">
        <v>12.8037748325635</v>
      </c>
      <c r="C54">
        <v>93.452526949923083</v>
      </c>
      <c r="D54">
        <f t="shared" si="6"/>
        <v>11.965451126008874</v>
      </c>
      <c r="X54" s="9"/>
      <c r="Y54" s="9"/>
      <c r="Z54" s="9"/>
      <c r="AA54" s="9"/>
      <c r="AB54" s="9"/>
      <c r="AC54" s="9"/>
      <c r="AD54" s="9"/>
      <c r="AE54" s="9"/>
    </row>
    <row r="55" spans="2:31" x14ac:dyDescent="0.25">
      <c r="B55">
        <v>0.8962878995536232</v>
      </c>
      <c r="C55">
        <v>229.75883573197524</v>
      </c>
      <c r="D55">
        <f t="shared" si="6"/>
        <v>2.0593006428209804</v>
      </c>
      <c r="X55" s="9"/>
      <c r="Y55" s="9"/>
      <c r="Z55" s="9"/>
      <c r="AA55" s="9"/>
      <c r="AB55" s="9"/>
      <c r="AC55" s="9"/>
      <c r="AD55" s="9"/>
      <c r="AE55" s="9"/>
    </row>
    <row r="56" spans="2:31" x14ac:dyDescent="0.25">
      <c r="B56">
        <v>8.6913386901353107</v>
      </c>
      <c r="C56" s="140">
        <v>79.324690343875787</v>
      </c>
      <c r="D56">
        <f t="shared" si="6"/>
        <v>6.8943775026873055</v>
      </c>
      <c r="X56" s="9"/>
      <c r="Y56" s="9"/>
      <c r="Z56" s="9"/>
      <c r="AA56" s="9"/>
      <c r="AB56" s="9"/>
      <c r="AC56" s="9"/>
      <c r="AD56" s="9"/>
      <c r="AE56" s="9"/>
    </row>
    <row r="57" spans="2:31" x14ac:dyDescent="0.25">
      <c r="B57">
        <v>2.286565470960082</v>
      </c>
      <c r="C57">
        <v>123.43349832751436</v>
      </c>
      <c r="D57">
        <f t="shared" si="6"/>
        <v>2.8223877523550338</v>
      </c>
      <c r="X57" s="9"/>
      <c r="Y57" s="9"/>
      <c r="Z57" s="9"/>
      <c r="AA57" s="9"/>
      <c r="AB57" s="9"/>
      <c r="AC57" s="9"/>
      <c r="AD57" s="9"/>
      <c r="AE57" s="9"/>
    </row>
    <row r="58" spans="2:31" x14ac:dyDescent="0.25">
      <c r="B58">
        <v>3.4282224596821766</v>
      </c>
      <c r="C58">
        <v>520.62550683581605</v>
      </c>
      <c r="D58">
        <f t="shared" si="6"/>
        <v>17.848200556179613</v>
      </c>
      <c r="X58" s="9"/>
      <c r="Y58" s="9"/>
      <c r="Z58" s="9"/>
      <c r="AA58" s="9"/>
      <c r="AB58" s="9"/>
      <c r="AC58" s="9"/>
      <c r="AD58" s="9"/>
      <c r="AE58" s="9"/>
    </row>
    <row r="59" spans="2:31" x14ac:dyDescent="0.25">
      <c r="B59">
        <v>2.8738857629529839</v>
      </c>
      <c r="C59">
        <v>402.62234894212611</v>
      </c>
      <c r="D59">
        <f t="shared" si="6"/>
        <v>11.570906364714645</v>
      </c>
      <c r="X59" s="9"/>
      <c r="Y59" s="9"/>
      <c r="Z59" s="9"/>
      <c r="AA59" s="9"/>
      <c r="AB59" s="9"/>
      <c r="AC59" s="9"/>
      <c r="AD59" s="9"/>
      <c r="AE59" s="9"/>
    </row>
    <row r="60" spans="2:31" x14ac:dyDescent="0.25">
      <c r="B60">
        <v>3.3855830262516338</v>
      </c>
      <c r="C60">
        <v>444.14420296607688</v>
      </c>
      <c r="D60">
        <f t="shared" si="6"/>
        <v>15.036870747700105</v>
      </c>
      <c r="E60" s="222" t="s">
        <v>302</v>
      </c>
      <c r="F60" s="222" t="s">
        <v>734</v>
      </c>
      <c r="G60" s="222" t="s">
        <v>733</v>
      </c>
      <c r="H60" s="140"/>
      <c r="V60" s="117"/>
      <c r="X60" s="9"/>
      <c r="Y60" s="9"/>
      <c r="Z60" s="9"/>
      <c r="AA60" s="9"/>
      <c r="AB60" s="9"/>
      <c r="AC60" s="9"/>
      <c r="AD60" s="9"/>
      <c r="AE60" s="9"/>
    </row>
    <row r="61" spans="2:31" x14ac:dyDescent="0.25">
      <c r="E61" s="222" t="s">
        <v>303</v>
      </c>
      <c r="F61" s="222">
        <v>164</v>
      </c>
      <c r="G61" s="222">
        <v>16</v>
      </c>
      <c r="H61" s="140"/>
      <c r="X61" s="9"/>
      <c r="Y61" s="9"/>
      <c r="Z61" s="9"/>
      <c r="AA61" s="9"/>
      <c r="AB61" s="9"/>
      <c r="AC61" s="9"/>
      <c r="AD61" s="9"/>
      <c r="AE61" s="9"/>
    </row>
    <row r="62" spans="2:31" x14ac:dyDescent="0.25">
      <c r="E62" s="222" t="s">
        <v>312</v>
      </c>
      <c r="F62" s="222">
        <v>4</v>
      </c>
      <c r="G62" s="222">
        <v>1</v>
      </c>
      <c r="H62" s="140"/>
      <c r="X62" s="9"/>
      <c r="Y62" s="9"/>
      <c r="Z62" s="9"/>
      <c r="AA62" s="9"/>
      <c r="AB62" s="9"/>
      <c r="AC62" s="9"/>
      <c r="AD62" s="9"/>
      <c r="AE62" s="9"/>
    </row>
    <row r="63" spans="2:31" x14ac:dyDescent="0.25">
      <c r="E63" s="222" t="s">
        <v>311</v>
      </c>
      <c r="F63" s="222">
        <v>199</v>
      </c>
      <c r="G63" s="222">
        <v>12</v>
      </c>
      <c r="H63" s="140"/>
      <c r="X63" s="9"/>
      <c r="Y63" s="9"/>
      <c r="Z63" s="9"/>
      <c r="AA63" s="9"/>
      <c r="AB63" s="9"/>
      <c r="AC63" s="9"/>
      <c r="AD63" s="9"/>
      <c r="AE63" s="9"/>
    </row>
    <row r="64" spans="2:31" x14ac:dyDescent="0.25">
      <c r="E64" s="222" t="s">
        <v>313</v>
      </c>
      <c r="F64" s="222">
        <v>158</v>
      </c>
      <c r="G64" s="222">
        <v>13</v>
      </c>
      <c r="H64" s="140"/>
      <c r="X64" s="9"/>
      <c r="Y64" s="9"/>
      <c r="Z64" s="9"/>
      <c r="AA64" s="9"/>
      <c r="AB64" s="9"/>
      <c r="AC64" s="9"/>
      <c r="AD64" s="9"/>
      <c r="AE64" s="9"/>
    </row>
    <row r="65" spans="1:33" x14ac:dyDescent="0.25">
      <c r="E65" s="222" t="s">
        <v>307</v>
      </c>
      <c r="F65" s="222">
        <v>6</v>
      </c>
      <c r="G65" s="222">
        <v>7</v>
      </c>
      <c r="H65" s="140"/>
      <c r="X65" s="9"/>
      <c r="Y65" s="9"/>
      <c r="Z65" s="9"/>
      <c r="AA65" s="9"/>
      <c r="AB65" s="9"/>
      <c r="AC65" s="9"/>
      <c r="AD65" s="9"/>
      <c r="AE65" s="9"/>
    </row>
    <row r="66" spans="1:33" x14ac:dyDescent="0.25">
      <c r="E66" s="222" t="s">
        <v>305</v>
      </c>
      <c r="F66" s="222">
        <v>16</v>
      </c>
      <c r="G66" s="222">
        <v>6</v>
      </c>
      <c r="H66" s="140"/>
      <c r="X66" s="9"/>
      <c r="Y66" s="9"/>
      <c r="Z66" s="9"/>
      <c r="AA66" s="9"/>
      <c r="AB66" s="9"/>
      <c r="AC66" s="9"/>
      <c r="AD66" s="9"/>
      <c r="AE66" s="9"/>
    </row>
    <row r="67" spans="1:33" x14ac:dyDescent="0.25">
      <c r="E67" s="222" t="s">
        <v>306</v>
      </c>
      <c r="F67" s="222">
        <v>23</v>
      </c>
      <c r="G67" s="222">
        <v>3</v>
      </c>
      <c r="H67" s="140"/>
      <c r="X67" s="9"/>
      <c r="Y67" s="9"/>
      <c r="Z67" s="9"/>
      <c r="AA67" s="9"/>
      <c r="AB67" s="9"/>
      <c r="AC67" s="9"/>
      <c r="AD67" s="9"/>
      <c r="AE67" s="9"/>
    </row>
    <row r="68" spans="1:33" x14ac:dyDescent="0.25">
      <c r="E68" s="222" t="s">
        <v>315</v>
      </c>
      <c r="F68" s="222">
        <v>1</v>
      </c>
      <c r="G68" s="222">
        <v>3</v>
      </c>
      <c r="H68" s="140"/>
      <c r="X68" s="9"/>
      <c r="Y68" s="9"/>
      <c r="Z68" s="9"/>
      <c r="AA68" s="9"/>
      <c r="AB68" s="9"/>
      <c r="AC68" s="9"/>
      <c r="AD68" s="9"/>
      <c r="AE68" s="9"/>
    </row>
    <row r="69" spans="1:33" x14ac:dyDescent="0.25">
      <c r="E69" s="222" t="s">
        <v>308</v>
      </c>
      <c r="F69" s="222">
        <v>33</v>
      </c>
      <c r="G69" s="222">
        <v>5</v>
      </c>
      <c r="H69" s="140"/>
      <c r="X69" s="9"/>
      <c r="Y69" s="9"/>
      <c r="Z69" s="9"/>
      <c r="AA69" s="9"/>
      <c r="AB69" s="9"/>
      <c r="AC69" s="9"/>
      <c r="AD69" s="9"/>
      <c r="AE69" s="9"/>
    </row>
    <row r="70" spans="1:33" x14ac:dyDescent="0.25">
      <c r="E70" s="222" t="s">
        <v>314</v>
      </c>
      <c r="F70" s="222">
        <v>30</v>
      </c>
      <c r="G70" s="222">
        <v>5</v>
      </c>
      <c r="H70" s="140"/>
      <c r="X70" s="9"/>
      <c r="Y70" s="9"/>
      <c r="Z70" s="9"/>
      <c r="AA70" s="9"/>
      <c r="AB70" s="9"/>
      <c r="AC70" s="9"/>
      <c r="AD70" s="9"/>
      <c r="AE70" s="9"/>
    </row>
    <row r="71" spans="1:33" x14ac:dyDescent="0.25">
      <c r="E71" s="223" t="s">
        <v>304</v>
      </c>
      <c r="F71" s="222">
        <v>92</v>
      </c>
      <c r="G71" s="222">
        <v>12</v>
      </c>
      <c r="H71" s="140"/>
      <c r="X71" s="9"/>
      <c r="Y71" s="9"/>
      <c r="Z71" s="9"/>
      <c r="AA71" s="9"/>
      <c r="AB71" s="9"/>
      <c r="AC71" s="9"/>
      <c r="AD71" s="9"/>
      <c r="AE71" s="9"/>
    </row>
    <row r="72" spans="1:33" x14ac:dyDescent="0.25">
      <c r="H72" s="140"/>
      <c r="X72" s="9"/>
      <c r="Y72" s="9"/>
      <c r="Z72" s="9"/>
      <c r="AA72" s="9"/>
      <c r="AB72" s="9"/>
      <c r="AC72" s="9"/>
      <c r="AD72" s="9"/>
      <c r="AE72" s="9"/>
    </row>
    <row r="73" spans="1:33" x14ac:dyDescent="0.25">
      <c r="A73">
        <v>23.29888998328617</v>
      </c>
      <c r="B73">
        <v>85.268068924942213</v>
      </c>
      <c r="C73">
        <v>65.397361675282781</v>
      </c>
      <c r="D73">
        <v>86.631470903258588</v>
      </c>
      <c r="E73">
        <v>63.902404265959028</v>
      </c>
      <c r="F73">
        <v>93.452526949923083</v>
      </c>
      <c r="G73">
        <v>229.75883573197524</v>
      </c>
      <c r="H73" s="140">
        <v>79.324690343875787</v>
      </c>
      <c r="I73">
        <v>123.43349832751436</v>
      </c>
      <c r="J73">
        <v>520.62550683581605</v>
      </c>
      <c r="K73">
        <v>402.62234894212611</v>
      </c>
      <c r="L73">
        <v>444.14420296607688</v>
      </c>
      <c r="X73" s="9"/>
      <c r="Y73" s="9"/>
      <c r="Z73" s="9"/>
      <c r="AA73" s="9"/>
      <c r="AB73" s="9"/>
      <c r="AC73" s="9"/>
      <c r="AD73" s="9"/>
      <c r="AE73" s="9"/>
    </row>
    <row r="74" spans="1:33" ht="15.75" thickBot="1" x14ac:dyDescent="0.3">
      <c r="H74" s="140"/>
      <c r="W74" s="27"/>
      <c r="X74" s="9"/>
      <c r="Y74" s="9"/>
      <c r="Z74" s="9"/>
      <c r="AA74" s="9"/>
      <c r="AB74" s="9"/>
      <c r="AC74" s="9"/>
      <c r="AD74" s="9"/>
      <c r="AE74" s="9"/>
    </row>
    <row r="75" spans="1:33" x14ac:dyDescent="0.25">
      <c r="H75" s="140"/>
      <c r="V75" s="2"/>
      <c r="W75" s="2"/>
      <c r="X75" s="9"/>
      <c r="Y75" s="9"/>
      <c r="Z75" s="9"/>
      <c r="AA75" s="9"/>
      <c r="AB75" s="9"/>
      <c r="AC75" s="9"/>
      <c r="AD75" s="9"/>
      <c r="AE75" s="9"/>
    </row>
    <row r="76" spans="1:33" ht="15" customHeight="1" x14ac:dyDescent="0.25">
      <c r="G76" s="201"/>
      <c r="H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</row>
    <row r="77" spans="1:33" ht="15" customHeight="1" x14ac:dyDescent="0.25"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</row>
    <row r="78" spans="1:33" ht="15.75" customHeight="1" x14ac:dyDescent="0.25"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</row>
    <row r="79" spans="1:33" ht="15" customHeight="1" x14ac:dyDescent="0.25"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</row>
    <row r="80" spans="1:33" ht="15" customHeight="1" x14ac:dyDescent="0.25"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</row>
    <row r="81" spans="7:33" ht="15" customHeight="1" x14ac:dyDescent="0.25"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</row>
    <row r="82" spans="7:33" ht="15" customHeight="1" x14ac:dyDescent="0.25"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</row>
    <row r="83" spans="7:33" ht="15" customHeight="1" x14ac:dyDescent="0.25"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</row>
    <row r="84" spans="7:33" ht="15" customHeight="1" x14ac:dyDescent="0.25"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</row>
    <row r="85" spans="7:33" ht="15" customHeight="1" x14ac:dyDescent="0.25"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</row>
    <row r="86" spans="7:33" ht="15" customHeight="1" x14ac:dyDescent="0.25"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</row>
    <row r="87" spans="7:33" ht="15" customHeight="1" x14ac:dyDescent="0.25"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</row>
    <row r="88" spans="7:33" ht="15" customHeight="1" x14ac:dyDescent="0.25"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  <c r="AB88" s="201"/>
      <c r="AC88" s="201"/>
      <c r="AD88" s="201"/>
      <c r="AE88" s="201"/>
      <c r="AF88" s="201"/>
      <c r="AG88" s="201"/>
    </row>
    <row r="89" spans="7:33" ht="15" customHeight="1" x14ac:dyDescent="0.25"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</row>
    <row r="90" spans="7:33" ht="15" customHeight="1" x14ac:dyDescent="0.25"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</row>
    <row r="91" spans="7:33" ht="15" customHeight="1" x14ac:dyDescent="0.25"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</row>
    <row r="92" spans="7:33" ht="15" customHeight="1" x14ac:dyDescent="0.25"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</row>
    <row r="93" spans="7:33" ht="15" customHeight="1" x14ac:dyDescent="0.25"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</row>
    <row r="94" spans="7:33" ht="15" customHeight="1" x14ac:dyDescent="0.25"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</row>
    <row r="95" spans="7:33" ht="15" customHeight="1" x14ac:dyDescent="0.25"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</row>
    <row r="96" spans="7:33" ht="15" customHeight="1" x14ac:dyDescent="0.25"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</row>
    <row r="97" spans="7:33" ht="15" customHeight="1" x14ac:dyDescent="0.25"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</row>
    <row r="98" spans="7:33" ht="15" customHeight="1" x14ac:dyDescent="0.25"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</row>
    <row r="99" spans="7:33" ht="15" customHeight="1" x14ac:dyDescent="0.25"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</row>
    <row r="100" spans="7:33" ht="15" customHeight="1" x14ac:dyDescent="0.25"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</row>
    <row r="101" spans="7:33" ht="15" customHeight="1" x14ac:dyDescent="0.25"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</row>
    <row r="102" spans="7:33" ht="15" customHeight="1" x14ac:dyDescent="0.25"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</row>
    <row r="103" spans="7:33" ht="15" customHeight="1" x14ac:dyDescent="0.25"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</row>
    <row r="104" spans="7:33" ht="15" customHeight="1" x14ac:dyDescent="0.25"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</row>
    <row r="105" spans="7:33" ht="15" customHeight="1" x14ac:dyDescent="0.25"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</row>
    <row r="106" spans="7:33" ht="15" customHeight="1" x14ac:dyDescent="0.25"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</row>
    <row r="107" spans="7:33" ht="15" customHeight="1" x14ac:dyDescent="0.25"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</row>
    <row r="108" spans="7:33" ht="15" customHeight="1" x14ac:dyDescent="0.25"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</row>
    <row r="109" spans="7:33" ht="15" customHeight="1" x14ac:dyDescent="0.25"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</row>
    <row r="110" spans="7:33" ht="15" customHeight="1" x14ac:dyDescent="0.25"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  <c r="AB110" s="201"/>
      <c r="AC110" s="201"/>
      <c r="AD110" s="201"/>
      <c r="AE110" s="201"/>
      <c r="AF110" s="201"/>
      <c r="AG110" s="201"/>
    </row>
  </sheetData>
  <sortState xmlns:xlrd2="http://schemas.microsoft.com/office/spreadsheetml/2017/richdata2" ref="O18:S30">
    <sortCondition ref="O18:O30"/>
  </sortState>
  <mergeCells count="1">
    <mergeCell ref="B1:M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CF8C-B719-4C2D-AE3E-418D840F3DFF}">
  <dimension ref="A1:AO199"/>
  <sheetViews>
    <sheetView topLeftCell="A101" zoomScale="70" zoomScaleNormal="70" workbookViewId="0">
      <selection activeCell="M129" sqref="M129:M153"/>
    </sheetView>
  </sheetViews>
  <sheetFormatPr defaultColWidth="9.140625" defaultRowHeight="15" x14ac:dyDescent="0.25"/>
  <cols>
    <col min="5" max="5" width="11.140625" customWidth="1"/>
    <col min="6" max="6" width="31.140625" customWidth="1"/>
    <col min="7" max="7" width="17" customWidth="1"/>
    <col min="8" max="8" width="14.140625" customWidth="1"/>
    <col min="9" max="9" width="16.140625" customWidth="1"/>
    <col min="10" max="10" width="19.7109375" customWidth="1"/>
    <col min="14" max="14" width="19.28515625" customWidth="1"/>
    <col min="16" max="16" width="13.5703125" customWidth="1"/>
    <col min="18" max="18" width="13" customWidth="1"/>
    <col min="38" max="38" width="28.140625" customWidth="1"/>
  </cols>
  <sheetData>
    <row r="1" spans="1:40" x14ac:dyDescent="0.25">
      <c r="A1" s="294" t="s">
        <v>726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</row>
    <row r="2" spans="1:40" ht="15.75" thickBot="1" x14ac:dyDescent="0.3"/>
    <row r="3" spans="1:40" x14ac:dyDescent="0.25">
      <c r="A3" s="295" t="s">
        <v>647</v>
      </c>
      <c r="B3" s="296"/>
      <c r="C3" s="296"/>
      <c r="D3" s="296"/>
      <c r="E3" s="296"/>
      <c r="F3" s="296"/>
      <c r="G3" s="296"/>
      <c r="H3" s="297"/>
      <c r="I3" s="295" t="s">
        <v>649</v>
      </c>
      <c r="J3" s="296"/>
      <c r="K3" s="296"/>
      <c r="L3" s="296"/>
      <c r="M3" s="296"/>
      <c r="N3" s="296"/>
      <c r="O3" s="296"/>
      <c r="P3" s="297"/>
      <c r="Q3" s="295" t="s">
        <v>650</v>
      </c>
      <c r="R3" s="296"/>
      <c r="S3" s="296"/>
      <c r="T3" s="296"/>
      <c r="U3" s="296"/>
      <c r="V3" s="296"/>
      <c r="W3" s="296"/>
      <c r="X3" s="297"/>
      <c r="Y3" s="295" t="s">
        <v>651</v>
      </c>
      <c r="Z3" s="296"/>
      <c r="AA3" s="296"/>
      <c r="AB3" s="296"/>
      <c r="AC3" s="296"/>
      <c r="AD3" s="296"/>
      <c r="AE3" s="296"/>
      <c r="AF3" s="297"/>
      <c r="AG3" s="295" t="s">
        <v>652</v>
      </c>
      <c r="AH3" s="296"/>
      <c r="AI3" s="296"/>
      <c r="AJ3" s="296"/>
      <c r="AK3" s="296"/>
      <c r="AL3" s="296"/>
      <c r="AM3" s="296"/>
      <c r="AN3" s="297"/>
    </row>
    <row r="4" spans="1:40" x14ac:dyDescent="0.25">
      <c r="A4" s="130" t="s">
        <v>555</v>
      </c>
      <c r="F4" t="s">
        <v>106</v>
      </c>
      <c r="G4" t="s">
        <v>556</v>
      </c>
      <c r="H4" s="140" t="s">
        <v>557</v>
      </c>
      <c r="I4" s="130" t="s">
        <v>555</v>
      </c>
      <c r="N4" t="s">
        <v>106</v>
      </c>
      <c r="O4" t="s">
        <v>556</v>
      </c>
      <c r="P4" s="140" t="s">
        <v>557</v>
      </c>
      <c r="Q4" s="130" t="s">
        <v>555</v>
      </c>
      <c r="V4" t="s">
        <v>106</v>
      </c>
      <c r="W4" t="s">
        <v>556</v>
      </c>
      <c r="X4" s="140" t="s">
        <v>557</v>
      </c>
      <c r="Y4" s="130" t="s">
        <v>555</v>
      </c>
      <c r="AD4" t="s">
        <v>106</v>
      </c>
      <c r="AE4" t="s">
        <v>556</v>
      </c>
      <c r="AF4" s="140" t="s">
        <v>557</v>
      </c>
      <c r="AG4" s="130" t="s">
        <v>555</v>
      </c>
      <c r="AL4" t="s">
        <v>106</v>
      </c>
      <c r="AM4" t="s">
        <v>556</v>
      </c>
      <c r="AN4" s="140" t="s">
        <v>557</v>
      </c>
    </row>
    <row r="5" spans="1:40" x14ac:dyDescent="0.25">
      <c r="A5" s="25">
        <v>100</v>
      </c>
      <c r="F5" t="s">
        <v>558</v>
      </c>
      <c r="G5">
        <v>3259.1852992716099</v>
      </c>
      <c r="H5" s="140" t="s">
        <v>559</v>
      </c>
      <c r="I5" s="185">
        <v>1</v>
      </c>
      <c r="N5" t="s">
        <v>596</v>
      </c>
      <c r="O5">
        <v>5341.3587187678804</v>
      </c>
      <c r="P5" s="140" t="s">
        <v>559</v>
      </c>
      <c r="Q5" s="25">
        <v>100</v>
      </c>
      <c r="V5" t="s">
        <v>612</v>
      </c>
      <c r="W5">
        <v>4291.6679109470797</v>
      </c>
      <c r="X5" s="140" t="s">
        <v>559</v>
      </c>
      <c r="Y5" s="25">
        <v>100</v>
      </c>
      <c r="AD5" t="s">
        <v>617</v>
      </c>
      <c r="AE5">
        <v>4156.0603541263699</v>
      </c>
      <c r="AF5" s="140" t="s">
        <v>559</v>
      </c>
      <c r="AG5" s="25">
        <v>100</v>
      </c>
      <c r="AL5" t="s">
        <v>632</v>
      </c>
      <c r="AM5">
        <v>3855.7449631648101</v>
      </c>
      <c r="AN5" s="140" t="s">
        <v>559</v>
      </c>
    </row>
    <row r="6" spans="1:40" x14ac:dyDescent="0.25">
      <c r="B6" s="25">
        <v>98.4</v>
      </c>
      <c r="F6" t="s">
        <v>560</v>
      </c>
      <c r="G6">
        <v>3208.5129770672802</v>
      </c>
      <c r="H6" s="140" t="s">
        <v>559</v>
      </c>
      <c r="I6" s="130"/>
      <c r="J6" s="25">
        <v>99.1</v>
      </c>
      <c r="N6" t="s">
        <v>597</v>
      </c>
      <c r="O6">
        <v>5290.6863964058302</v>
      </c>
      <c r="P6" s="140" t="s">
        <v>559</v>
      </c>
      <c r="R6" s="25">
        <v>98.8</v>
      </c>
      <c r="V6" t="s">
        <v>613</v>
      </c>
      <c r="W6">
        <v>4240.9955888847498</v>
      </c>
      <c r="X6" s="140" t="s">
        <v>559</v>
      </c>
      <c r="Z6" s="25">
        <v>98.8</v>
      </c>
      <c r="AD6" t="s">
        <v>618</v>
      </c>
      <c r="AE6">
        <v>4105.3880321584702</v>
      </c>
      <c r="AF6" s="140" t="s">
        <v>559</v>
      </c>
      <c r="AH6" s="25">
        <v>98.7</v>
      </c>
      <c r="AL6" t="s">
        <v>633</v>
      </c>
      <c r="AM6">
        <v>3805.0726409814301</v>
      </c>
      <c r="AN6" s="140" t="s">
        <v>559</v>
      </c>
    </row>
    <row r="7" spans="1:40" x14ac:dyDescent="0.25">
      <c r="C7" s="25">
        <v>88.6</v>
      </c>
      <c r="F7" t="s">
        <v>611</v>
      </c>
      <c r="G7">
        <v>2887.5321171314599</v>
      </c>
      <c r="H7" s="140" t="s">
        <v>559</v>
      </c>
      <c r="I7" s="130"/>
      <c r="K7" s="25">
        <v>93</v>
      </c>
      <c r="N7" t="s">
        <v>598</v>
      </c>
      <c r="O7">
        <v>4969.7055364007902</v>
      </c>
      <c r="P7" s="140" t="s">
        <v>559</v>
      </c>
      <c r="S7" s="25">
        <v>91.3</v>
      </c>
      <c r="V7" t="s">
        <v>614</v>
      </c>
      <c r="W7">
        <v>3920.0147289607798</v>
      </c>
      <c r="X7" s="140" t="s">
        <v>559</v>
      </c>
      <c r="AA7" s="25">
        <v>91.1</v>
      </c>
      <c r="AD7" t="s">
        <v>619</v>
      </c>
      <c r="AE7">
        <v>3784.4071721522</v>
      </c>
      <c r="AF7" s="140" t="s">
        <v>559</v>
      </c>
      <c r="AI7" s="25">
        <v>90.4</v>
      </c>
      <c r="AL7" t="s">
        <v>634</v>
      </c>
      <c r="AM7">
        <v>3484.0917809460798</v>
      </c>
      <c r="AN7" s="140" t="s">
        <v>559</v>
      </c>
    </row>
    <row r="8" spans="1:40" x14ac:dyDescent="0.25">
      <c r="D8" s="25">
        <v>70.099999999999994</v>
      </c>
      <c r="F8" t="s">
        <v>561</v>
      </c>
      <c r="G8">
        <v>2284.5239035568202</v>
      </c>
      <c r="H8" s="140" t="s">
        <v>559</v>
      </c>
      <c r="I8" s="130"/>
      <c r="L8" s="25">
        <v>81.8</v>
      </c>
      <c r="N8" t="s">
        <v>599</v>
      </c>
      <c r="O8">
        <v>4366.6973221257604</v>
      </c>
      <c r="P8" s="140" t="s">
        <v>559</v>
      </c>
      <c r="T8" s="25">
        <v>77.3</v>
      </c>
      <c r="V8" t="s">
        <v>615</v>
      </c>
      <c r="W8">
        <v>3317.0065156831802</v>
      </c>
      <c r="X8" s="140" t="s">
        <v>559</v>
      </c>
      <c r="AB8" s="25">
        <v>76.5</v>
      </c>
      <c r="AD8" t="s">
        <v>620</v>
      </c>
      <c r="AE8">
        <v>3181.3989572220298</v>
      </c>
      <c r="AF8" s="140" t="s">
        <v>559</v>
      </c>
      <c r="AG8" s="25"/>
      <c r="AJ8" s="25">
        <v>74.7</v>
      </c>
      <c r="AL8" t="s">
        <v>635</v>
      </c>
      <c r="AM8">
        <v>2881.0835664946799</v>
      </c>
      <c r="AN8" s="140" t="s">
        <v>559</v>
      </c>
    </row>
    <row r="9" spans="1:40" x14ac:dyDescent="0.25">
      <c r="E9" s="25">
        <v>66.5</v>
      </c>
      <c r="F9" t="s">
        <v>562</v>
      </c>
      <c r="G9">
        <v>2168.9377046446598</v>
      </c>
      <c r="H9" s="140" t="s">
        <v>559</v>
      </c>
      <c r="I9" s="130"/>
      <c r="M9" s="25">
        <v>54</v>
      </c>
      <c r="N9" t="s">
        <v>562</v>
      </c>
      <c r="O9">
        <v>2883.2119319061999</v>
      </c>
      <c r="P9" s="140" t="s">
        <v>559</v>
      </c>
      <c r="U9" s="25">
        <v>75.099999999999994</v>
      </c>
      <c r="V9" t="s">
        <v>562</v>
      </c>
      <c r="W9">
        <v>3222.3247010783798</v>
      </c>
      <c r="X9" s="140" t="s">
        <v>559</v>
      </c>
      <c r="AC9" s="25">
        <v>58.5</v>
      </c>
      <c r="AD9" t="s">
        <v>562</v>
      </c>
      <c r="AE9">
        <v>2430.5674928305798</v>
      </c>
      <c r="AF9" s="140" t="s">
        <v>559</v>
      </c>
      <c r="AK9" s="25">
        <v>74</v>
      </c>
      <c r="AL9" t="s">
        <v>562</v>
      </c>
      <c r="AM9">
        <v>2851.9249323659901</v>
      </c>
      <c r="AN9" s="140" t="s">
        <v>559</v>
      </c>
    </row>
    <row r="10" spans="1:40" x14ac:dyDescent="0.25">
      <c r="E10" s="25">
        <v>3.55</v>
      </c>
      <c r="F10" t="s">
        <v>563</v>
      </c>
      <c r="G10">
        <v>115.58620272524</v>
      </c>
      <c r="H10" s="140" t="s">
        <v>559</v>
      </c>
      <c r="I10" s="130"/>
      <c r="M10" s="25">
        <v>27.8</v>
      </c>
      <c r="N10" t="s">
        <v>600</v>
      </c>
      <c r="O10">
        <v>1483.48539104159</v>
      </c>
      <c r="P10" s="140" t="s">
        <v>559</v>
      </c>
      <c r="U10" s="25">
        <v>2.21</v>
      </c>
      <c r="V10" t="s">
        <v>616</v>
      </c>
      <c r="W10">
        <v>94.681810225485506</v>
      </c>
      <c r="X10" s="140" t="s">
        <v>559</v>
      </c>
      <c r="AC10" s="25">
        <v>18.100000000000001</v>
      </c>
      <c r="AD10" t="s">
        <v>621</v>
      </c>
      <c r="AE10">
        <v>750.83146544804595</v>
      </c>
      <c r="AF10" s="140" t="s">
        <v>559</v>
      </c>
      <c r="AK10" s="25">
        <v>0.76</v>
      </c>
      <c r="AL10" t="s">
        <v>636</v>
      </c>
      <c r="AM10">
        <v>29.158626965948901</v>
      </c>
      <c r="AN10" s="140" t="s">
        <v>559</v>
      </c>
    </row>
    <row r="11" spans="1:40" x14ac:dyDescent="0.25">
      <c r="D11" s="25">
        <v>16.3</v>
      </c>
      <c r="F11" t="s">
        <v>564</v>
      </c>
      <c r="G11">
        <v>531.53414222574304</v>
      </c>
      <c r="H11" s="140" t="s">
        <v>559</v>
      </c>
      <c r="I11" s="130"/>
      <c r="L11" s="25">
        <v>9.9499999999999993</v>
      </c>
      <c r="N11" t="s">
        <v>564</v>
      </c>
      <c r="O11">
        <v>531.53414298852397</v>
      </c>
      <c r="P11" s="140" t="s">
        <v>559</v>
      </c>
      <c r="T11" s="25">
        <v>12.4</v>
      </c>
      <c r="V11" t="s">
        <v>564</v>
      </c>
      <c r="W11">
        <v>531.534142006651</v>
      </c>
      <c r="X11" s="140" t="s">
        <v>559</v>
      </c>
      <c r="AB11" s="25">
        <v>12.8</v>
      </c>
      <c r="AD11" t="s">
        <v>564</v>
      </c>
      <c r="AE11">
        <v>531.53414344067903</v>
      </c>
      <c r="AF11" s="140" t="s">
        <v>559</v>
      </c>
      <c r="AJ11" s="25">
        <v>13.8</v>
      </c>
      <c r="AL11" t="s">
        <v>564</v>
      </c>
      <c r="AM11">
        <v>531.53414315013595</v>
      </c>
      <c r="AN11" s="140" t="s">
        <v>559</v>
      </c>
    </row>
    <row r="12" spans="1:40" x14ac:dyDescent="0.25">
      <c r="D12" s="25">
        <v>0.77</v>
      </c>
      <c r="F12" t="s">
        <v>565</v>
      </c>
      <c r="G12">
        <v>25.0461265152117</v>
      </c>
      <c r="H12" s="140" t="s">
        <v>559</v>
      </c>
      <c r="I12" s="130"/>
      <c r="L12" s="25">
        <v>0.47</v>
      </c>
      <c r="N12" t="s">
        <v>565</v>
      </c>
      <c r="O12">
        <v>25.046126515729</v>
      </c>
      <c r="P12" s="140" t="s">
        <v>559</v>
      </c>
      <c r="T12" s="25">
        <v>0.57999999999999996</v>
      </c>
      <c r="V12" t="s">
        <v>565</v>
      </c>
      <c r="W12">
        <v>25.046126515479902</v>
      </c>
      <c r="X12" s="140" t="s">
        <v>559</v>
      </c>
      <c r="AB12" s="25">
        <v>0.6</v>
      </c>
      <c r="AD12" t="s">
        <v>565</v>
      </c>
      <c r="AE12">
        <v>25.0461265161825</v>
      </c>
      <c r="AF12" s="140" t="s">
        <v>559</v>
      </c>
      <c r="AG12" s="25"/>
      <c r="AJ12" s="25">
        <v>0.65</v>
      </c>
      <c r="AL12" t="s">
        <v>565</v>
      </c>
      <c r="AM12">
        <v>25.046126516149901</v>
      </c>
      <c r="AN12" s="140" t="s">
        <v>559</v>
      </c>
    </row>
    <row r="13" spans="1:40" x14ac:dyDescent="0.25">
      <c r="D13" s="25">
        <v>0.56000000000000005</v>
      </c>
      <c r="F13" t="s">
        <v>566</v>
      </c>
      <c r="G13">
        <v>18.321170481778999</v>
      </c>
      <c r="H13" s="140" t="s">
        <v>559</v>
      </c>
      <c r="I13" s="130"/>
      <c r="L13" s="25">
        <v>0.34</v>
      </c>
      <c r="N13" t="s">
        <v>566</v>
      </c>
      <c r="O13">
        <v>18.321170489859</v>
      </c>
      <c r="P13" s="140" t="s">
        <v>559</v>
      </c>
      <c r="T13" s="25">
        <v>0.43</v>
      </c>
      <c r="V13" t="s">
        <v>566</v>
      </c>
      <c r="W13">
        <v>18.3211704500102</v>
      </c>
      <c r="X13" s="140" t="s">
        <v>559</v>
      </c>
      <c r="AB13" s="25">
        <v>0.44</v>
      </c>
      <c r="AD13" t="s">
        <v>566</v>
      </c>
      <c r="AE13">
        <v>18.321170526388801</v>
      </c>
      <c r="AF13" s="140" t="s">
        <v>559</v>
      </c>
      <c r="AG13" s="25"/>
      <c r="AJ13" s="25">
        <v>0.48</v>
      </c>
      <c r="AL13" t="s">
        <v>566</v>
      </c>
      <c r="AM13">
        <v>18.321170500350998</v>
      </c>
      <c r="AN13" s="140" t="s">
        <v>559</v>
      </c>
    </row>
    <row r="14" spans="1:40" x14ac:dyDescent="0.25">
      <c r="D14" s="25">
        <v>0.44</v>
      </c>
      <c r="F14" t="s">
        <v>567</v>
      </c>
      <c r="G14">
        <v>14.2527525156524</v>
      </c>
      <c r="H14" s="140" t="s">
        <v>559</v>
      </c>
      <c r="I14" s="130"/>
      <c r="L14" s="25">
        <v>0.27</v>
      </c>
      <c r="N14" t="s">
        <v>567</v>
      </c>
      <c r="O14">
        <v>14.252752518967901</v>
      </c>
      <c r="P14" s="140" t="s">
        <v>559</v>
      </c>
      <c r="T14" s="25">
        <v>0.33</v>
      </c>
      <c r="V14" t="s">
        <v>567</v>
      </c>
      <c r="W14">
        <v>14.2527524467984</v>
      </c>
      <c r="X14" s="140" t="s">
        <v>559</v>
      </c>
      <c r="AB14" s="25">
        <v>0.34</v>
      </c>
      <c r="AD14" t="s">
        <v>567</v>
      </c>
      <c r="AE14">
        <v>14.252752544079801</v>
      </c>
      <c r="AF14" s="140" t="s">
        <v>559</v>
      </c>
      <c r="AG14" s="25"/>
      <c r="AJ14" s="25">
        <v>0.37</v>
      </c>
      <c r="AL14" t="s">
        <v>567</v>
      </c>
      <c r="AM14">
        <v>14.252752522763901</v>
      </c>
      <c r="AN14" s="140" t="s">
        <v>559</v>
      </c>
    </row>
    <row r="15" spans="1:40" x14ac:dyDescent="0.25">
      <c r="D15" s="25">
        <v>0.26</v>
      </c>
      <c r="F15" t="s">
        <v>568</v>
      </c>
      <c r="G15">
        <v>8.4874789133933994</v>
      </c>
      <c r="H15" s="140" t="s">
        <v>559</v>
      </c>
      <c r="I15" s="130"/>
      <c r="L15" s="25">
        <v>0.16</v>
      </c>
      <c r="N15" t="s">
        <v>568</v>
      </c>
      <c r="O15">
        <v>8.4874788995226709</v>
      </c>
      <c r="P15" s="140" t="s">
        <v>559</v>
      </c>
      <c r="T15" s="25">
        <v>0.2</v>
      </c>
      <c r="V15" t="s">
        <v>568</v>
      </c>
      <c r="W15">
        <v>8.4874789042536207</v>
      </c>
      <c r="X15" s="140" t="s">
        <v>559</v>
      </c>
      <c r="AB15" s="25">
        <v>0.2</v>
      </c>
      <c r="AD15" t="s">
        <v>568</v>
      </c>
      <c r="AE15">
        <v>8.4874789259113097</v>
      </c>
      <c r="AF15" s="140" t="s">
        <v>559</v>
      </c>
      <c r="AG15" s="25"/>
      <c r="AJ15" s="25">
        <v>0.22</v>
      </c>
      <c r="AL15" t="s">
        <v>568</v>
      </c>
      <c r="AM15">
        <v>8.4874789027271103</v>
      </c>
      <c r="AN15" s="140" t="s">
        <v>559</v>
      </c>
    </row>
    <row r="16" spans="1:40" x14ac:dyDescent="0.25">
      <c r="D16" s="25">
        <v>9.7000000000000003E-2</v>
      </c>
      <c r="F16" t="s">
        <v>569</v>
      </c>
      <c r="G16">
        <v>3.1620042985464401</v>
      </c>
      <c r="H16" s="140" t="s">
        <v>559</v>
      </c>
      <c r="I16" s="130"/>
      <c r="L16" s="25">
        <v>5.9200000000000003E-2</v>
      </c>
      <c r="N16" t="s">
        <v>569</v>
      </c>
      <c r="O16">
        <v>3.1620042982150398</v>
      </c>
      <c r="P16" s="140" t="s">
        <v>559</v>
      </c>
      <c r="T16" s="25">
        <v>7.3700000000000002E-2</v>
      </c>
      <c r="V16" t="s">
        <v>569</v>
      </c>
      <c r="W16">
        <v>3.1620042946642899</v>
      </c>
      <c r="X16" s="140" t="s">
        <v>559</v>
      </c>
      <c r="AB16" s="25">
        <v>7.6100000000000001E-2</v>
      </c>
      <c r="AD16" t="s">
        <v>569</v>
      </c>
      <c r="AE16">
        <v>3.1620043016141999</v>
      </c>
      <c r="AF16" s="140" t="s">
        <v>559</v>
      </c>
      <c r="AG16" s="25"/>
      <c r="AJ16" s="25">
        <v>8.2000000000000003E-2</v>
      </c>
      <c r="AL16" t="s">
        <v>569</v>
      </c>
      <c r="AM16">
        <v>3.1620042989193902</v>
      </c>
      <c r="AN16" s="140" t="s">
        <v>559</v>
      </c>
    </row>
    <row r="17" spans="1:40" x14ac:dyDescent="0.25">
      <c r="D17" s="25">
        <v>2.3199999999999998E-2</v>
      </c>
      <c r="F17" t="s">
        <v>570</v>
      </c>
      <c r="G17">
        <v>0.75711756124068996</v>
      </c>
      <c r="H17" s="140" t="s">
        <v>559</v>
      </c>
      <c r="I17" s="130"/>
      <c r="L17" s="25">
        <v>1.4200000000000001E-2</v>
      </c>
      <c r="N17" t="s">
        <v>570</v>
      </c>
      <c r="O17">
        <v>0.75711755989533303</v>
      </c>
      <c r="P17" s="140" t="s">
        <v>559</v>
      </c>
      <c r="T17" s="25">
        <v>1.7600000000000001E-2</v>
      </c>
      <c r="V17" t="s">
        <v>570</v>
      </c>
      <c r="W17">
        <v>0.75711755920434598</v>
      </c>
      <c r="X17" s="140" t="s">
        <v>559</v>
      </c>
      <c r="AB17" s="25">
        <v>1.8200000000000001E-2</v>
      </c>
      <c r="AD17" t="s">
        <v>570</v>
      </c>
      <c r="AE17">
        <v>0.75711756074849401</v>
      </c>
      <c r="AF17" s="140" t="s">
        <v>559</v>
      </c>
      <c r="AG17" s="25"/>
      <c r="AJ17" s="25">
        <v>1.9599999999999999E-2</v>
      </c>
      <c r="AL17" t="s">
        <v>570</v>
      </c>
      <c r="AM17">
        <v>0.75711755959814797</v>
      </c>
      <c r="AN17" s="140" t="s">
        <v>559</v>
      </c>
    </row>
    <row r="18" spans="1:40" x14ac:dyDescent="0.25">
      <c r="D18" s="25">
        <v>2.24E-2</v>
      </c>
      <c r="F18" t="s">
        <v>571</v>
      </c>
      <c r="G18">
        <v>0.73097424565103197</v>
      </c>
      <c r="H18" s="140" t="s">
        <v>559</v>
      </c>
      <c r="I18" s="130"/>
      <c r="L18" s="25">
        <v>1.37E-2</v>
      </c>
      <c r="N18" t="s">
        <v>571</v>
      </c>
      <c r="O18">
        <v>0.73097424650611598</v>
      </c>
      <c r="P18" s="140" t="s">
        <v>559</v>
      </c>
      <c r="T18" s="25">
        <v>1.7000000000000001E-2</v>
      </c>
      <c r="V18" t="s">
        <v>571</v>
      </c>
      <c r="W18">
        <v>0.73097430110530204</v>
      </c>
      <c r="X18" s="140" t="s">
        <v>559</v>
      </c>
      <c r="AB18" s="25">
        <v>1.7600000000000001E-2</v>
      </c>
      <c r="AD18" t="s">
        <v>571</v>
      </c>
      <c r="AE18">
        <v>0.73097424750718998</v>
      </c>
      <c r="AF18" s="140" t="s">
        <v>559</v>
      </c>
      <c r="AG18" s="25"/>
      <c r="AJ18" s="25">
        <v>1.9E-2</v>
      </c>
      <c r="AL18" t="s">
        <v>571</v>
      </c>
      <c r="AM18">
        <v>0.73097425686476103</v>
      </c>
      <c r="AN18" s="140" t="s">
        <v>559</v>
      </c>
    </row>
    <row r="19" spans="1:40" x14ac:dyDescent="0.25">
      <c r="D19" s="25">
        <v>2.1999999999999999E-2</v>
      </c>
      <c r="F19" t="s">
        <v>572</v>
      </c>
      <c r="G19">
        <v>0.71644685135672204</v>
      </c>
      <c r="H19" s="140" t="s">
        <v>559</v>
      </c>
      <c r="I19" s="130"/>
      <c r="L19" s="25">
        <v>1.34E-2</v>
      </c>
      <c r="N19" t="s">
        <v>572</v>
      </c>
      <c r="O19">
        <v>0.71644685263234997</v>
      </c>
      <c r="P19" s="140" t="s">
        <v>559</v>
      </c>
      <c r="T19" s="25">
        <v>1.67E-2</v>
      </c>
      <c r="V19" t="s">
        <v>572</v>
      </c>
      <c r="W19">
        <v>0.71644684570167305</v>
      </c>
      <c r="X19" s="140" t="s">
        <v>559</v>
      </c>
      <c r="AB19" s="25">
        <v>1.72E-2</v>
      </c>
      <c r="AD19" t="s">
        <v>572</v>
      </c>
      <c r="AE19">
        <v>0.71644685116083295</v>
      </c>
      <c r="AF19" s="140" t="s">
        <v>559</v>
      </c>
      <c r="AG19" s="25"/>
      <c r="AJ19" s="25">
        <v>1.8599999999999998E-2</v>
      </c>
      <c r="AL19" t="s">
        <v>572</v>
      </c>
      <c r="AM19">
        <v>0.71644684181764096</v>
      </c>
      <c r="AN19" s="140" t="s">
        <v>559</v>
      </c>
    </row>
    <row r="20" spans="1:40" x14ac:dyDescent="0.25">
      <c r="D20" s="25">
        <v>1.6900000000000001E-12</v>
      </c>
      <c r="F20" t="s">
        <v>573</v>
      </c>
      <c r="G20" s="139">
        <v>5.5043654710011701E-11</v>
      </c>
      <c r="H20" s="140" t="s">
        <v>559</v>
      </c>
      <c r="I20" s="130"/>
      <c r="L20" s="25">
        <v>0</v>
      </c>
      <c r="N20" t="s">
        <v>573</v>
      </c>
      <c r="O20">
        <v>0</v>
      </c>
      <c r="P20" s="140" t="s">
        <v>559</v>
      </c>
      <c r="T20" s="25">
        <v>0</v>
      </c>
      <c r="V20" t="s">
        <v>573</v>
      </c>
      <c r="W20">
        <v>0</v>
      </c>
      <c r="X20" s="140" t="s">
        <v>559</v>
      </c>
      <c r="AB20" s="25">
        <v>0</v>
      </c>
      <c r="AD20" t="s">
        <v>573</v>
      </c>
      <c r="AE20">
        <v>0</v>
      </c>
      <c r="AF20" s="140" t="s">
        <v>559</v>
      </c>
      <c r="AG20" s="25"/>
      <c r="AJ20" s="25">
        <v>0</v>
      </c>
      <c r="AL20" t="s">
        <v>573</v>
      </c>
      <c r="AM20">
        <v>0</v>
      </c>
      <c r="AN20" s="140" t="s">
        <v>559</v>
      </c>
    </row>
    <row r="21" spans="1:40" x14ac:dyDescent="0.25">
      <c r="C21" s="25">
        <v>13.1</v>
      </c>
      <c r="F21" t="s">
        <v>574</v>
      </c>
      <c r="G21">
        <v>425.52749999999997</v>
      </c>
      <c r="H21" s="140" t="s">
        <v>559</v>
      </c>
      <c r="I21" s="130"/>
      <c r="K21" s="25">
        <v>7.97</v>
      </c>
      <c r="N21" t="s">
        <v>574</v>
      </c>
      <c r="O21">
        <v>425.52749999999997</v>
      </c>
      <c r="P21" s="140" t="s">
        <v>559</v>
      </c>
      <c r="S21" s="25">
        <v>9.92</v>
      </c>
      <c r="V21" t="s">
        <v>574</v>
      </c>
      <c r="W21">
        <v>425.52749999999997</v>
      </c>
      <c r="X21" s="140" t="s">
        <v>559</v>
      </c>
      <c r="Y21" s="25">
        <v>10.199999999999999</v>
      </c>
      <c r="AA21" s="186">
        <v>0.13039999999999999</v>
      </c>
      <c r="AD21" t="s">
        <v>574</v>
      </c>
      <c r="AE21">
        <v>425.52749999999997</v>
      </c>
      <c r="AF21" s="140" t="s">
        <v>559</v>
      </c>
      <c r="AG21" s="25"/>
      <c r="AI21" s="25">
        <v>11</v>
      </c>
      <c r="AL21" t="s">
        <v>574</v>
      </c>
      <c r="AM21">
        <v>425.52749999999997</v>
      </c>
      <c r="AN21" s="140" t="s">
        <v>559</v>
      </c>
    </row>
    <row r="22" spans="1:40" x14ac:dyDescent="0.25">
      <c r="C22" s="25">
        <v>0.49</v>
      </c>
      <c r="F22" t="s">
        <v>575</v>
      </c>
      <c r="G22">
        <v>16.081219999999998</v>
      </c>
      <c r="H22" s="140" t="s">
        <v>559</v>
      </c>
      <c r="I22" s="130"/>
      <c r="K22" s="25">
        <v>0.3</v>
      </c>
      <c r="N22" t="s">
        <v>575</v>
      </c>
      <c r="O22">
        <v>16.081219999999998</v>
      </c>
      <c r="P22" s="140" t="s">
        <v>559</v>
      </c>
      <c r="S22" s="25">
        <v>0.37</v>
      </c>
      <c r="V22" t="s">
        <v>575</v>
      </c>
      <c r="W22">
        <v>16.081219999999998</v>
      </c>
      <c r="X22" s="140" t="s">
        <v>559</v>
      </c>
      <c r="Y22" s="25">
        <v>0.39</v>
      </c>
      <c r="AA22" s="186">
        <v>3.5999999999999999E-3</v>
      </c>
      <c r="AD22" t="s">
        <v>575</v>
      </c>
      <c r="AE22">
        <v>16.081219999999998</v>
      </c>
      <c r="AF22" s="140" t="s">
        <v>559</v>
      </c>
      <c r="AG22" s="25"/>
      <c r="AI22" s="25">
        <v>0.42</v>
      </c>
      <c r="AL22" t="s">
        <v>575</v>
      </c>
      <c r="AM22">
        <v>16.081219999999998</v>
      </c>
      <c r="AN22" s="140" t="s">
        <v>559</v>
      </c>
    </row>
    <row r="23" spans="1:40" x14ac:dyDescent="0.25">
      <c r="C23" s="25">
        <v>-3.7</v>
      </c>
      <c r="F23" t="s">
        <v>576</v>
      </c>
      <c r="G23">
        <v>-120.627859999999</v>
      </c>
      <c r="H23" s="140" t="s">
        <v>559</v>
      </c>
      <c r="I23" s="130"/>
      <c r="K23" s="25">
        <v>-2.2599999999999998</v>
      </c>
      <c r="N23" t="s">
        <v>576</v>
      </c>
      <c r="O23">
        <v>-120.627859999999</v>
      </c>
      <c r="P23" s="140" t="s">
        <v>559</v>
      </c>
      <c r="S23" s="25">
        <v>-2.81</v>
      </c>
      <c r="V23" t="s">
        <v>576</v>
      </c>
      <c r="W23">
        <v>-120.62786</v>
      </c>
      <c r="X23" s="140" t="s">
        <v>559</v>
      </c>
      <c r="Y23" s="25">
        <v>-2.9</v>
      </c>
      <c r="AA23" s="186">
        <v>-4.58E-2</v>
      </c>
      <c r="AD23" t="s">
        <v>576</v>
      </c>
      <c r="AE23">
        <v>-120.62786</v>
      </c>
      <c r="AF23" s="140" t="s">
        <v>559</v>
      </c>
      <c r="AG23" s="25"/>
      <c r="AI23" s="25">
        <v>-3.13</v>
      </c>
      <c r="AL23" t="s">
        <v>576</v>
      </c>
      <c r="AM23">
        <v>-120.62786</v>
      </c>
      <c r="AN23" s="140" t="s">
        <v>559</v>
      </c>
    </row>
    <row r="24" spans="1:40" x14ac:dyDescent="0.25">
      <c r="B24" s="25">
        <v>1.55</v>
      </c>
      <c r="F24" t="s">
        <v>577</v>
      </c>
      <c r="G24">
        <v>50.672322156740499</v>
      </c>
      <c r="H24" s="140" t="s">
        <v>559</v>
      </c>
      <c r="I24" s="130"/>
      <c r="J24" s="25">
        <v>0.95</v>
      </c>
      <c r="N24" t="s">
        <v>577</v>
      </c>
      <c r="O24">
        <v>50.672322353889797</v>
      </c>
      <c r="P24" s="140" t="s">
        <v>559</v>
      </c>
      <c r="R24" s="25">
        <v>1.18</v>
      </c>
      <c r="V24" t="s">
        <v>577</v>
      </c>
      <c r="W24">
        <v>50.672322039660699</v>
      </c>
      <c r="X24" s="140" t="s">
        <v>559</v>
      </c>
      <c r="Y24" s="25">
        <v>1.22</v>
      </c>
      <c r="Z24" s="186">
        <v>1.06E-2</v>
      </c>
      <c r="AD24" t="s">
        <v>577</v>
      </c>
      <c r="AE24">
        <v>50.672322054747902</v>
      </c>
      <c r="AF24" s="140" t="s">
        <v>559</v>
      </c>
      <c r="AG24" s="25"/>
      <c r="AH24" s="25">
        <v>1.31</v>
      </c>
      <c r="AL24" t="s">
        <v>577</v>
      </c>
      <c r="AM24">
        <v>50.672322214814997</v>
      </c>
      <c r="AN24" s="140" t="s">
        <v>559</v>
      </c>
    </row>
    <row r="25" spans="1:40" x14ac:dyDescent="0.25">
      <c r="A25" s="198"/>
      <c r="B25" s="31"/>
      <c r="C25" s="31"/>
      <c r="D25" s="31"/>
      <c r="E25" s="31"/>
      <c r="H25" s="140"/>
      <c r="I25" s="130"/>
      <c r="P25" s="140"/>
      <c r="Q25" s="130"/>
      <c r="X25" s="140"/>
      <c r="Y25" s="130"/>
      <c r="AF25" s="140"/>
      <c r="AG25" s="130"/>
      <c r="AN25" s="140"/>
    </row>
    <row r="26" spans="1:40" x14ac:dyDescent="0.25">
      <c r="A26" s="292" t="s">
        <v>648</v>
      </c>
      <c r="B26" s="235"/>
      <c r="C26" s="235"/>
      <c r="D26" s="235"/>
      <c r="E26" s="235"/>
      <c r="F26" s="235"/>
      <c r="G26" s="235"/>
      <c r="H26" s="298"/>
      <c r="I26" s="292" t="s">
        <v>659</v>
      </c>
      <c r="J26" s="252"/>
      <c r="K26" s="252"/>
      <c r="L26" s="252"/>
      <c r="M26" s="252"/>
      <c r="N26" s="252"/>
      <c r="O26" s="252"/>
      <c r="P26" s="293"/>
      <c r="Q26" s="292" t="s">
        <v>660</v>
      </c>
      <c r="R26" s="252"/>
      <c r="S26" s="252"/>
      <c r="T26" s="252"/>
      <c r="U26" s="252"/>
      <c r="V26" s="252"/>
      <c r="W26" s="252"/>
      <c r="X26" s="293"/>
      <c r="Y26" s="292" t="s">
        <v>661</v>
      </c>
      <c r="Z26" s="252"/>
      <c r="AA26" s="252"/>
      <c r="AB26" s="252"/>
      <c r="AC26" s="252"/>
      <c r="AD26" s="252"/>
      <c r="AE26" s="252"/>
      <c r="AF26" s="293"/>
      <c r="AG26" s="292" t="s">
        <v>662</v>
      </c>
      <c r="AH26" s="252"/>
      <c r="AI26" s="252"/>
      <c r="AJ26" s="252"/>
      <c r="AK26" s="252"/>
      <c r="AL26" s="252"/>
      <c r="AM26" s="252"/>
      <c r="AN26" s="293"/>
    </row>
    <row r="27" spans="1:40" x14ac:dyDescent="0.25">
      <c r="A27" s="130" t="s">
        <v>579</v>
      </c>
      <c r="C27" s="155" t="s">
        <v>320</v>
      </c>
      <c r="D27" s="155" t="s">
        <v>319</v>
      </c>
      <c r="F27" t="s">
        <v>578</v>
      </c>
      <c r="G27" t="s">
        <v>318</v>
      </c>
      <c r="H27" s="140" t="s">
        <v>580</v>
      </c>
      <c r="I27" s="130" t="s">
        <v>579</v>
      </c>
      <c r="K27" s="155" t="s">
        <v>320</v>
      </c>
      <c r="L27" s="155" t="s">
        <v>319</v>
      </c>
      <c r="N27" t="s">
        <v>578</v>
      </c>
      <c r="O27" t="s">
        <v>323</v>
      </c>
      <c r="P27" s="140" t="s">
        <v>580</v>
      </c>
      <c r="Q27" s="130" t="s">
        <v>579</v>
      </c>
      <c r="S27" t="s">
        <v>320</v>
      </c>
      <c r="T27" t="s">
        <v>319</v>
      </c>
      <c r="V27" t="s">
        <v>578</v>
      </c>
      <c r="W27" t="s">
        <v>324</v>
      </c>
      <c r="X27" s="140" t="s">
        <v>580</v>
      </c>
      <c r="Y27" s="130" t="s">
        <v>579</v>
      </c>
      <c r="AA27" t="s">
        <v>320</v>
      </c>
      <c r="AB27" t="s">
        <v>319</v>
      </c>
      <c r="AD27" t="s">
        <v>578</v>
      </c>
      <c r="AE27" t="s">
        <v>325</v>
      </c>
      <c r="AF27" s="140" t="s">
        <v>580</v>
      </c>
      <c r="AG27" s="130" t="s">
        <v>579</v>
      </c>
      <c r="AI27" t="s">
        <v>320</v>
      </c>
      <c r="AJ27" t="s">
        <v>319</v>
      </c>
      <c r="AL27" t="s">
        <v>578</v>
      </c>
      <c r="AM27" t="s">
        <v>330</v>
      </c>
      <c r="AN27" s="140" t="s">
        <v>580</v>
      </c>
    </row>
    <row r="28" spans="1:40" x14ac:dyDescent="0.25">
      <c r="A28" s="156" t="s">
        <v>282</v>
      </c>
      <c r="B28" s="155"/>
      <c r="C28">
        <v>76.143453609685594</v>
      </c>
      <c r="D28" s="157">
        <v>0.24143856335081937</v>
      </c>
      <c r="E28" s="155" t="s">
        <v>282</v>
      </c>
      <c r="F28">
        <f>(C28/100*G9)+(D28/100*G10)</f>
        <v>1651.7831446263779</v>
      </c>
      <c r="G28">
        <v>1292.9687448411896</v>
      </c>
      <c r="H28" s="140">
        <f>F28-G28</f>
        <v>358.81439978518824</v>
      </c>
      <c r="I28" s="156" t="s">
        <v>282</v>
      </c>
      <c r="K28">
        <v>74.385255694941776</v>
      </c>
      <c r="L28" s="157">
        <v>0.1345019265532329</v>
      </c>
      <c r="N28">
        <f>(K28/100*O9)+(L28/100*O10)</f>
        <v>2146.6798842065841</v>
      </c>
      <c r="O28">
        <v>1729.1038002203634</v>
      </c>
      <c r="P28" s="140">
        <f>N28-O28</f>
        <v>417.57608398622074</v>
      </c>
      <c r="Q28" s="156" t="s">
        <v>282</v>
      </c>
      <c r="S28">
        <v>74.958330002724139</v>
      </c>
      <c r="T28">
        <v>9.4288999682724334E-2</v>
      </c>
      <c r="V28">
        <f>(S28/100*W9)+(T28/100*W10)</f>
        <v>2415.4900577253693</v>
      </c>
      <c r="W28">
        <v>1890.6977263673368</v>
      </c>
      <c r="X28" s="140">
        <f>V28-W28</f>
        <v>524.79233135803247</v>
      </c>
      <c r="Y28" s="156" t="s">
        <v>282</v>
      </c>
      <c r="AA28">
        <v>72.286433685796581</v>
      </c>
      <c r="AB28">
        <v>9.4764168282936642E-2</v>
      </c>
      <c r="AD28">
        <f>(AA28/100*AE9)+(AB28/100*AE10)</f>
        <v>1757.6820780869439</v>
      </c>
      <c r="AE28">
        <v>1375.9512266974614</v>
      </c>
      <c r="AF28" s="140">
        <f>AD28-AE28</f>
        <v>381.7308513894825</v>
      </c>
      <c r="AG28" s="156" t="s">
        <v>282</v>
      </c>
      <c r="AI28">
        <v>73.79106586291293</v>
      </c>
      <c r="AJ28">
        <v>6.3484897240659116E-2</v>
      </c>
      <c r="AL28">
        <f>(AI28/100*AM9)+(AJ28/100*AM10)</f>
        <v>2104.4843165273887</v>
      </c>
      <c r="AM28">
        <v>1647.2446392897839</v>
      </c>
      <c r="AN28" s="140">
        <f>AL28-AM28</f>
        <v>457.23967723760484</v>
      </c>
    </row>
    <row r="29" spans="1:40" x14ac:dyDescent="0.25">
      <c r="A29" s="156" t="s">
        <v>283</v>
      </c>
      <c r="B29" s="155"/>
      <c r="C29" s="25">
        <v>23.85654639031441</v>
      </c>
      <c r="D29" s="158">
        <v>2.489048825946659</v>
      </c>
      <c r="E29" s="155" t="s">
        <v>283</v>
      </c>
      <c r="F29">
        <f>(C29/100*G9)+(D29/100*G10)</f>
        <v>520.31062670746269</v>
      </c>
      <c r="G29">
        <v>407.93849596539877</v>
      </c>
      <c r="H29" s="140">
        <f t="shared" ref="H29:H52" si="0">F29-G29</f>
        <v>112.37213074206392</v>
      </c>
      <c r="I29" s="156" t="s">
        <v>283</v>
      </c>
      <c r="K29">
        <v>25.614744305058228</v>
      </c>
      <c r="L29" s="157">
        <v>1.8982230458416209</v>
      </c>
      <c r="N29">
        <f>(K29/100*O9)+(L29/100*O10)</f>
        <v>766.68722570514785</v>
      </c>
      <c r="O29">
        <v>623.02061195051692</v>
      </c>
      <c r="P29" s="140">
        <f t="shared" ref="P29:P52" si="1">N29-O29</f>
        <v>143.66661375463093</v>
      </c>
      <c r="Q29" s="156" t="s">
        <v>283</v>
      </c>
      <c r="S29">
        <v>25.04166999727585</v>
      </c>
      <c r="T29">
        <v>4.543322556945415</v>
      </c>
      <c r="V29">
        <f>(S29/100*W9)+(T29/100*W10)</f>
        <v>811.22561792605211</v>
      </c>
      <c r="W29">
        <v>636.11559461635613</v>
      </c>
      <c r="X29" s="140">
        <f t="shared" ref="X29:X52" si="2">V29-W29</f>
        <v>175.11002330969598</v>
      </c>
      <c r="Y29" s="156" t="s">
        <v>283</v>
      </c>
      <c r="AA29">
        <v>27.713566314203437</v>
      </c>
      <c r="AB29">
        <v>10.790545958372771</v>
      </c>
      <c r="AD29">
        <f>(AA29/100*AE9)+(AB29/100*AE10)</f>
        <v>754.61574828616972</v>
      </c>
      <c r="AE29">
        <v>609.07678308435186</v>
      </c>
      <c r="AF29" s="140">
        <f t="shared" ref="AF29:AF52" si="3">AD29-AE29</f>
        <v>145.53896520181786</v>
      </c>
      <c r="AG29" s="156" t="s">
        <v>283</v>
      </c>
      <c r="AI29">
        <v>26.208934137087059</v>
      </c>
      <c r="AJ29">
        <v>6.8674059538009065</v>
      </c>
      <c r="AL29">
        <f>(AI29/100*AM9)+(AJ29/100*AM10)</f>
        <v>749.46156844727318</v>
      </c>
      <c r="AM29">
        <v>587.0969665813559</v>
      </c>
      <c r="AN29" s="140">
        <f t="shared" ref="AN29:AN52" si="4">AL29-AM29</f>
        <v>162.36460186591728</v>
      </c>
    </row>
    <row r="30" spans="1:40" x14ac:dyDescent="0.25">
      <c r="A30" s="156" t="s">
        <v>287</v>
      </c>
      <c r="B30" s="155"/>
      <c r="C30" s="25"/>
      <c r="D30" s="158">
        <v>73.027954603208727</v>
      </c>
      <c r="E30" t="s">
        <v>581</v>
      </c>
      <c r="F30">
        <f>G14+(D30/100*G10)</f>
        <v>98.662992169413471</v>
      </c>
      <c r="G30">
        <v>85.86879273116358</v>
      </c>
      <c r="H30" s="140">
        <f t="shared" si="0"/>
        <v>12.79419943824989</v>
      </c>
      <c r="I30" s="156" t="s">
        <v>287</v>
      </c>
      <c r="L30" s="157">
        <v>73.740241849320157</v>
      </c>
      <c r="N30">
        <f>O14+(L30/100*O10)</f>
        <v>1108.1784676723694</v>
      </c>
      <c r="O30">
        <v>1098.9719069714765</v>
      </c>
      <c r="P30" s="140">
        <f t="shared" si="1"/>
        <v>9.2065607008928509</v>
      </c>
      <c r="Q30" s="156" t="s">
        <v>287</v>
      </c>
      <c r="T30">
        <v>72.016618513442793</v>
      </c>
      <c r="V30">
        <f>W14+(T30/100*W10)</f>
        <v>82.439390518508162</v>
      </c>
      <c r="W30">
        <v>71.534393944577658</v>
      </c>
      <c r="X30" s="140">
        <f t="shared" si="2"/>
        <v>10.904996573930504</v>
      </c>
      <c r="Y30" s="156" t="s">
        <v>287</v>
      </c>
      <c r="AB30">
        <v>66.932462872051843</v>
      </c>
      <c r="AD30">
        <f>AE14+(AB30/100*AE10)</f>
        <v>516.802744386776</v>
      </c>
      <c r="AE30">
        <v>507.59805703156974</v>
      </c>
      <c r="AF30" s="140">
        <f t="shared" si="3"/>
        <v>9.2046873552062607</v>
      </c>
      <c r="AG30" s="156" t="s">
        <v>287</v>
      </c>
      <c r="AJ30">
        <v>70.067086154871106</v>
      </c>
      <c r="AL30">
        <f>AM14+(AJ30/100*AM10)</f>
        <v>34.683352800572798</v>
      </c>
      <c r="AM30">
        <v>20.806198238744877</v>
      </c>
      <c r="AN30" s="140">
        <f t="shared" si="4"/>
        <v>13.877154561827922</v>
      </c>
    </row>
    <row r="31" spans="1:40" x14ac:dyDescent="0.25">
      <c r="A31" s="156" t="s">
        <v>151</v>
      </c>
      <c r="B31" s="155"/>
      <c r="C31" s="25"/>
      <c r="D31" s="158">
        <v>0</v>
      </c>
      <c r="E31" t="s">
        <v>577</v>
      </c>
      <c r="F31">
        <f>G24</f>
        <v>50.672322156740499</v>
      </c>
      <c r="G31">
        <v>265.21758314412529</v>
      </c>
      <c r="H31" s="140">
        <f t="shared" si="0"/>
        <v>-214.54526098738478</v>
      </c>
      <c r="I31" s="156" t="s">
        <v>151</v>
      </c>
      <c r="L31" s="157">
        <v>0</v>
      </c>
      <c r="N31">
        <f>O24</f>
        <v>50.672322353889797</v>
      </c>
      <c r="O31">
        <v>265.21758314412523</v>
      </c>
      <c r="P31" s="140">
        <f t="shared" si="1"/>
        <v>-214.54526079023543</v>
      </c>
      <c r="Q31" s="156" t="s">
        <v>151</v>
      </c>
      <c r="T31">
        <v>0</v>
      </c>
      <c r="V31">
        <f>W24</f>
        <v>50.672322039660699</v>
      </c>
      <c r="W31">
        <v>265.21758314412523</v>
      </c>
      <c r="X31" s="140">
        <f t="shared" si="2"/>
        <v>-214.54526110446454</v>
      </c>
      <c r="Y31" s="156" t="s">
        <v>151</v>
      </c>
      <c r="AB31">
        <v>0</v>
      </c>
      <c r="AD31">
        <f>AE24</f>
        <v>50.672322054747902</v>
      </c>
      <c r="AE31">
        <v>265.21758314412529</v>
      </c>
      <c r="AF31" s="140">
        <f t="shared" si="3"/>
        <v>-214.54526108937739</v>
      </c>
      <c r="AG31" s="156" t="s">
        <v>151</v>
      </c>
      <c r="AJ31">
        <v>0</v>
      </c>
      <c r="AL31">
        <f>AM24</f>
        <v>50.672322214814997</v>
      </c>
      <c r="AM31">
        <v>265.21758314412523</v>
      </c>
      <c r="AN31" s="140">
        <f t="shared" si="4"/>
        <v>-214.54526092931025</v>
      </c>
    </row>
    <row r="32" spans="1:40" x14ac:dyDescent="0.25">
      <c r="A32" s="156" t="s">
        <v>321</v>
      </c>
      <c r="B32" s="155"/>
      <c r="C32" s="25"/>
      <c r="D32" s="158">
        <v>0</v>
      </c>
      <c r="E32" t="s">
        <v>564</v>
      </c>
      <c r="F32">
        <f>G11</f>
        <v>531.53414222574304</v>
      </c>
      <c r="G32">
        <v>577.00324085701698</v>
      </c>
      <c r="H32" s="140">
        <f t="shared" si="0"/>
        <v>-45.469098631273937</v>
      </c>
      <c r="I32" s="156" t="s">
        <v>321</v>
      </c>
      <c r="L32" s="157">
        <v>0</v>
      </c>
      <c r="N32">
        <f>O11</f>
        <v>531.53414298852397</v>
      </c>
      <c r="O32">
        <v>577.00324085701698</v>
      </c>
      <c r="P32" s="140">
        <f t="shared" si="1"/>
        <v>-45.469097868493009</v>
      </c>
      <c r="Q32" s="156" t="s">
        <v>321</v>
      </c>
      <c r="T32">
        <v>0</v>
      </c>
      <c r="V32">
        <f>W11</f>
        <v>531.534142006651</v>
      </c>
      <c r="W32">
        <v>577.00324085701698</v>
      </c>
      <c r="X32" s="140">
        <f t="shared" si="2"/>
        <v>-45.469098850365981</v>
      </c>
      <c r="Y32" s="156" t="s">
        <v>321</v>
      </c>
      <c r="AB32">
        <v>0</v>
      </c>
      <c r="AD32">
        <f>AE11</f>
        <v>531.53414344067903</v>
      </c>
      <c r="AE32">
        <v>577.00324085701709</v>
      </c>
      <c r="AF32" s="140">
        <f t="shared" si="3"/>
        <v>-45.469097416338059</v>
      </c>
      <c r="AG32" s="156" t="s">
        <v>321</v>
      </c>
      <c r="AJ32">
        <v>0</v>
      </c>
      <c r="AL32">
        <f>AM11</f>
        <v>531.53414315013595</v>
      </c>
      <c r="AM32">
        <v>577.00324085701698</v>
      </c>
      <c r="AN32" s="140">
        <f t="shared" si="4"/>
        <v>-45.46909770688103</v>
      </c>
    </row>
    <row r="33" spans="1:40" x14ac:dyDescent="0.25">
      <c r="A33" s="156"/>
      <c r="B33" s="155"/>
      <c r="C33" s="25"/>
      <c r="D33" s="158"/>
      <c r="H33" s="140">
        <f t="shared" si="0"/>
        <v>0</v>
      </c>
      <c r="I33" s="156"/>
      <c r="L33" s="157"/>
      <c r="P33" s="140">
        <f t="shared" si="1"/>
        <v>0</v>
      </c>
      <c r="Q33" s="156"/>
      <c r="X33" s="140">
        <f t="shared" si="2"/>
        <v>0</v>
      </c>
      <c r="Y33" s="156"/>
      <c r="AF33" s="140">
        <f t="shared" si="3"/>
        <v>0</v>
      </c>
      <c r="AG33" s="156"/>
      <c r="AN33" s="140">
        <f t="shared" si="4"/>
        <v>0</v>
      </c>
    </row>
    <row r="34" spans="1:40" x14ac:dyDescent="0.25">
      <c r="A34" s="156" t="s">
        <v>285</v>
      </c>
      <c r="B34" s="155"/>
      <c r="C34" s="25"/>
      <c r="D34" s="158">
        <v>24.24155800749379</v>
      </c>
      <c r="E34" s="155" t="s">
        <v>285</v>
      </c>
      <c r="F34">
        <f>SUM(F44:F52)</f>
        <v>85.268068924942199</v>
      </c>
      <c r="G34">
        <v>187.09018666885581</v>
      </c>
      <c r="H34" s="140">
        <f t="shared" si="0"/>
        <v>-101.82211774391361</v>
      </c>
      <c r="I34" s="156" t="s">
        <v>285</v>
      </c>
      <c r="L34" s="157">
        <v>24.227033178284962</v>
      </c>
      <c r="N34">
        <f>SUM(N44:N52)</f>
        <v>444.14420296607688</v>
      </c>
      <c r="O34">
        <v>519.64852710271009</v>
      </c>
      <c r="P34" s="140">
        <f t="shared" si="1"/>
        <v>-75.504324136633215</v>
      </c>
      <c r="Q34" s="156" t="s">
        <v>285</v>
      </c>
      <c r="T34">
        <v>23.345769929929059</v>
      </c>
      <c r="V34">
        <f>SUM(V44:V52)</f>
        <v>79.324690343875801</v>
      </c>
      <c r="W34">
        <v>181.775571256885</v>
      </c>
      <c r="X34" s="140">
        <f t="shared" si="2"/>
        <v>-102.4508809130092</v>
      </c>
      <c r="Y34" s="156" t="s">
        <v>285</v>
      </c>
      <c r="AB34">
        <v>22.182227001292443</v>
      </c>
      <c r="AD34">
        <f>SUM(AD44:AD52)</f>
        <v>229.75883573197524</v>
      </c>
      <c r="AE34">
        <v>326.81025488775674</v>
      </c>
      <c r="AF34" s="140">
        <f t="shared" si="3"/>
        <v>-97.051419155781502</v>
      </c>
      <c r="AG34" s="156" t="s">
        <v>285</v>
      </c>
      <c r="AJ34">
        <v>23.002022994087294</v>
      </c>
      <c r="AL34">
        <f>SUM(AL44:AL52)</f>
        <v>63.902404265959035</v>
      </c>
      <c r="AM34">
        <v>165.41650254305085</v>
      </c>
      <c r="AN34" s="140">
        <f t="shared" si="4"/>
        <v>-101.51409827709182</v>
      </c>
    </row>
    <row r="35" spans="1:40" x14ac:dyDescent="0.25">
      <c r="A35" s="130" t="s">
        <v>322</v>
      </c>
      <c r="C35" s="25"/>
      <c r="D35" s="158"/>
      <c r="E35" t="s">
        <v>322</v>
      </c>
      <c r="F35">
        <f>G20+G23</f>
        <v>-120.62785999994396</v>
      </c>
      <c r="G35">
        <v>-205.10399767898235</v>
      </c>
      <c r="H35" s="140">
        <f t="shared" si="0"/>
        <v>84.476137679038388</v>
      </c>
      <c r="I35" s="130" t="s">
        <v>322</v>
      </c>
      <c r="K35" s="157"/>
      <c r="L35" s="157"/>
      <c r="N35">
        <f>O20+O23</f>
        <v>-120.627859999999</v>
      </c>
      <c r="O35">
        <v>-205.10399767898235</v>
      </c>
      <c r="P35" s="140">
        <f t="shared" si="1"/>
        <v>84.476137678983349</v>
      </c>
      <c r="Q35" s="130" t="s">
        <v>322</v>
      </c>
      <c r="V35">
        <f>W20+W23</f>
        <v>-120.62786</v>
      </c>
      <c r="W35">
        <v>-205.10399767898235</v>
      </c>
      <c r="X35" s="140">
        <f t="shared" si="2"/>
        <v>84.476137678982354</v>
      </c>
      <c r="Y35" s="130" t="s">
        <v>322</v>
      </c>
      <c r="AD35">
        <f>AE20+AE23</f>
        <v>-120.62786</v>
      </c>
      <c r="AE35">
        <v>-205.10399767898235</v>
      </c>
      <c r="AF35" s="140">
        <f t="shared" si="3"/>
        <v>84.476137678982354</v>
      </c>
      <c r="AG35" s="130" t="s">
        <v>322</v>
      </c>
      <c r="AL35">
        <f>AM20+AM23</f>
        <v>-120.62786</v>
      </c>
      <c r="AM35">
        <v>-205.10399767898235</v>
      </c>
      <c r="AN35" s="140">
        <f t="shared" si="4"/>
        <v>84.476137678982354</v>
      </c>
    </row>
    <row r="36" spans="1:40" x14ac:dyDescent="0.25">
      <c r="A36" s="130"/>
      <c r="H36" s="140">
        <f t="shared" si="0"/>
        <v>0</v>
      </c>
      <c r="I36" s="130"/>
      <c r="P36" s="140">
        <f t="shared" si="1"/>
        <v>0</v>
      </c>
      <c r="Q36" s="130"/>
      <c r="X36" s="140">
        <f t="shared" si="2"/>
        <v>0</v>
      </c>
      <c r="Y36" s="130"/>
      <c r="AF36" s="140">
        <f t="shared" si="3"/>
        <v>0</v>
      </c>
      <c r="AG36" s="130"/>
      <c r="AN36" s="140">
        <f t="shared" si="4"/>
        <v>0</v>
      </c>
    </row>
    <row r="37" spans="1:40" x14ac:dyDescent="0.25">
      <c r="A37" s="130" t="s">
        <v>194</v>
      </c>
      <c r="F37">
        <f>G21+G22</f>
        <v>441.60871999999995</v>
      </c>
      <c r="G37">
        <v>442.984170431086</v>
      </c>
      <c r="H37" s="140">
        <f t="shared" si="0"/>
        <v>-1.3754504310860511</v>
      </c>
      <c r="I37" s="130" t="s">
        <v>194</v>
      </c>
      <c r="N37">
        <f>O21+O22</f>
        <v>441.60871999999995</v>
      </c>
      <c r="O37">
        <v>442.98417043108623</v>
      </c>
      <c r="P37" s="140">
        <f t="shared" si="1"/>
        <v>-1.3754504310862785</v>
      </c>
      <c r="Q37" s="130" t="s">
        <v>194</v>
      </c>
      <c r="V37">
        <f>W21+W22</f>
        <v>441.60871999999995</v>
      </c>
      <c r="W37">
        <v>442.98417043108623</v>
      </c>
      <c r="X37" s="140">
        <f t="shared" si="2"/>
        <v>-1.3754504310862785</v>
      </c>
      <c r="Y37" s="130" t="s">
        <v>194</v>
      </c>
      <c r="AD37">
        <f>AE21+AE22</f>
        <v>441.60871999999995</v>
      </c>
      <c r="AE37">
        <v>442.98417043108611</v>
      </c>
      <c r="AF37" s="140">
        <f t="shared" si="3"/>
        <v>-1.3754504310861648</v>
      </c>
      <c r="AG37" s="130" t="s">
        <v>194</v>
      </c>
      <c r="AL37">
        <f>AM21+AM22</f>
        <v>441.60871999999995</v>
      </c>
      <c r="AM37">
        <v>442.98417043108623</v>
      </c>
      <c r="AN37" s="140">
        <f t="shared" si="4"/>
        <v>-1.3754504310862785</v>
      </c>
    </row>
    <row r="38" spans="1:40" x14ac:dyDescent="0.25">
      <c r="A38" s="130" t="s">
        <v>296</v>
      </c>
      <c r="F38">
        <f>SUM(F28:F37)</f>
        <v>3259.2121568107359</v>
      </c>
      <c r="G38">
        <v>3053.9672169598525</v>
      </c>
      <c r="H38" s="140">
        <f t="shared" si="0"/>
        <v>205.24493985088338</v>
      </c>
      <c r="I38" s="130" t="s">
        <v>296</v>
      </c>
      <c r="N38">
        <f>SUM(N28:N37)</f>
        <v>5368.8771058925931</v>
      </c>
      <c r="O38">
        <v>5050.8458429983129</v>
      </c>
      <c r="P38" s="140">
        <f t="shared" si="1"/>
        <v>318.03126289428019</v>
      </c>
      <c r="Q38" s="130" t="s">
        <v>296</v>
      </c>
      <c r="V38">
        <f>SUM(V28:V37)</f>
        <v>4291.667080560117</v>
      </c>
      <c r="W38">
        <v>3860.2242829384013</v>
      </c>
      <c r="X38" s="140">
        <f t="shared" si="2"/>
        <v>431.44279762171573</v>
      </c>
      <c r="Y38" s="130" t="s">
        <v>296</v>
      </c>
      <c r="AD38">
        <f>SUM(AD28:AD37)</f>
        <v>4162.0467319872914</v>
      </c>
      <c r="AE38">
        <v>3899.5373184543855</v>
      </c>
      <c r="AF38" s="140">
        <f t="shared" si="3"/>
        <v>262.50941353290591</v>
      </c>
      <c r="AG38" s="130" t="s">
        <v>296</v>
      </c>
      <c r="AL38">
        <f>SUM(AL28:AL37)</f>
        <v>3855.7189674061447</v>
      </c>
      <c r="AM38">
        <v>3500.665303406181</v>
      </c>
      <c r="AN38" s="140">
        <f t="shared" si="4"/>
        <v>355.05366399996365</v>
      </c>
    </row>
    <row r="39" spans="1:40" x14ac:dyDescent="0.25">
      <c r="A39" s="130"/>
      <c r="B39" s="155"/>
      <c r="H39" s="140">
        <f t="shared" si="0"/>
        <v>0</v>
      </c>
      <c r="I39" s="130"/>
      <c r="K39">
        <f t="shared" ref="K39:L39" si="5">SUM(K28:K38)</f>
        <v>100</v>
      </c>
      <c r="L39">
        <f t="shared" si="5"/>
        <v>99.999999999999972</v>
      </c>
      <c r="P39" s="140">
        <f t="shared" si="1"/>
        <v>0</v>
      </c>
      <c r="Q39" s="130"/>
      <c r="S39">
        <v>99.999999999999986</v>
      </c>
      <c r="T39">
        <v>100</v>
      </c>
      <c r="X39" s="140">
        <f t="shared" si="2"/>
        <v>0</v>
      </c>
      <c r="Y39" s="130"/>
      <c r="AA39">
        <v>100.00000000000001</v>
      </c>
      <c r="AB39">
        <v>100</v>
      </c>
      <c r="AF39" s="140">
        <f t="shared" si="3"/>
        <v>0</v>
      </c>
      <c r="AG39" s="130"/>
      <c r="AI39">
        <v>99.999999999999986</v>
      </c>
      <c r="AJ39">
        <v>100</v>
      </c>
      <c r="AN39" s="140">
        <f t="shared" si="4"/>
        <v>0</v>
      </c>
    </row>
    <row r="40" spans="1:40" x14ac:dyDescent="0.25">
      <c r="A40" s="130"/>
      <c r="H40" s="140">
        <f t="shared" si="0"/>
        <v>0</v>
      </c>
      <c r="I40" s="130"/>
      <c r="P40" s="140">
        <f t="shared" si="1"/>
        <v>0</v>
      </c>
      <c r="Q40" s="130"/>
      <c r="X40" s="140">
        <f t="shared" si="2"/>
        <v>0</v>
      </c>
      <c r="Y40" s="130"/>
      <c r="AF40" s="140">
        <f t="shared" si="3"/>
        <v>0</v>
      </c>
      <c r="AG40" s="130"/>
      <c r="AN40" s="140">
        <f t="shared" si="4"/>
        <v>0</v>
      </c>
    </row>
    <row r="41" spans="1:40" x14ac:dyDescent="0.25">
      <c r="A41" s="130"/>
      <c r="G41" t="s">
        <v>582</v>
      </c>
      <c r="H41" s="140" t="e">
        <f>F41-G41</f>
        <v>#VALUE!</v>
      </c>
      <c r="I41" s="130"/>
      <c r="O41" t="s">
        <v>582</v>
      </c>
      <c r="P41" s="140" t="e">
        <f>N41-O41</f>
        <v>#VALUE!</v>
      </c>
      <c r="Q41" s="130"/>
      <c r="W41" t="s">
        <v>582</v>
      </c>
      <c r="X41" s="140" t="e">
        <f>V41-W41</f>
        <v>#VALUE!</v>
      </c>
      <c r="Y41" s="130"/>
      <c r="AE41" t="s">
        <v>582</v>
      </c>
      <c r="AF41" s="140" t="e">
        <f>AD41-AE41</f>
        <v>#VALUE!</v>
      </c>
      <c r="AG41" s="130"/>
      <c r="AM41" t="s">
        <v>582</v>
      </c>
      <c r="AN41" s="140" t="e">
        <f>AL41-AM41</f>
        <v>#VALUE!</v>
      </c>
    </row>
    <row r="42" spans="1:40" x14ac:dyDescent="0.25">
      <c r="A42" s="130"/>
      <c r="H42" s="140">
        <f t="shared" si="0"/>
        <v>0</v>
      </c>
      <c r="I42" s="130"/>
      <c r="P42" s="140">
        <f t="shared" si="1"/>
        <v>0</v>
      </c>
      <c r="Q42" s="130"/>
      <c r="X42" s="140">
        <f t="shared" si="2"/>
        <v>0</v>
      </c>
      <c r="Y42" s="130"/>
      <c r="AF42" s="140">
        <f t="shared" si="3"/>
        <v>0</v>
      </c>
      <c r="AG42" s="130"/>
      <c r="AN42" s="140">
        <f t="shared" si="4"/>
        <v>0</v>
      </c>
    </row>
    <row r="43" spans="1:40" x14ac:dyDescent="0.25">
      <c r="A43" s="130"/>
      <c r="H43" s="140">
        <f t="shared" si="0"/>
        <v>0</v>
      </c>
      <c r="I43" s="130"/>
      <c r="P43" s="140">
        <f t="shared" si="1"/>
        <v>0</v>
      </c>
      <c r="Q43" s="130"/>
      <c r="X43" s="140">
        <f t="shared" si="2"/>
        <v>0</v>
      </c>
      <c r="Y43" s="130"/>
      <c r="AF43" s="140">
        <f t="shared" si="3"/>
        <v>0</v>
      </c>
      <c r="AG43" s="130"/>
      <c r="AN43" s="140">
        <f t="shared" si="4"/>
        <v>0</v>
      </c>
    </row>
    <row r="44" spans="1:40" x14ac:dyDescent="0.25">
      <c r="A44" s="130" t="s">
        <v>275</v>
      </c>
      <c r="D44">
        <v>19.332644074998331</v>
      </c>
      <c r="F44">
        <f>D44/100*G10</f>
        <v>22.345869172676672</v>
      </c>
      <c r="G44">
        <v>22.731991003188369</v>
      </c>
      <c r="H44" s="140">
        <f t="shared" si="0"/>
        <v>-0.38612183051169779</v>
      </c>
      <c r="I44" s="130" t="s">
        <v>275</v>
      </c>
      <c r="L44">
        <v>19.521123510222512</v>
      </c>
      <c r="N44">
        <f>L44/100*O10</f>
        <v>289.59301544133621</v>
      </c>
      <c r="O44">
        <v>290.92888485627805</v>
      </c>
      <c r="P44" s="140">
        <f t="shared" si="1"/>
        <v>-1.3358694149418398</v>
      </c>
      <c r="Q44" s="130" t="s">
        <v>275</v>
      </c>
      <c r="T44">
        <v>19.064750415708666</v>
      </c>
      <c r="V44">
        <f>T44/100*W10</f>
        <v>18.050850808563737</v>
      </c>
      <c r="W44">
        <v>18.937092505083211</v>
      </c>
      <c r="X44" s="140">
        <f t="shared" si="2"/>
        <v>-0.88624169651947327</v>
      </c>
      <c r="Y44" s="130" t="s">
        <v>275</v>
      </c>
      <c r="AB44">
        <v>17.718900772766951</v>
      </c>
      <c r="AD44">
        <f>AB44/100*AE10</f>
        <v>133.03908233345123</v>
      </c>
      <c r="AE44">
        <v>134.37544681696198</v>
      </c>
      <c r="AF44" s="140">
        <f t="shared" si="3"/>
        <v>-1.3363644835107493</v>
      </c>
      <c r="AG44" s="130" t="s">
        <v>275</v>
      </c>
      <c r="AJ44">
        <v>18.548431898180997</v>
      </c>
      <c r="AL44">
        <f>AJ44/100*AM10</f>
        <v>5.4084680652236719</v>
      </c>
      <c r="AM44">
        <v>5.5078978200748701</v>
      </c>
      <c r="AN44" s="140">
        <f t="shared" si="4"/>
        <v>-9.9429754851198204E-2</v>
      </c>
    </row>
    <row r="45" spans="1:40" x14ac:dyDescent="0.25">
      <c r="A45" s="130" t="s">
        <v>145</v>
      </c>
      <c r="F45">
        <f>G16+G12</f>
        <v>28.208130813758139</v>
      </c>
      <c r="G45">
        <v>137.23311012077474</v>
      </c>
      <c r="H45" s="140">
        <f t="shared" si="0"/>
        <v>-109.02497930701659</v>
      </c>
      <c r="I45" s="130" t="s">
        <v>145</v>
      </c>
      <c r="N45">
        <f>O16+O12</f>
        <v>28.208130813944038</v>
      </c>
      <c r="O45">
        <v>137.23311012077474</v>
      </c>
      <c r="P45" s="140">
        <f t="shared" si="1"/>
        <v>-109.0249793068307</v>
      </c>
      <c r="Q45" s="130" t="s">
        <v>145</v>
      </c>
      <c r="V45">
        <f>W16+W12</f>
        <v>28.208130810144191</v>
      </c>
      <c r="W45">
        <v>137.23311012077474</v>
      </c>
      <c r="X45" s="140">
        <f t="shared" si="2"/>
        <v>-109.02497931063056</v>
      </c>
      <c r="Y45" s="130" t="s">
        <v>145</v>
      </c>
      <c r="AD45">
        <f>AE16+AE12</f>
        <v>28.2081308177967</v>
      </c>
      <c r="AE45">
        <v>137.23311012077474</v>
      </c>
      <c r="AF45" s="140">
        <f t="shared" si="3"/>
        <v>-109.02497930297804</v>
      </c>
      <c r="AG45" s="130" t="s">
        <v>145</v>
      </c>
      <c r="AL45">
        <f>AM16+AM12</f>
        <v>28.208130815069289</v>
      </c>
      <c r="AM45">
        <v>137.23311012077474</v>
      </c>
      <c r="AN45" s="140">
        <f t="shared" si="4"/>
        <v>-109.02497930570544</v>
      </c>
    </row>
    <row r="46" spans="1:40" x14ac:dyDescent="0.25">
      <c r="A46" s="130" t="s">
        <v>117</v>
      </c>
      <c r="D46">
        <v>0.33041810552243056</v>
      </c>
      <c r="F46">
        <f>D46/100*G10+G18</f>
        <v>1.112891986941086</v>
      </c>
      <c r="G46">
        <v>2.2350484662626466</v>
      </c>
      <c r="H46" s="140">
        <f t="shared" si="0"/>
        <v>-1.1221564793215606</v>
      </c>
      <c r="I46" s="130" t="s">
        <v>117</v>
      </c>
      <c r="L46">
        <v>2.1651680084362468</v>
      </c>
      <c r="N46">
        <f>L46/100*O10+O18</f>
        <v>32.850925343163979</v>
      </c>
      <c r="O46">
        <v>6.4966406546430608</v>
      </c>
      <c r="P46" s="140">
        <f t="shared" si="1"/>
        <v>26.35428468852092</v>
      </c>
      <c r="Q46" s="130" t="s">
        <v>117</v>
      </c>
      <c r="T46">
        <v>0.30206541724900016</v>
      </c>
      <c r="V46">
        <f>T46/100*W10+W18</f>
        <v>1.0169753062218214</v>
      </c>
      <c r="W46">
        <v>2.1747585767889972</v>
      </c>
      <c r="X46" s="140">
        <f t="shared" si="2"/>
        <v>-1.1577832705671758</v>
      </c>
      <c r="Y46" s="130" t="s">
        <v>117</v>
      </c>
      <c r="AB46">
        <v>1.0788490710400929</v>
      </c>
      <c r="AD46">
        <f>AB46/100*AE10+AE18</f>
        <v>8.8313125375701489</v>
      </c>
      <c r="AE46">
        <v>4.0090452144244511</v>
      </c>
      <c r="AF46" s="140">
        <f t="shared" si="3"/>
        <v>4.8222673231456978</v>
      </c>
      <c r="AG46" s="130" t="s">
        <v>117</v>
      </c>
      <c r="AJ46">
        <v>0.20560709083797668</v>
      </c>
      <c r="AL46">
        <f>AJ46/100*AM10+AM18</f>
        <v>0.79092646149774637</v>
      </c>
      <c r="AM46">
        <v>1.9613699679359062</v>
      </c>
      <c r="AN46" s="140">
        <f t="shared" si="4"/>
        <v>-1.17044350643816</v>
      </c>
    </row>
    <row r="47" spans="1:40" x14ac:dyDescent="0.25">
      <c r="A47" s="130" t="s">
        <v>121</v>
      </c>
      <c r="F47">
        <f>G19</f>
        <v>0.71644685135672204</v>
      </c>
      <c r="G47">
        <v>3.3122229604128841</v>
      </c>
      <c r="H47" s="140">
        <f t="shared" si="0"/>
        <v>-2.5957761090561622</v>
      </c>
      <c r="I47" s="130" t="s">
        <v>121</v>
      </c>
      <c r="N47">
        <f>O19</f>
        <v>0.71644685263234997</v>
      </c>
      <c r="O47">
        <v>3.3122229604128841</v>
      </c>
      <c r="P47" s="140">
        <f t="shared" si="1"/>
        <v>-2.5957761077805341</v>
      </c>
      <c r="Q47" s="130" t="s">
        <v>121</v>
      </c>
      <c r="V47">
        <f>W19</f>
        <v>0.71644684570167305</v>
      </c>
      <c r="W47">
        <v>3.3122229604128841</v>
      </c>
      <c r="X47" s="140">
        <f t="shared" si="2"/>
        <v>-2.5957761147112111</v>
      </c>
      <c r="Y47" s="130" t="s">
        <v>121</v>
      </c>
      <c r="AD47">
        <f>AE19</f>
        <v>0.71644685116083295</v>
      </c>
      <c r="AE47">
        <v>3.3122229604128837</v>
      </c>
      <c r="AF47" s="140">
        <f t="shared" si="3"/>
        <v>-2.5957761092520508</v>
      </c>
      <c r="AG47" s="130" t="s">
        <v>121</v>
      </c>
      <c r="AL47">
        <f>AM19</f>
        <v>0.71644684181764096</v>
      </c>
      <c r="AM47">
        <v>3.3122229604128841</v>
      </c>
      <c r="AN47" s="140">
        <f t="shared" si="4"/>
        <v>-2.5957761185952433</v>
      </c>
    </row>
    <row r="48" spans="1:40" x14ac:dyDescent="0.25">
      <c r="A48" s="130" t="s">
        <v>195</v>
      </c>
      <c r="F48">
        <f>G17+G15+G13</f>
        <v>27.565766956413089</v>
      </c>
      <c r="G48">
        <v>16.166942811456096</v>
      </c>
      <c r="H48" s="140">
        <f t="shared" si="0"/>
        <v>11.398824144956993</v>
      </c>
      <c r="I48" s="130" t="s">
        <v>195</v>
      </c>
      <c r="N48">
        <f>O17+O15+O13</f>
        <v>27.565766949277005</v>
      </c>
      <c r="O48">
        <v>16.166942811456096</v>
      </c>
      <c r="P48" s="140">
        <f t="shared" si="1"/>
        <v>11.39882413782091</v>
      </c>
      <c r="Q48" s="130" t="s">
        <v>195</v>
      </c>
      <c r="V48">
        <f>W17+W15+W13</f>
        <v>27.565766913468167</v>
      </c>
      <c r="W48">
        <v>16.166942811456096</v>
      </c>
      <c r="X48" s="140">
        <f t="shared" si="2"/>
        <v>11.398824102012071</v>
      </c>
      <c r="Y48" s="130" t="s">
        <v>195</v>
      </c>
      <c r="AD48">
        <f>AE17+AE15+AE13</f>
        <v>27.565767013048607</v>
      </c>
      <c r="AE48">
        <v>16.166942811456092</v>
      </c>
      <c r="AF48" s="140">
        <f t="shared" si="3"/>
        <v>11.398824201592515</v>
      </c>
      <c r="AG48" s="130" t="s">
        <v>195</v>
      </c>
      <c r="AL48">
        <f>AM17+AM15+AM13</f>
        <v>27.565766962676257</v>
      </c>
      <c r="AM48">
        <v>16.166942811456096</v>
      </c>
      <c r="AN48" s="140">
        <f t="shared" si="4"/>
        <v>11.398824151220161</v>
      </c>
    </row>
    <row r="49" spans="1:40" x14ac:dyDescent="0.25">
      <c r="A49" s="130"/>
      <c r="H49" s="140">
        <f t="shared" si="0"/>
        <v>0</v>
      </c>
      <c r="I49" s="130"/>
      <c r="P49" s="140">
        <f t="shared" si="1"/>
        <v>0</v>
      </c>
      <c r="Q49" s="130"/>
      <c r="X49" s="140">
        <f t="shared" si="2"/>
        <v>0</v>
      </c>
      <c r="Y49" s="130"/>
      <c r="AF49" s="140">
        <f t="shared" si="3"/>
        <v>0</v>
      </c>
      <c r="AG49" s="130"/>
      <c r="AN49" s="140">
        <f t="shared" si="4"/>
        <v>0</v>
      </c>
    </row>
    <row r="50" spans="1:40" x14ac:dyDescent="0.25">
      <c r="A50" s="130" t="s">
        <v>300</v>
      </c>
      <c r="D50">
        <v>4.0127657881738701</v>
      </c>
      <c r="F50">
        <f>D50/100*G10</f>
        <v>4.6382035988077241</v>
      </c>
      <c r="G50">
        <v>4.718348687370554</v>
      </c>
      <c r="H50" s="140">
        <f t="shared" si="0"/>
        <v>-8.0145088562829869E-2</v>
      </c>
      <c r="I50" s="130" t="s">
        <v>300</v>
      </c>
      <c r="L50">
        <v>3.4074982344425386</v>
      </c>
      <c r="N50">
        <f>L50/100*O10</f>
        <v>50.549738507955169</v>
      </c>
      <c r="O50">
        <v>50.782920408088962</v>
      </c>
      <c r="P50" s="140">
        <f t="shared" si="1"/>
        <v>-0.23318190013379336</v>
      </c>
      <c r="Q50" s="130" t="s">
        <v>300</v>
      </c>
      <c r="T50">
        <v>2.8610141401240865</v>
      </c>
      <c r="V50">
        <f>T50/100*W10</f>
        <v>2.7088599786765934</v>
      </c>
      <c r="W50">
        <v>2.8418567381421971</v>
      </c>
      <c r="X50" s="140">
        <f t="shared" si="2"/>
        <v>-0.13299675946560363</v>
      </c>
      <c r="Y50" s="130" t="s">
        <v>300</v>
      </c>
      <c r="AB50">
        <v>3.611905195103509</v>
      </c>
      <c r="AD50">
        <f>AB50/100*AE10</f>
        <v>27.119320706989779</v>
      </c>
      <c r="AE50">
        <v>27.391731613424948</v>
      </c>
      <c r="AF50" s="140">
        <f t="shared" si="3"/>
        <v>-0.27241090643516941</v>
      </c>
      <c r="AG50" s="130" t="s">
        <v>300</v>
      </c>
      <c r="AJ50">
        <v>3.3195837753978275</v>
      </c>
      <c r="AL50">
        <f>AJ50/100*AM10</f>
        <v>0.96794504989041552</v>
      </c>
      <c r="AM50">
        <v>0.98573983722379599</v>
      </c>
      <c r="AN50" s="140">
        <f t="shared" si="4"/>
        <v>-1.7794787333380468E-2</v>
      </c>
    </row>
    <row r="51" spans="1:40" x14ac:dyDescent="0.25">
      <c r="A51" s="130" t="s">
        <v>297</v>
      </c>
      <c r="D51">
        <v>0</v>
      </c>
      <c r="F51">
        <v>0</v>
      </c>
      <c r="G51">
        <v>0</v>
      </c>
      <c r="H51" s="140">
        <f t="shared" si="0"/>
        <v>0</v>
      </c>
      <c r="I51" s="130" t="s">
        <v>297</v>
      </c>
      <c r="L51">
        <v>0</v>
      </c>
      <c r="N51">
        <v>0</v>
      </c>
      <c r="O51">
        <v>0</v>
      </c>
      <c r="P51" s="140">
        <f t="shared" si="1"/>
        <v>0</v>
      </c>
      <c r="Q51" s="130" t="s">
        <v>297</v>
      </c>
      <c r="T51">
        <v>0</v>
      </c>
      <c r="V51">
        <v>0</v>
      </c>
      <c r="W51">
        <v>0</v>
      </c>
      <c r="X51" s="140">
        <f t="shared" si="2"/>
        <v>0</v>
      </c>
      <c r="Y51" s="130" t="s">
        <v>297</v>
      </c>
      <c r="AB51">
        <v>0</v>
      </c>
      <c r="AD51">
        <v>0</v>
      </c>
      <c r="AE51">
        <v>0</v>
      </c>
      <c r="AF51" s="140">
        <f t="shared" si="3"/>
        <v>0</v>
      </c>
      <c r="AG51" s="130" t="s">
        <v>297</v>
      </c>
      <c r="AJ51">
        <v>0</v>
      </c>
      <c r="AL51">
        <v>0</v>
      </c>
      <c r="AM51">
        <v>0</v>
      </c>
      <c r="AN51" s="140">
        <f t="shared" si="4"/>
        <v>0</v>
      </c>
    </row>
    <row r="52" spans="1:40" ht="15.75" thickBot="1" x14ac:dyDescent="0.3">
      <c r="A52" s="132" t="s">
        <v>298</v>
      </c>
      <c r="B52" s="27"/>
      <c r="C52" s="27"/>
      <c r="D52" s="27">
        <v>0.5889626347592799</v>
      </c>
      <c r="E52" s="27"/>
      <c r="F52" s="27">
        <f>D52/100*G10</f>
        <v>0.68075954498877611</v>
      </c>
      <c r="G52" s="27">
        <v>0.69252261939049964</v>
      </c>
      <c r="H52" s="153">
        <f t="shared" si="0"/>
        <v>-1.1763074401723528E-2</v>
      </c>
      <c r="I52" s="132" t="s">
        <v>298</v>
      </c>
      <c r="J52" s="27"/>
      <c r="K52" s="27"/>
      <c r="L52" s="27">
        <v>0.98822537426370238</v>
      </c>
      <c r="M52" s="27"/>
      <c r="N52" s="27">
        <f>L52/100*O10</f>
        <v>14.660179057768101</v>
      </c>
      <c r="O52" s="27">
        <v>14.727805291056212</v>
      </c>
      <c r="P52" s="153">
        <f t="shared" si="1"/>
        <v>-6.7626233288111237E-2</v>
      </c>
      <c r="Q52" s="132" t="s">
        <v>298</v>
      </c>
      <c r="R52" s="27"/>
      <c r="S52" s="27"/>
      <c r="T52" s="27">
        <v>1.1170674478875937</v>
      </c>
      <c r="U52" s="27"/>
      <c r="V52" s="27">
        <f>T52/100*W10</f>
        <v>1.0576596810996057</v>
      </c>
      <c r="W52" s="27">
        <v>1.1095875442268806</v>
      </c>
      <c r="X52" s="153">
        <f t="shared" si="2"/>
        <v>-5.192786312727482E-2</v>
      </c>
      <c r="Y52" s="132" t="s">
        <v>298</v>
      </c>
      <c r="Z52" s="27"/>
      <c r="AA52" s="27"/>
      <c r="AB52" s="27">
        <v>0.56987162483989229</v>
      </c>
      <c r="AC52" s="27"/>
      <c r="AD52" s="27">
        <f>AB52/100*AE10</f>
        <v>4.2787754719579532</v>
      </c>
      <c r="AE52" s="27">
        <v>4.3217553503015962</v>
      </c>
      <c r="AF52" s="153">
        <f t="shared" si="3"/>
        <v>-4.297987834364303E-2</v>
      </c>
      <c r="AG52" s="130" t="s">
        <v>298</v>
      </c>
      <c r="AJ52">
        <v>0.83927158185393524</v>
      </c>
      <c r="AL52">
        <f>AJ52/100*AM10</f>
        <v>0.24472006978400748</v>
      </c>
      <c r="AM52">
        <v>0.24921902517254882</v>
      </c>
      <c r="AN52" s="140">
        <f t="shared" si="4"/>
        <v>-4.4989553885413369E-3</v>
      </c>
    </row>
    <row r="53" spans="1:40" ht="15.75" thickBot="1" x14ac:dyDescent="0.3">
      <c r="A53" s="289" t="s">
        <v>653</v>
      </c>
      <c r="B53" s="290"/>
      <c r="C53" s="290"/>
      <c r="D53" s="290"/>
      <c r="E53" s="290"/>
      <c r="F53" s="290"/>
      <c r="G53" s="290"/>
      <c r="H53" s="291"/>
      <c r="I53" s="289" t="s">
        <v>654</v>
      </c>
      <c r="J53" s="290"/>
      <c r="K53" s="290"/>
      <c r="L53" s="290"/>
      <c r="M53" s="290"/>
      <c r="N53" s="290"/>
      <c r="O53" s="290"/>
      <c r="P53" s="291"/>
      <c r="Q53" s="295" t="s">
        <v>655</v>
      </c>
      <c r="R53" s="296"/>
      <c r="S53" s="296"/>
      <c r="T53" s="296"/>
      <c r="U53" s="296"/>
      <c r="V53" s="296"/>
      <c r="W53" s="296"/>
      <c r="X53" s="297"/>
      <c r="Y53" s="295" t="s">
        <v>656</v>
      </c>
      <c r="Z53" s="296"/>
      <c r="AA53" s="296"/>
      <c r="AB53" s="296"/>
      <c r="AC53" s="296"/>
      <c r="AD53" s="296"/>
      <c r="AE53" s="296"/>
      <c r="AF53" s="296"/>
      <c r="AG53" s="295" t="s">
        <v>657</v>
      </c>
      <c r="AH53" s="296"/>
      <c r="AI53" s="296"/>
      <c r="AJ53" s="296"/>
      <c r="AK53" s="296"/>
      <c r="AL53" s="296"/>
      <c r="AM53" s="296"/>
      <c r="AN53" s="297"/>
    </row>
    <row r="54" spans="1:40" x14ac:dyDescent="0.25">
      <c r="A54" s="130" t="s">
        <v>555</v>
      </c>
      <c r="F54" t="s">
        <v>106</v>
      </c>
      <c r="G54" t="s">
        <v>556</v>
      </c>
      <c r="H54" s="140" t="s">
        <v>557</v>
      </c>
      <c r="I54" s="130" t="s">
        <v>555</v>
      </c>
      <c r="N54" t="s">
        <v>106</v>
      </c>
      <c r="O54" t="s">
        <v>556</v>
      </c>
      <c r="P54" s="140" t="s">
        <v>557</v>
      </c>
      <c r="Q54" s="130" t="s">
        <v>555</v>
      </c>
      <c r="V54" t="s">
        <v>106</v>
      </c>
      <c r="W54" t="s">
        <v>556</v>
      </c>
      <c r="X54" s="140" t="s">
        <v>557</v>
      </c>
      <c r="Y54" s="130" t="s">
        <v>555</v>
      </c>
      <c r="AD54" t="s">
        <v>106</v>
      </c>
      <c r="AE54" t="s">
        <v>556</v>
      </c>
      <c r="AF54" t="s">
        <v>557</v>
      </c>
      <c r="AG54" s="130" t="s">
        <v>555</v>
      </c>
      <c r="AL54" t="s">
        <v>106</v>
      </c>
      <c r="AM54" t="s">
        <v>556</v>
      </c>
      <c r="AN54" s="140" t="s">
        <v>557</v>
      </c>
    </row>
    <row r="55" spans="1:40" x14ac:dyDescent="0.25">
      <c r="A55" s="209">
        <v>100</v>
      </c>
      <c r="F55" t="s">
        <v>637</v>
      </c>
      <c r="G55">
        <v>5305.5743597032997</v>
      </c>
      <c r="H55" s="140" t="s">
        <v>559</v>
      </c>
      <c r="I55" s="209">
        <v>100</v>
      </c>
      <c r="N55" t="s">
        <v>617</v>
      </c>
      <c r="O55">
        <v>3936.9745707573102</v>
      </c>
      <c r="P55" s="140" t="s">
        <v>559</v>
      </c>
      <c r="Q55" s="25">
        <v>100</v>
      </c>
      <c r="V55" t="s">
        <v>617</v>
      </c>
      <c r="W55">
        <v>5064.5512153505297</v>
      </c>
      <c r="X55" s="140" t="s">
        <v>559</v>
      </c>
      <c r="Y55" s="25">
        <v>100</v>
      </c>
      <c r="AD55" t="s">
        <v>622</v>
      </c>
      <c r="AE55">
        <v>3638.4462905575301</v>
      </c>
      <c r="AF55" t="s">
        <v>559</v>
      </c>
      <c r="AG55" s="185">
        <v>100</v>
      </c>
      <c r="AL55" t="s">
        <v>627</v>
      </c>
      <c r="AM55">
        <v>3382.4489878681902</v>
      </c>
      <c r="AN55" s="140" t="s">
        <v>559</v>
      </c>
    </row>
    <row r="56" spans="1:40" x14ac:dyDescent="0.25">
      <c r="B56">
        <v>99</v>
      </c>
      <c r="F56" t="s">
        <v>638</v>
      </c>
      <c r="G56">
        <v>5254.9020374916099</v>
      </c>
      <c r="H56" s="140" t="s">
        <v>559</v>
      </c>
      <c r="I56" s="130"/>
      <c r="J56">
        <v>98.7</v>
      </c>
      <c r="N56" t="s">
        <v>618</v>
      </c>
      <c r="O56">
        <v>3886.3022487117901</v>
      </c>
      <c r="P56" s="140" t="s">
        <v>559</v>
      </c>
      <c r="Q56" s="25"/>
      <c r="R56" s="25">
        <v>99</v>
      </c>
      <c r="V56" t="s">
        <v>618</v>
      </c>
      <c r="W56">
        <v>5013.8788930056098</v>
      </c>
      <c r="X56" s="140" t="s">
        <v>559</v>
      </c>
      <c r="Y56" s="25"/>
      <c r="Z56" s="25">
        <v>98.6</v>
      </c>
      <c r="AD56" t="s">
        <v>623</v>
      </c>
      <c r="AE56">
        <v>3587.7739682353399</v>
      </c>
      <c r="AF56" t="s">
        <v>559</v>
      </c>
      <c r="AG56" s="130"/>
      <c r="AH56">
        <v>98.5</v>
      </c>
      <c r="AL56" t="s">
        <v>628</v>
      </c>
      <c r="AM56">
        <v>3331.7766656763802</v>
      </c>
      <c r="AN56" s="140" t="s">
        <v>559</v>
      </c>
    </row>
    <row r="57" spans="1:40" x14ac:dyDescent="0.25">
      <c r="C57">
        <v>93</v>
      </c>
      <c r="F57" t="s">
        <v>639</v>
      </c>
      <c r="G57">
        <v>4933.9211774590203</v>
      </c>
      <c r="H57" s="140" t="s">
        <v>559</v>
      </c>
      <c r="I57" s="130"/>
      <c r="K57">
        <v>90.6</v>
      </c>
      <c r="N57" t="s">
        <v>619</v>
      </c>
      <c r="O57">
        <v>3565.32138862692</v>
      </c>
      <c r="P57" s="140" t="s">
        <v>559</v>
      </c>
      <c r="Q57" s="25"/>
      <c r="S57" s="25">
        <v>92.7</v>
      </c>
      <c r="V57" t="s">
        <v>619</v>
      </c>
      <c r="W57">
        <v>4692.89803299083</v>
      </c>
      <c r="X57" s="140" t="s">
        <v>559</v>
      </c>
      <c r="Y57" s="25"/>
      <c r="AA57" s="25">
        <v>89.8</v>
      </c>
      <c r="AD57" t="s">
        <v>624</v>
      </c>
      <c r="AE57">
        <v>3266.7931082424402</v>
      </c>
      <c r="AF57" t="s">
        <v>559</v>
      </c>
      <c r="AG57" s="130"/>
      <c r="AI57">
        <v>89</v>
      </c>
      <c r="AL57" t="s">
        <v>629</v>
      </c>
      <c r="AM57">
        <v>3010.79580572042</v>
      </c>
      <c r="AN57" s="140" t="s">
        <v>559</v>
      </c>
    </row>
    <row r="58" spans="1:40" x14ac:dyDescent="0.25">
      <c r="D58">
        <v>81.599999999999994</v>
      </c>
      <c r="F58" t="s">
        <v>640</v>
      </c>
      <c r="G58">
        <v>4330.9129619087998</v>
      </c>
      <c r="H58" s="140" t="s">
        <v>559</v>
      </c>
      <c r="I58" s="130"/>
      <c r="L58">
        <v>75.2</v>
      </c>
      <c r="N58" t="s">
        <v>620</v>
      </c>
      <c r="O58">
        <v>2962.3131761078598</v>
      </c>
      <c r="P58" s="140" t="s">
        <v>559</v>
      </c>
      <c r="Q58" s="25"/>
      <c r="T58" s="25">
        <v>80.8</v>
      </c>
      <c r="V58" t="s">
        <v>620</v>
      </c>
      <c r="W58">
        <v>4089.8898175393501</v>
      </c>
      <c r="X58" s="140" t="s">
        <v>559</v>
      </c>
      <c r="Y58" s="25"/>
      <c r="AB58" s="25">
        <v>73.2</v>
      </c>
      <c r="AD58" t="s">
        <v>625</v>
      </c>
      <c r="AE58">
        <v>2663.7848934103499</v>
      </c>
      <c r="AF58" t="s">
        <v>559</v>
      </c>
      <c r="AG58" s="130"/>
      <c r="AJ58">
        <v>71.2</v>
      </c>
      <c r="AL58" t="s">
        <v>630</v>
      </c>
      <c r="AM58">
        <v>2407.78758851154</v>
      </c>
      <c r="AN58" s="140" t="s">
        <v>559</v>
      </c>
    </row>
    <row r="59" spans="1:40" x14ac:dyDescent="0.25">
      <c r="E59">
        <v>55.6</v>
      </c>
      <c r="F59" t="s">
        <v>562</v>
      </c>
      <c r="G59">
        <v>2950.9320536314699</v>
      </c>
      <c r="H59" s="140" t="s">
        <v>559</v>
      </c>
      <c r="I59" s="130"/>
      <c r="M59">
        <v>71.400000000000006</v>
      </c>
      <c r="N59" t="s">
        <v>562</v>
      </c>
      <c r="O59">
        <v>2810.2183247581902</v>
      </c>
      <c r="P59" s="140" t="s">
        <v>559</v>
      </c>
      <c r="Q59" s="25"/>
      <c r="U59" s="25">
        <v>42.8</v>
      </c>
      <c r="V59" t="s">
        <v>562</v>
      </c>
      <c r="W59">
        <v>2167.8545902483902</v>
      </c>
      <c r="X59" s="140" t="s">
        <v>559</v>
      </c>
      <c r="Y59" s="25"/>
      <c r="AC59" s="25">
        <v>69.5</v>
      </c>
      <c r="AD59" t="s">
        <v>562</v>
      </c>
      <c r="AE59">
        <v>2529.6451801686699</v>
      </c>
      <c r="AF59" t="s">
        <v>559</v>
      </c>
      <c r="AG59" s="130"/>
      <c r="AK59">
        <v>70.099999999999994</v>
      </c>
      <c r="AL59" t="s">
        <v>562</v>
      </c>
      <c r="AM59">
        <v>2370.6577954967302</v>
      </c>
      <c r="AN59" s="140" t="s">
        <v>559</v>
      </c>
    </row>
    <row r="60" spans="1:40" x14ac:dyDescent="0.25">
      <c r="E60">
        <v>26</v>
      </c>
      <c r="F60" t="s">
        <v>641</v>
      </c>
      <c r="G60">
        <v>1379.98091002404</v>
      </c>
      <c r="H60" s="140" t="s">
        <v>559</v>
      </c>
      <c r="I60" s="130"/>
      <c r="M60">
        <v>3.86</v>
      </c>
      <c r="N60" t="s">
        <v>621</v>
      </c>
      <c r="O60">
        <v>152.09485797645399</v>
      </c>
      <c r="P60" s="140" t="s">
        <v>559</v>
      </c>
      <c r="Q60" s="25"/>
      <c r="U60" s="25">
        <v>38</v>
      </c>
      <c r="V60" t="s">
        <v>621</v>
      </c>
      <c r="W60">
        <v>1922.0352325849001</v>
      </c>
      <c r="X60" s="140" t="s">
        <v>559</v>
      </c>
      <c r="Y60" s="25"/>
      <c r="AC60" s="25">
        <v>3.69</v>
      </c>
      <c r="AD60" t="s">
        <v>626</v>
      </c>
      <c r="AE60">
        <v>134.139707137041</v>
      </c>
      <c r="AF60" t="s">
        <v>559</v>
      </c>
      <c r="AG60" s="130"/>
      <c r="AK60">
        <v>1.1000000000000001</v>
      </c>
      <c r="AL60" t="s">
        <v>631</v>
      </c>
      <c r="AM60">
        <v>37.129788286287202</v>
      </c>
      <c r="AN60" s="140" t="s">
        <v>559</v>
      </c>
    </row>
    <row r="61" spans="1:40" x14ac:dyDescent="0.25">
      <c r="D61">
        <v>10</v>
      </c>
      <c r="F61" t="s">
        <v>564</v>
      </c>
      <c r="G61">
        <v>531.53414404106297</v>
      </c>
      <c r="H61" s="140" t="s">
        <v>559</v>
      </c>
      <c r="I61" s="130"/>
      <c r="L61">
        <v>13.5</v>
      </c>
      <c r="N61" t="s">
        <v>564</v>
      </c>
      <c r="O61">
        <v>531.53414131282796</v>
      </c>
      <c r="P61" s="140" t="s">
        <v>559</v>
      </c>
      <c r="Q61" s="25"/>
      <c r="T61" s="25">
        <v>10.5</v>
      </c>
      <c r="V61" t="s">
        <v>564</v>
      </c>
      <c r="W61">
        <v>531.53414396841697</v>
      </c>
      <c r="X61" s="140" t="s">
        <v>559</v>
      </c>
      <c r="Y61" s="25"/>
      <c r="AB61" s="25">
        <v>14.6</v>
      </c>
      <c r="AD61" t="s">
        <v>564</v>
      </c>
      <c r="AE61">
        <v>531.53414335033199</v>
      </c>
      <c r="AF61" t="s">
        <v>559</v>
      </c>
      <c r="AG61" s="130"/>
      <c r="AJ61">
        <v>15.7</v>
      </c>
      <c r="AL61" t="s">
        <v>564</v>
      </c>
      <c r="AM61">
        <v>531.53414548404498</v>
      </c>
      <c r="AN61" s="140" t="s">
        <v>559</v>
      </c>
    </row>
    <row r="62" spans="1:40" x14ac:dyDescent="0.25">
      <c r="D62">
        <v>0.47</v>
      </c>
      <c r="F62" t="s">
        <v>565</v>
      </c>
      <c r="G62">
        <v>25.046126515834398</v>
      </c>
      <c r="H62" s="140" t="s">
        <v>559</v>
      </c>
      <c r="I62" s="130"/>
      <c r="L62">
        <v>0.64</v>
      </c>
      <c r="N62" t="s">
        <v>565</v>
      </c>
      <c r="O62">
        <v>25.046126514704799</v>
      </c>
      <c r="P62" s="140" t="s">
        <v>559</v>
      </c>
      <c r="Q62" s="25"/>
      <c r="T62" s="25">
        <v>0.49</v>
      </c>
      <c r="V62" t="s">
        <v>565</v>
      </c>
      <c r="W62">
        <v>25.0461265166992</v>
      </c>
      <c r="X62" s="140" t="s">
        <v>559</v>
      </c>
      <c r="Y62" s="25"/>
      <c r="AB62" s="25">
        <v>0.69</v>
      </c>
      <c r="AD62" t="s">
        <v>565</v>
      </c>
      <c r="AE62">
        <v>25.046126516353599</v>
      </c>
      <c r="AF62" t="s">
        <v>559</v>
      </c>
      <c r="AG62" s="130"/>
      <c r="AJ62">
        <v>0.74</v>
      </c>
      <c r="AL62" t="s">
        <v>565</v>
      </c>
      <c r="AM62">
        <v>25.0461265151975</v>
      </c>
      <c r="AN62" s="140" t="s">
        <v>559</v>
      </c>
    </row>
    <row r="63" spans="1:40" x14ac:dyDescent="0.25">
      <c r="D63">
        <v>0.35</v>
      </c>
      <c r="F63" t="s">
        <v>566</v>
      </c>
      <c r="G63">
        <v>18.321170555254099</v>
      </c>
      <c r="H63" s="140" t="s">
        <v>559</v>
      </c>
      <c r="I63" s="130"/>
      <c r="L63">
        <v>0.47</v>
      </c>
      <c r="N63" t="s">
        <v>566</v>
      </c>
      <c r="O63">
        <v>18.3211704696654</v>
      </c>
      <c r="P63" s="140" t="s">
        <v>559</v>
      </c>
      <c r="Q63" s="25"/>
      <c r="T63" s="25">
        <v>0.36</v>
      </c>
      <c r="V63" t="s">
        <v>566</v>
      </c>
      <c r="W63">
        <v>18.321170478222101</v>
      </c>
      <c r="X63" s="140" t="s">
        <v>559</v>
      </c>
      <c r="Y63" s="25"/>
      <c r="AB63" s="25">
        <v>0.5</v>
      </c>
      <c r="AD63" t="s">
        <v>566</v>
      </c>
      <c r="AE63">
        <v>18.321170584296699</v>
      </c>
      <c r="AF63" t="s">
        <v>559</v>
      </c>
      <c r="AG63" s="130"/>
      <c r="AJ63">
        <v>0.54</v>
      </c>
      <c r="AL63" t="s">
        <v>566</v>
      </c>
      <c r="AM63">
        <v>18.321170602290099</v>
      </c>
      <c r="AN63" s="140" t="s">
        <v>559</v>
      </c>
    </row>
    <row r="64" spans="1:40" x14ac:dyDescent="0.25">
      <c r="D64">
        <v>0.27</v>
      </c>
      <c r="F64" t="s">
        <v>567</v>
      </c>
      <c r="G64">
        <v>14.2527525730946</v>
      </c>
      <c r="H64" s="140" t="s">
        <v>559</v>
      </c>
      <c r="I64" s="130"/>
      <c r="L64">
        <v>0.36</v>
      </c>
      <c r="N64" t="s">
        <v>567</v>
      </c>
      <c r="O64">
        <v>14.252752419937099</v>
      </c>
      <c r="P64" s="140" t="s">
        <v>559</v>
      </c>
      <c r="Q64" s="25"/>
      <c r="T64" s="25">
        <v>0.28000000000000003</v>
      </c>
      <c r="V64" t="s">
        <v>567</v>
      </c>
      <c r="W64">
        <v>14.2527525660338</v>
      </c>
      <c r="X64" s="140" t="s">
        <v>559</v>
      </c>
      <c r="Y64" s="25"/>
      <c r="AB64" s="25">
        <v>0.39</v>
      </c>
      <c r="AD64" t="s">
        <v>567</v>
      </c>
      <c r="AE64">
        <v>14.252752557792</v>
      </c>
      <c r="AF64" t="s">
        <v>559</v>
      </c>
      <c r="AG64" s="130"/>
      <c r="AJ64">
        <v>0.42</v>
      </c>
      <c r="AL64" t="s">
        <v>567</v>
      </c>
      <c r="AM64">
        <v>14.252752657555501</v>
      </c>
      <c r="AN64" s="140" t="s">
        <v>559</v>
      </c>
    </row>
    <row r="65" spans="1:40" x14ac:dyDescent="0.25">
      <c r="D65">
        <v>0.16</v>
      </c>
      <c r="F65" t="s">
        <v>568</v>
      </c>
      <c r="G65">
        <v>8.4874788936389791</v>
      </c>
      <c r="H65" s="140" t="s">
        <v>559</v>
      </c>
      <c r="I65" s="130"/>
      <c r="L65">
        <v>0.22</v>
      </c>
      <c r="N65" t="s">
        <v>568</v>
      </c>
      <c r="O65">
        <v>8.4874788756732809</v>
      </c>
      <c r="P65" s="140" t="s">
        <v>559</v>
      </c>
      <c r="Q65" s="25"/>
      <c r="T65" s="25">
        <v>0.17</v>
      </c>
      <c r="V65" t="s">
        <v>568</v>
      </c>
      <c r="W65">
        <v>8.4874789011522491</v>
      </c>
      <c r="X65" s="140" t="s">
        <v>559</v>
      </c>
      <c r="Y65" s="25"/>
      <c r="AB65" s="25">
        <v>0.23</v>
      </c>
      <c r="AD65" t="s">
        <v>568</v>
      </c>
      <c r="AE65">
        <v>8.4874788805200794</v>
      </c>
      <c r="AF65" t="s">
        <v>559</v>
      </c>
      <c r="AG65" s="130"/>
      <c r="AJ65">
        <v>0.25</v>
      </c>
      <c r="AL65" t="s">
        <v>568</v>
      </c>
      <c r="AM65">
        <v>8.48747893864115</v>
      </c>
      <c r="AN65" s="140" t="s">
        <v>559</v>
      </c>
    </row>
    <row r="66" spans="1:40" x14ac:dyDescent="0.25">
      <c r="D66">
        <v>5.96E-2</v>
      </c>
      <c r="F66" t="s">
        <v>569</v>
      </c>
      <c r="G66">
        <v>3.1620043026378801</v>
      </c>
      <c r="H66" s="140" t="s">
        <v>559</v>
      </c>
      <c r="I66" s="130"/>
      <c r="L66">
        <v>8.0299999999999996E-2</v>
      </c>
      <c r="N66" t="s">
        <v>569</v>
      </c>
      <c r="O66">
        <v>3.1620042927023402</v>
      </c>
      <c r="P66" s="140" t="s">
        <v>559</v>
      </c>
      <c r="Q66" s="25"/>
      <c r="T66" s="25">
        <v>6.2399999999999997E-2</v>
      </c>
      <c r="V66" t="s">
        <v>569</v>
      </c>
      <c r="W66">
        <v>3.1620042981974699</v>
      </c>
      <c r="X66" s="140" t="s">
        <v>559</v>
      </c>
      <c r="Y66" s="25"/>
      <c r="AB66" s="25">
        <v>8.6900000000000005E-2</v>
      </c>
      <c r="AD66" t="s">
        <v>569</v>
      </c>
      <c r="AE66">
        <v>3.1620043033890899</v>
      </c>
      <c r="AF66" t="s">
        <v>559</v>
      </c>
      <c r="AG66" s="130"/>
      <c r="AJ66">
        <v>9.35E-2</v>
      </c>
      <c r="AL66" t="s">
        <v>569</v>
      </c>
      <c r="AM66">
        <v>3.1620043036433101</v>
      </c>
      <c r="AN66" s="140" t="s">
        <v>559</v>
      </c>
    </row>
    <row r="67" spans="1:40" x14ac:dyDescent="0.25">
      <c r="D67">
        <v>1.43E-2</v>
      </c>
      <c r="F67" t="s">
        <v>570</v>
      </c>
      <c r="G67">
        <v>0.75711756082632897</v>
      </c>
      <c r="H67" s="140" t="s">
        <v>559</v>
      </c>
      <c r="I67" s="130"/>
      <c r="L67">
        <v>1.9199999999999998E-2</v>
      </c>
      <c r="N67" t="s">
        <v>570</v>
      </c>
      <c r="O67">
        <v>0.75711756006872399</v>
      </c>
      <c r="P67" s="140" t="s">
        <v>559</v>
      </c>
      <c r="Q67" s="25"/>
      <c r="T67" s="25">
        <v>1.49E-2</v>
      </c>
      <c r="V67" t="s">
        <v>570</v>
      </c>
      <c r="W67">
        <v>0.75711756136748898</v>
      </c>
      <c r="X67" s="140" t="s">
        <v>559</v>
      </c>
      <c r="Y67" s="25"/>
      <c r="AB67" s="25">
        <v>2.0799999999999999E-2</v>
      </c>
      <c r="AD67" t="s">
        <v>570</v>
      </c>
      <c r="AE67">
        <v>0.75711756088244497</v>
      </c>
      <c r="AF67" t="s">
        <v>559</v>
      </c>
      <c r="AG67" s="130"/>
      <c r="AJ67">
        <v>2.24E-2</v>
      </c>
      <c r="AL67" t="s">
        <v>570</v>
      </c>
      <c r="AM67">
        <v>0.75711756055900603</v>
      </c>
      <c r="AN67" s="140" t="s">
        <v>559</v>
      </c>
    </row>
    <row r="68" spans="1:40" x14ac:dyDescent="0.25">
      <c r="D68">
        <v>1.38E-2</v>
      </c>
      <c r="F68" t="s">
        <v>571</v>
      </c>
      <c r="G68">
        <v>0.73097424202289396</v>
      </c>
      <c r="H68" s="140" t="s">
        <v>559</v>
      </c>
      <c r="I68" s="130"/>
      <c r="L68">
        <v>1.8599999999999998E-2</v>
      </c>
      <c r="N68" t="s">
        <v>571</v>
      </c>
      <c r="O68">
        <v>0.73097428016181898</v>
      </c>
      <c r="P68" s="140" t="s">
        <v>559</v>
      </c>
      <c r="Q68" s="25"/>
      <c r="T68" s="25">
        <v>1.44E-2</v>
      </c>
      <c r="V68" t="s">
        <v>571</v>
      </c>
      <c r="W68">
        <v>0.73097424255646104</v>
      </c>
      <c r="X68" s="140" t="s">
        <v>559</v>
      </c>
      <c r="Y68" s="25"/>
      <c r="AB68" s="25">
        <v>2.01E-2</v>
      </c>
      <c r="AD68" t="s">
        <v>571</v>
      </c>
      <c r="AE68">
        <v>0.73097424567095204</v>
      </c>
      <c r="AF68" t="s">
        <v>559</v>
      </c>
      <c r="AG68" s="130"/>
      <c r="AJ68">
        <v>2.1600000000000001E-2</v>
      </c>
      <c r="AL68" t="s">
        <v>571</v>
      </c>
      <c r="AM68">
        <v>0.73097431954694203</v>
      </c>
      <c r="AN68" s="140" t="s">
        <v>559</v>
      </c>
    </row>
    <row r="69" spans="1:40" x14ac:dyDescent="0.25">
      <c r="D69">
        <v>1.35E-2</v>
      </c>
      <c r="F69" t="s">
        <v>572</v>
      </c>
      <c r="G69">
        <v>0.71644684911348899</v>
      </c>
      <c r="H69" s="140" t="s">
        <v>559</v>
      </c>
      <c r="I69" s="130"/>
      <c r="L69">
        <v>1.8200000000000001E-2</v>
      </c>
      <c r="N69" t="s">
        <v>572</v>
      </c>
      <c r="O69">
        <v>0.71644684263808101</v>
      </c>
      <c r="P69" s="140" t="s">
        <v>559</v>
      </c>
      <c r="Q69" s="25"/>
      <c r="T69" s="25">
        <v>1.41E-2</v>
      </c>
      <c r="V69" t="s">
        <v>572</v>
      </c>
      <c r="W69">
        <v>0.71644684989347895</v>
      </c>
      <c r="X69" s="140" t="s">
        <v>559</v>
      </c>
      <c r="Y69" s="25"/>
      <c r="AB69" s="25">
        <v>1.9699999999999999E-2</v>
      </c>
      <c r="AD69" t="s">
        <v>572</v>
      </c>
      <c r="AE69">
        <v>0.71644685149438703</v>
      </c>
      <c r="AF69" t="s">
        <v>559</v>
      </c>
      <c r="AG69" s="130"/>
      <c r="AJ69">
        <v>2.12E-2</v>
      </c>
      <c r="AL69" t="s">
        <v>572</v>
      </c>
      <c r="AM69">
        <v>0.71644685190845703</v>
      </c>
      <c r="AN69" s="140" t="s">
        <v>559</v>
      </c>
    </row>
    <row r="70" spans="1:40" x14ac:dyDescent="0.25">
      <c r="D70">
        <v>0</v>
      </c>
      <c r="F70" t="s">
        <v>573</v>
      </c>
      <c r="G70">
        <v>0</v>
      </c>
      <c r="H70" s="140" t="s">
        <v>559</v>
      </c>
      <c r="I70" s="130"/>
      <c r="L70">
        <v>0</v>
      </c>
      <c r="N70" t="s">
        <v>573</v>
      </c>
      <c r="O70">
        <v>0</v>
      </c>
      <c r="P70" s="140" t="s">
        <v>559</v>
      </c>
      <c r="Q70" s="25"/>
      <c r="T70" s="25">
        <v>0</v>
      </c>
      <c r="V70" t="s">
        <v>573</v>
      </c>
      <c r="W70">
        <v>0</v>
      </c>
      <c r="X70" s="140" t="s">
        <v>559</v>
      </c>
      <c r="Y70" s="25"/>
      <c r="AB70" s="25">
        <v>-1.2000000000000001E-11</v>
      </c>
      <c r="AD70" t="s">
        <v>573</v>
      </c>
      <c r="AE70">
        <v>0</v>
      </c>
      <c r="AF70" t="s">
        <v>559</v>
      </c>
      <c r="AG70" s="130"/>
      <c r="AJ70">
        <v>0</v>
      </c>
      <c r="AL70" t="s">
        <v>573</v>
      </c>
      <c r="AM70">
        <v>0</v>
      </c>
      <c r="AN70" s="140" t="s">
        <v>559</v>
      </c>
    </row>
    <row r="71" spans="1:40" x14ac:dyDescent="0.25">
      <c r="C71">
        <v>8.02</v>
      </c>
      <c r="F71" t="s">
        <v>574</v>
      </c>
      <c r="G71">
        <v>425.52749999999997</v>
      </c>
      <c r="H71" s="140" t="s">
        <v>559</v>
      </c>
      <c r="I71" s="130"/>
      <c r="K71">
        <v>10.8</v>
      </c>
      <c r="N71" t="s">
        <v>574</v>
      </c>
      <c r="O71">
        <v>425.52749999999997</v>
      </c>
      <c r="P71" s="140" t="s">
        <v>559</v>
      </c>
      <c r="Q71" s="25"/>
      <c r="S71" s="25">
        <v>8.4</v>
      </c>
      <c r="V71" t="s">
        <v>574</v>
      </c>
      <c r="W71">
        <v>425.52749999999997</v>
      </c>
      <c r="X71" s="140" t="s">
        <v>559</v>
      </c>
      <c r="Y71" s="25"/>
      <c r="AA71" s="25">
        <v>11.7</v>
      </c>
      <c r="AD71" t="s">
        <v>574</v>
      </c>
      <c r="AE71">
        <v>425.52749999999997</v>
      </c>
      <c r="AF71" t="s">
        <v>559</v>
      </c>
      <c r="AG71" s="130"/>
      <c r="AI71">
        <v>12.6</v>
      </c>
      <c r="AL71" t="s">
        <v>574</v>
      </c>
      <c r="AM71">
        <v>425.52749999999997</v>
      </c>
      <c r="AN71" s="140" t="s">
        <v>559</v>
      </c>
    </row>
    <row r="72" spans="1:40" x14ac:dyDescent="0.25">
      <c r="C72">
        <v>0.3</v>
      </c>
      <c r="F72" t="s">
        <v>575</v>
      </c>
      <c r="G72">
        <v>16.081219999999998</v>
      </c>
      <c r="H72" s="140" t="s">
        <v>559</v>
      </c>
      <c r="I72" s="130"/>
      <c r="K72">
        <v>0.41</v>
      </c>
      <c r="N72" t="s">
        <v>575</v>
      </c>
      <c r="O72">
        <v>16.081219999999998</v>
      </c>
      <c r="P72" s="140" t="s">
        <v>559</v>
      </c>
      <c r="Q72" s="25"/>
      <c r="S72" s="25">
        <v>0.32</v>
      </c>
      <c r="V72" t="s">
        <v>575</v>
      </c>
      <c r="W72">
        <v>16.081219999999998</v>
      </c>
      <c r="X72" s="140" t="s">
        <v>559</v>
      </c>
      <c r="Y72" s="25"/>
      <c r="AA72" s="25">
        <v>0.44</v>
      </c>
      <c r="AD72" t="s">
        <v>575</v>
      </c>
      <c r="AE72">
        <v>16.081219999999998</v>
      </c>
      <c r="AF72" t="s">
        <v>559</v>
      </c>
      <c r="AG72" s="130"/>
      <c r="AI72">
        <v>0.48</v>
      </c>
      <c r="AL72" t="s">
        <v>575</v>
      </c>
      <c r="AM72">
        <v>16.081219999999998</v>
      </c>
      <c r="AN72" s="140" t="s">
        <v>559</v>
      </c>
    </row>
    <row r="73" spans="1:40" x14ac:dyDescent="0.25">
      <c r="C73">
        <v>-2.27</v>
      </c>
      <c r="F73" t="s">
        <v>576</v>
      </c>
      <c r="G73">
        <v>-120.62786</v>
      </c>
      <c r="H73" s="140" t="s">
        <v>559</v>
      </c>
      <c r="I73" s="130"/>
      <c r="K73">
        <v>-3.06</v>
      </c>
      <c r="N73" t="s">
        <v>576</v>
      </c>
      <c r="O73">
        <v>-120.62786</v>
      </c>
      <c r="P73" s="140" t="s">
        <v>559</v>
      </c>
      <c r="Q73" s="25"/>
      <c r="S73" s="25">
        <v>-2.38</v>
      </c>
      <c r="V73" t="s">
        <v>576</v>
      </c>
      <c r="W73">
        <v>-120.62786</v>
      </c>
      <c r="X73" s="140" t="s">
        <v>559</v>
      </c>
      <c r="Y73" s="25"/>
      <c r="AA73" s="25">
        <v>-3.32</v>
      </c>
      <c r="AD73" t="s">
        <v>576</v>
      </c>
      <c r="AE73">
        <v>-120.62786</v>
      </c>
      <c r="AF73" t="s">
        <v>559</v>
      </c>
      <c r="AG73" s="130"/>
      <c r="AI73">
        <v>-3.57</v>
      </c>
      <c r="AL73" t="s">
        <v>576</v>
      </c>
      <c r="AM73">
        <v>-120.62786</v>
      </c>
      <c r="AN73" s="140" t="s">
        <v>559</v>
      </c>
    </row>
    <row r="74" spans="1:40" x14ac:dyDescent="0.25">
      <c r="B74">
        <v>0.96</v>
      </c>
      <c r="F74" t="s">
        <v>577</v>
      </c>
      <c r="G74">
        <v>50.672322261186501</v>
      </c>
      <c r="H74" s="140" t="s">
        <v>559</v>
      </c>
      <c r="I74" s="130"/>
      <c r="J74">
        <v>1.29</v>
      </c>
      <c r="N74" t="s">
        <v>577</v>
      </c>
      <c r="O74">
        <v>50.672322119255298</v>
      </c>
      <c r="P74" s="140" t="s">
        <v>559</v>
      </c>
      <c r="Q74" s="25"/>
      <c r="R74" s="25">
        <v>1</v>
      </c>
      <c r="V74" t="s">
        <v>577</v>
      </c>
      <c r="W74">
        <v>50.6723224003211</v>
      </c>
      <c r="X74" s="140" t="s">
        <v>559</v>
      </c>
      <c r="Y74" s="25"/>
      <c r="Z74" s="25">
        <v>1.39</v>
      </c>
      <c r="AD74" t="s">
        <v>577</v>
      </c>
      <c r="AE74">
        <v>50.6723222870706</v>
      </c>
      <c r="AF74" t="s">
        <v>559</v>
      </c>
      <c r="AG74" s="130"/>
      <c r="AH74">
        <v>1.5</v>
      </c>
      <c r="AL74" t="s">
        <v>577</v>
      </c>
      <c r="AM74">
        <v>50.672322172397799</v>
      </c>
      <c r="AN74" s="140" t="s">
        <v>559</v>
      </c>
    </row>
    <row r="75" spans="1:40" x14ac:dyDescent="0.25">
      <c r="A75" s="130"/>
      <c r="H75" s="140"/>
      <c r="I75" s="130"/>
      <c r="P75" s="140"/>
      <c r="Q75" s="130"/>
      <c r="X75" s="140"/>
      <c r="Y75" s="130"/>
      <c r="AG75" s="130"/>
      <c r="AN75" s="140"/>
    </row>
    <row r="76" spans="1:40" x14ac:dyDescent="0.25">
      <c r="A76" s="292" t="s">
        <v>667</v>
      </c>
      <c r="B76" s="252"/>
      <c r="C76" s="252"/>
      <c r="D76" s="252"/>
      <c r="E76" s="252"/>
      <c r="F76" s="252"/>
      <c r="G76" s="252"/>
      <c r="H76" s="293"/>
      <c r="I76" s="292" t="s">
        <v>666</v>
      </c>
      <c r="J76" s="252"/>
      <c r="K76" s="252"/>
      <c r="L76" s="252"/>
      <c r="M76" s="252"/>
      <c r="N76" s="252"/>
      <c r="O76" s="252"/>
      <c r="P76" s="293"/>
      <c r="Q76" s="292" t="s">
        <v>665</v>
      </c>
      <c r="R76" s="252"/>
      <c r="S76" s="252"/>
      <c r="T76" s="252"/>
      <c r="U76" s="252"/>
      <c r="V76" s="252"/>
      <c r="W76" s="252"/>
      <c r="X76" s="293"/>
      <c r="Y76" s="292" t="s">
        <v>664</v>
      </c>
      <c r="Z76" s="252"/>
      <c r="AA76" s="252"/>
      <c r="AB76" s="252"/>
      <c r="AC76" s="252"/>
      <c r="AD76" s="252"/>
      <c r="AE76" s="252"/>
      <c r="AF76" s="252"/>
      <c r="AG76" s="292" t="s">
        <v>663</v>
      </c>
      <c r="AH76" s="252"/>
      <c r="AI76" s="252"/>
      <c r="AJ76" s="252"/>
      <c r="AK76" s="252"/>
      <c r="AL76" s="252"/>
      <c r="AM76" s="252"/>
      <c r="AN76" s="293"/>
    </row>
    <row r="77" spans="1:40" x14ac:dyDescent="0.25">
      <c r="A77" s="130" t="s">
        <v>579</v>
      </c>
      <c r="C77" t="s">
        <v>320</v>
      </c>
      <c r="D77" t="s">
        <v>319</v>
      </c>
      <c r="F77" t="s">
        <v>679</v>
      </c>
      <c r="G77" t="s">
        <v>331</v>
      </c>
      <c r="H77" s="140" t="s">
        <v>580</v>
      </c>
      <c r="I77" s="130" t="s">
        <v>579</v>
      </c>
      <c r="K77" t="s">
        <v>320</v>
      </c>
      <c r="L77" t="s">
        <v>319</v>
      </c>
      <c r="N77" t="s">
        <v>578</v>
      </c>
      <c r="O77" t="s">
        <v>326</v>
      </c>
      <c r="P77" s="140" t="s">
        <v>580</v>
      </c>
      <c r="Q77" s="130" t="s">
        <v>579</v>
      </c>
      <c r="S77" t="s">
        <v>320</v>
      </c>
      <c r="T77" t="s">
        <v>319</v>
      </c>
      <c r="V77" t="s">
        <v>578</v>
      </c>
      <c r="W77" t="s">
        <v>327</v>
      </c>
      <c r="X77" s="140" t="s">
        <v>580</v>
      </c>
      <c r="Y77" s="130" t="s">
        <v>579</v>
      </c>
      <c r="AA77" t="s">
        <v>320</v>
      </c>
      <c r="AB77" t="s">
        <v>319</v>
      </c>
      <c r="AD77" t="s">
        <v>578</v>
      </c>
      <c r="AE77" t="s">
        <v>328</v>
      </c>
      <c r="AF77" t="s">
        <v>580</v>
      </c>
      <c r="AG77" s="130" t="s">
        <v>579</v>
      </c>
      <c r="AI77" t="s">
        <v>320</v>
      </c>
      <c r="AJ77" t="s">
        <v>319</v>
      </c>
      <c r="AL77" t="s">
        <v>578</v>
      </c>
      <c r="AM77" t="s">
        <v>329</v>
      </c>
      <c r="AN77" s="140" t="s">
        <v>580</v>
      </c>
    </row>
    <row r="78" spans="1:40" x14ac:dyDescent="0.25">
      <c r="A78" s="156" t="s">
        <v>282</v>
      </c>
      <c r="C78">
        <v>74.043008864019853</v>
      </c>
      <c r="D78">
        <v>0.12786328116804879</v>
      </c>
      <c r="F78">
        <f>(C78/100*G59)+(D78/100*G60)</f>
        <v>2186.7233709126017</v>
      </c>
      <c r="G78">
        <v>1712.0069263344308</v>
      </c>
      <c r="H78" s="140">
        <f>F78-G78</f>
        <v>474.71644457817092</v>
      </c>
      <c r="I78" s="156" t="s">
        <v>282</v>
      </c>
      <c r="K78">
        <v>74.968503937887576</v>
      </c>
      <c r="L78">
        <v>7.4643820259602291E-3</v>
      </c>
      <c r="N78">
        <f>(K78/100*O59)+(L78/100*O60)</f>
        <v>2106.7899884008229</v>
      </c>
      <c r="O78">
        <v>1649.0635674811645</v>
      </c>
      <c r="P78" s="140">
        <f>N78-O78</f>
        <v>457.72642091965849</v>
      </c>
      <c r="Q78" s="156" t="s">
        <v>282</v>
      </c>
      <c r="S78">
        <v>72.590501504917469</v>
      </c>
      <c r="T78">
        <v>5.226315432837151E-2</v>
      </c>
      <c r="V78">
        <f>(S78/100*W59)+(T78/100*W60)</f>
        <v>1574.6610351985316</v>
      </c>
      <c r="W78">
        <v>1232.7708965248141</v>
      </c>
      <c r="X78" s="140">
        <f>V78-W78</f>
        <v>341.8901386737175</v>
      </c>
      <c r="Y78" s="156" t="s">
        <v>282</v>
      </c>
      <c r="AA78">
        <v>72.18150173226428</v>
      </c>
      <c r="AB78">
        <v>0.13895536289601884</v>
      </c>
      <c r="AD78">
        <f>(AA78/100*AE59)+(AB78/100*AE60)</f>
        <v>1826.1222738604281</v>
      </c>
      <c r="AE78">
        <v>1429.4068741663498</v>
      </c>
      <c r="AF78">
        <f>AD78-AE78</f>
        <v>396.71539969407831</v>
      </c>
      <c r="AG78" s="156" t="s">
        <v>282</v>
      </c>
      <c r="AI78">
        <v>72.492995290005155</v>
      </c>
      <c r="AJ78">
        <v>5.3105831387682878E-2</v>
      </c>
      <c r="AL78">
        <f>(AI78/100*AM59)+(AJ78/100*AM60)</f>
        <v>1718.5805621143468</v>
      </c>
      <c r="AM78">
        <v>1345.1916208721077</v>
      </c>
      <c r="AN78" s="140">
        <f>AL78-AM78</f>
        <v>373.38894124223907</v>
      </c>
    </row>
    <row r="79" spans="1:40" x14ac:dyDescent="0.25">
      <c r="A79" s="156" t="s">
        <v>283</v>
      </c>
      <c r="C79">
        <v>25.956991135980132</v>
      </c>
      <c r="D79">
        <v>4.9455685007934003</v>
      </c>
      <c r="F79">
        <f>(C79/100*G59)+(D79/100*G60)</f>
        <v>834.22107279302827</v>
      </c>
      <c r="G79">
        <v>668.29800022428719</v>
      </c>
      <c r="H79" s="140">
        <f t="shared" ref="H79:H102" si="6">F79-G79</f>
        <v>165.92307256874108</v>
      </c>
      <c r="I79" s="156" t="s">
        <v>283</v>
      </c>
      <c r="K79">
        <v>25.031496062112428</v>
      </c>
      <c r="L79">
        <v>4.0986905462720111</v>
      </c>
      <c r="N79">
        <f>(K79/100*O59)+(L79/100*O60)</f>
        <v>709.67358686385501</v>
      </c>
      <c r="O79">
        <v>557.03563864642786</v>
      </c>
      <c r="P79" s="140">
        <f t="shared" ref="P79:P102" si="7">N79-O79</f>
        <v>152.63794821742715</v>
      </c>
      <c r="Q79" s="156" t="s">
        <v>283</v>
      </c>
      <c r="S79">
        <v>27.409498495082524</v>
      </c>
      <c r="T79">
        <v>12.155778582894863</v>
      </c>
      <c r="V79">
        <f>(S79/100*W59)+(T79/100*W60)</f>
        <v>827.83641844795864</v>
      </c>
      <c r="W79">
        <v>702.5286163654846</v>
      </c>
      <c r="X79" s="140">
        <f t="shared" ref="X79:X102" si="8">V79-W79</f>
        <v>125.30780208247404</v>
      </c>
      <c r="Y79" s="156" t="s">
        <v>283</v>
      </c>
      <c r="AA79">
        <v>27.81849826773572</v>
      </c>
      <c r="AB79">
        <v>11.662587066034089</v>
      </c>
      <c r="AD79">
        <f>(AA79/100*AE59)+(AB79/100*AE60)</f>
        <v>719.35346076006215</v>
      </c>
      <c r="AE79">
        <v>566.8116890788516</v>
      </c>
      <c r="AF79">
        <f t="shared" ref="AF79:AF102" si="9">AD79-AE79</f>
        <v>152.54177168121055</v>
      </c>
      <c r="AG79" s="156" t="s">
        <v>283</v>
      </c>
      <c r="AI79">
        <v>27.507004709994849</v>
      </c>
      <c r="AJ79">
        <v>11.360971498626245</v>
      </c>
      <c r="AL79">
        <f>(AI79/100*AM59)+(AJ79/100*AM60)</f>
        <v>656.31525612985092</v>
      </c>
      <c r="AM79">
        <v>514.75987799537029</v>
      </c>
      <c r="AN79" s="140">
        <f t="shared" ref="AN79:AN102" si="10">AL79-AM79</f>
        <v>141.55537813448063</v>
      </c>
    </row>
    <row r="80" spans="1:40" x14ac:dyDescent="0.25">
      <c r="A80" s="156" t="s">
        <v>287</v>
      </c>
      <c r="D80">
        <v>71.567677956636786</v>
      </c>
      <c r="F80">
        <f>G64+(D80/100*G60)</f>
        <v>1001.8730461221653</v>
      </c>
      <c r="G80">
        <v>994.87181578360151</v>
      </c>
      <c r="H80" s="140">
        <f t="shared" si="6"/>
        <v>7.0012303385638006</v>
      </c>
      <c r="I80" s="156" t="s">
        <v>287</v>
      </c>
      <c r="L80">
        <v>72.146573263800903</v>
      </c>
      <c r="N80">
        <f>O64+(L80/100*O60)</f>
        <v>123.98398056039342</v>
      </c>
      <c r="O80">
        <v>113.14689042205895</v>
      </c>
      <c r="P80" s="140">
        <f t="shared" si="7"/>
        <v>10.837090138334474</v>
      </c>
      <c r="Q80" s="156" t="s">
        <v>287</v>
      </c>
      <c r="T80">
        <v>65.891265726330673</v>
      </c>
      <c r="V80">
        <f>W64+(T80/100*W60)</f>
        <v>1280.7060950222483</v>
      </c>
      <c r="W80">
        <v>1287.0129910537044</v>
      </c>
      <c r="X80" s="140">
        <f t="shared" si="8"/>
        <v>-6.3068960314560627</v>
      </c>
      <c r="Y80" s="156" t="s">
        <v>287</v>
      </c>
      <c r="AB80">
        <v>66.318033067418938</v>
      </c>
      <c r="AD80">
        <f>AE64+(AB80/100*AE60)</f>
        <v>103.21156789347376</v>
      </c>
      <c r="AE80">
        <v>90.963692299877806</v>
      </c>
      <c r="AF80">
        <f t="shared" si="9"/>
        <v>12.24787559359595</v>
      </c>
      <c r="AG80" s="156" t="s">
        <v>287</v>
      </c>
      <c r="AJ80">
        <v>66.491439806909938</v>
      </c>
      <c r="AL80">
        <f>AM64+(AJ80/100*AM60)</f>
        <v>38.940883486365252</v>
      </c>
      <c r="AM80">
        <v>25.419097848260613</v>
      </c>
      <c r="AN80" s="140">
        <f t="shared" si="10"/>
        <v>13.521785638104639</v>
      </c>
    </row>
    <row r="81" spans="1:40" x14ac:dyDescent="0.25">
      <c r="A81" s="156" t="s">
        <v>151</v>
      </c>
      <c r="D81">
        <v>0</v>
      </c>
      <c r="F81">
        <f>G74</f>
        <v>50.672322261186501</v>
      </c>
      <c r="G81">
        <v>265.21758314412529</v>
      </c>
      <c r="H81" s="140">
        <f t="shared" si="6"/>
        <v>-214.54526088293878</v>
      </c>
      <c r="I81" s="156" t="s">
        <v>151</v>
      </c>
      <c r="L81">
        <v>0</v>
      </c>
      <c r="N81">
        <f>O74</f>
        <v>50.672322119255298</v>
      </c>
      <c r="O81">
        <v>265.21758314412523</v>
      </c>
      <c r="P81" s="140">
        <f t="shared" si="7"/>
        <v>-214.54526102486994</v>
      </c>
      <c r="Q81" s="156" t="s">
        <v>151</v>
      </c>
      <c r="T81">
        <v>0</v>
      </c>
      <c r="V81">
        <f>W74</f>
        <v>50.6723224003211</v>
      </c>
      <c r="W81">
        <v>265.21758314412529</v>
      </c>
      <c r="X81" s="140">
        <f t="shared" si="8"/>
        <v>-214.54526074380419</v>
      </c>
      <c r="Y81" s="156" t="s">
        <v>151</v>
      </c>
      <c r="AB81">
        <v>0</v>
      </c>
      <c r="AD81">
        <f>AE74</f>
        <v>50.6723222870706</v>
      </c>
      <c r="AE81">
        <v>265.21758314412523</v>
      </c>
      <c r="AF81">
        <f t="shared" si="9"/>
        <v>-214.54526085705464</v>
      </c>
      <c r="AG81" s="156" t="s">
        <v>151</v>
      </c>
      <c r="AJ81">
        <v>0</v>
      </c>
      <c r="AL81">
        <f>AM74</f>
        <v>50.672322172397799</v>
      </c>
      <c r="AM81">
        <v>265.21758314412529</v>
      </c>
      <c r="AN81" s="140">
        <f t="shared" si="10"/>
        <v>-214.54526097172749</v>
      </c>
    </row>
    <row r="82" spans="1:40" x14ac:dyDescent="0.25">
      <c r="A82" s="156" t="s">
        <v>321</v>
      </c>
      <c r="D82">
        <v>0</v>
      </c>
      <c r="F82">
        <f>G61</f>
        <v>531.53414404106297</v>
      </c>
      <c r="G82">
        <v>577.00324085701698</v>
      </c>
      <c r="H82" s="140">
        <f t="shared" si="6"/>
        <v>-45.469096815954003</v>
      </c>
      <c r="I82" s="156" t="s">
        <v>321</v>
      </c>
      <c r="L82">
        <v>0</v>
      </c>
      <c r="N82">
        <f>O61</f>
        <v>531.53414131282796</v>
      </c>
      <c r="O82">
        <v>577.00324085701698</v>
      </c>
      <c r="P82" s="140">
        <f t="shared" si="7"/>
        <v>-45.469099544189021</v>
      </c>
      <c r="Q82" s="156" t="s">
        <v>321</v>
      </c>
      <c r="T82">
        <v>0</v>
      </c>
      <c r="V82">
        <f>W61</f>
        <v>531.53414396841697</v>
      </c>
      <c r="W82">
        <v>577.00324085701698</v>
      </c>
      <c r="X82" s="140">
        <f t="shared" si="8"/>
        <v>-45.469096888600006</v>
      </c>
      <c r="Y82" s="156" t="s">
        <v>321</v>
      </c>
      <c r="AB82">
        <v>0</v>
      </c>
      <c r="AD82">
        <f>AE61</f>
        <v>531.53414335033199</v>
      </c>
      <c r="AE82">
        <v>577.00324085701698</v>
      </c>
      <c r="AF82">
        <f t="shared" si="9"/>
        <v>-45.469097506684989</v>
      </c>
      <c r="AG82" s="156" t="s">
        <v>321</v>
      </c>
      <c r="AJ82">
        <v>0</v>
      </c>
      <c r="AL82">
        <f>AM61</f>
        <v>531.53414548404498</v>
      </c>
      <c r="AM82">
        <v>577.00324085701698</v>
      </c>
      <c r="AN82" s="140">
        <f t="shared" si="10"/>
        <v>-45.469095372971992</v>
      </c>
    </row>
    <row r="83" spans="1:40" x14ac:dyDescent="0.25">
      <c r="A83" s="156"/>
      <c r="H83" s="140">
        <f t="shared" si="6"/>
        <v>0</v>
      </c>
      <c r="I83" s="156"/>
      <c r="P83" s="140">
        <f t="shared" si="7"/>
        <v>0</v>
      </c>
      <c r="Q83" s="156"/>
      <c r="X83" s="140">
        <f t="shared" si="8"/>
        <v>0</v>
      </c>
      <c r="Y83" s="156"/>
      <c r="AF83">
        <f t="shared" si="9"/>
        <v>0</v>
      </c>
      <c r="AG83" s="156"/>
      <c r="AN83" s="140">
        <f t="shared" si="10"/>
        <v>0</v>
      </c>
    </row>
    <row r="84" spans="1:40" x14ac:dyDescent="0.25">
      <c r="A84" s="156" t="s">
        <v>285</v>
      </c>
      <c r="D84">
        <v>23.358890261401783</v>
      </c>
      <c r="F84">
        <f>SUM(F94:F102)</f>
        <v>402.62234894212611</v>
      </c>
      <c r="G84">
        <v>483.30116723785198</v>
      </c>
      <c r="H84" s="140">
        <f t="shared" si="6"/>
        <v>-80.678818295725875</v>
      </c>
      <c r="I84" s="156" t="s">
        <v>285</v>
      </c>
      <c r="L84">
        <v>23.747271807901154</v>
      </c>
      <c r="N84">
        <f>SUM(N94:N102)</f>
        <v>93.452526949923083</v>
      </c>
      <c r="O84">
        <v>195.82878034778176</v>
      </c>
      <c r="P84" s="140">
        <f t="shared" si="7"/>
        <v>-102.37625339785868</v>
      </c>
      <c r="Q84" s="156" t="s">
        <v>285</v>
      </c>
      <c r="T84">
        <v>21.90069253644608</v>
      </c>
      <c r="V84">
        <f>SUM(V94:V102)</f>
        <v>520.62550683581594</v>
      </c>
      <c r="W84">
        <v>586.35869088045524</v>
      </c>
      <c r="X84" s="140">
        <f t="shared" si="8"/>
        <v>-65.733184044639302</v>
      </c>
      <c r="Y84" s="156" t="s">
        <v>285</v>
      </c>
      <c r="AB84">
        <v>21.880424503650964</v>
      </c>
      <c r="AD84">
        <f>SUM(AD94:AD102)</f>
        <v>86.631470903258588</v>
      </c>
      <c r="AE84">
        <v>188.59793492974828</v>
      </c>
      <c r="AF84">
        <f t="shared" si="9"/>
        <v>-101.96646402648969</v>
      </c>
      <c r="AG84" s="156" t="s">
        <v>285</v>
      </c>
      <c r="AJ84">
        <v>22.094482863076145</v>
      </c>
      <c r="AL84">
        <f>SUM(AL94:AL102)</f>
        <v>65.397361675282781</v>
      </c>
      <c r="AM84">
        <v>167.03265322725991</v>
      </c>
      <c r="AN84" s="140">
        <f t="shared" si="10"/>
        <v>-101.63529155197713</v>
      </c>
    </row>
    <row r="85" spans="1:40" x14ac:dyDescent="0.25">
      <c r="A85" s="130" t="s">
        <v>322</v>
      </c>
      <c r="F85">
        <f>G70+G73</f>
        <v>-120.62786</v>
      </c>
      <c r="G85">
        <v>-205.10399767898235</v>
      </c>
      <c r="H85" s="140">
        <f t="shared" si="6"/>
        <v>84.476137678982354</v>
      </c>
      <c r="I85" s="130" t="s">
        <v>322</v>
      </c>
      <c r="N85">
        <f>O70+O73</f>
        <v>-120.62786</v>
      </c>
      <c r="O85">
        <v>-205.10399767898235</v>
      </c>
      <c r="P85" s="140">
        <f t="shared" si="7"/>
        <v>84.476137678982354</v>
      </c>
      <c r="Q85" s="130" t="s">
        <v>322</v>
      </c>
      <c r="V85">
        <f>W70+W73</f>
        <v>-120.62786</v>
      </c>
      <c r="W85">
        <v>-205.10399767898235</v>
      </c>
      <c r="X85" s="140">
        <f t="shared" si="8"/>
        <v>84.476137678982354</v>
      </c>
      <c r="Y85" s="130" t="s">
        <v>322</v>
      </c>
      <c r="AD85">
        <f>AE70+AE73</f>
        <v>-120.62786</v>
      </c>
      <c r="AE85">
        <v>-205.10399767898235</v>
      </c>
      <c r="AF85">
        <f t="shared" si="9"/>
        <v>84.476137678982354</v>
      </c>
      <c r="AG85" s="130" t="s">
        <v>322</v>
      </c>
      <c r="AL85">
        <f>AM70+AM73</f>
        <v>-120.62786</v>
      </c>
      <c r="AM85">
        <v>-205.10399767898235</v>
      </c>
      <c r="AN85" s="140">
        <f t="shared" si="10"/>
        <v>84.476137678982354</v>
      </c>
    </row>
    <row r="86" spans="1:40" x14ac:dyDescent="0.25">
      <c r="A86" s="130"/>
      <c r="H86" s="140">
        <f t="shared" si="6"/>
        <v>0</v>
      </c>
      <c r="I86" s="130"/>
      <c r="P86" s="140">
        <f t="shared" si="7"/>
        <v>0</v>
      </c>
      <c r="Q86" s="130"/>
      <c r="X86" s="140">
        <f t="shared" si="8"/>
        <v>0</v>
      </c>
      <c r="Y86" s="130"/>
      <c r="AF86">
        <f t="shared" si="9"/>
        <v>0</v>
      </c>
      <c r="AG86" s="130"/>
      <c r="AN86" s="140">
        <f t="shared" si="10"/>
        <v>0</v>
      </c>
    </row>
    <row r="87" spans="1:40" x14ac:dyDescent="0.25">
      <c r="A87" s="130" t="s">
        <v>194</v>
      </c>
      <c r="F87">
        <f>G71+G72</f>
        <v>441.60871999999995</v>
      </c>
      <c r="G87">
        <v>442.98417043108617</v>
      </c>
      <c r="H87" s="140">
        <f t="shared" si="6"/>
        <v>-1.3754504310862217</v>
      </c>
      <c r="I87" s="130" t="s">
        <v>194</v>
      </c>
      <c r="N87">
        <f>O71+O72</f>
        <v>441.60871999999995</v>
      </c>
      <c r="O87">
        <v>442.98417043108623</v>
      </c>
      <c r="P87" s="140">
        <f t="shared" si="7"/>
        <v>-1.3754504310862785</v>
      </c>
      <c r="Q87" s="130" t="s">
        <v>194</v>
      </c>
      <c r="V87">
        <f>W71+W72</f>
        <v>441.60871999999995</v>
      </c>
      <c r="W87">
        <v>442.98417043108617</v>
      </c>
      <c r="X87" s="140">
        <f t="shared" si="8"/>
        <v>-1.3754504310862217</v>
      </c>
      <c r="Y87" s="130" t="s">
        <v>194</v>
      </c>
      <c r="AD87">
        <f>AE71+AE72</f>
        <v>441.60871999999995</v>
      </c>
      <c r="AE87">
        <v>442.98417043108623</v>
      </c>
      <c r="AF87">
        <f t="shared" si="9"/>
        <v>-1.3754504310862785</v>
      </c>
      <c r="AG87" s="130" t="s">
        <v>194</v>
      </c>
      <c r="AL87">
        <f>AM71+AM72</f>
        <v>441.60871999999995</v>
      </c>
      <c r="AM87">
        <v>442.98417043108617</v>
      </c>
      <c r="AN87" s="140">
        <f t="shared" si="10"/>
        <v>-1.3754504310862217</v>
      </c>
    </row>
    <row r="88" spans="1:40" x14ac:dyDescent="0.25">
      <c r="A88" s="130" t="s">
        <v>296</v>
      </c>
      <c r="F88">
        <f>SUM(F78:F87)</f>
        <v>5328.627165072171</v>
      </c>
      <c r="G88">
        <v>4938.5789063334169</v>
      </c>
      <c r="H88" s="140">
        <f t="shared" si="6"/>
        <v>390.04825873875416</v>
      </c>
      <c r="I88" s="130" t="s">
        <v>296</v>
      </c>
      <c r="N88">
        <f>SUM(N78:N87)</f>
        <v>3937.0874062070779</v>
      </c>
      <c r="O88">
        <v>3595.175873650679</v>
      </c>
      <c r="P88" s="140">
        <f t="shared" si="7"/>
        <v>341.91153255639892</v>
      </c>
      <c r="Q88" s="130" t="s">
        <v>296</v>
      </c>
      <c r="V88">
        <f>SUM(V78:V87)</f>
        <v>5107.0163818732926</v>
      </c>
      <c r="W88">
        <v>4888.7721915777038</v>
      </c>
      <c r="X88" s="140">
        <f t="shared" si="8"/>
        <v>218.24419029558885</v>
      </c>
      <c r="Y88" s="130" t="s">
        <v>296</v>
      </c>
      <c r="AD88">
        <f>SUM(AD78:AD87)</f>
        <v>3638.5060990546244</v>
      </c>
      <c r="AE88">
        <v>3355.881187228073</v>
      </c>
      <c r="AF88">
        <f t="shared" si="9"/>
        <v>282.6249118265514</v>
      </c>
      <c r="AG88" s="130" t="s">
        <v>296</v>
      </c>
      <c r="AL88">
        <f>SUM(AL78:AL87)</f>
        <v>3382.4213910622884</v>
      </c>
      <c r="AM88">
        <v>3132.5042466962441</v>
      </c>
      <c r="AN88" s="140">
        <f t="shared" si="10"/>
        <v>249.91714436604434</v>
      </c>
    </row>
    <row r="89" spans="1:40" x14ac:dyDescent="0.25">
      <c r="A89" s="130"/>
      <c r="C89">
        <v>99.999999999999986</v>
      </c>
      <c r="D89">
        <v>100.00000000000001</v>
      </c>
      <c r="H89" s="140">
        <f t="shared" si="6"/>
        <v>0</v>
      </c>
      <c r="I89" s="130"/>
      <c r="K89">
        <v>100</v>
      </c>
      <c r="L89">
        <v>100.00000000000003</v>
      </c>
      <c r="P89" s="140">
        <f t="shared" si="7"/>
        <v>0</v>
      </c>
      <c r="Q89" s="130"/>
      <c r="S89">
        <v>100</v>
      </c>
      <c r="T89">
        <v>100</v>
      </c>
      <c r="X89" s="140">
        <f t="shared" si="8"/>
        <v>0</v>
      </c>
      <c r="Y89" s="130"/>
      <c r="AA89">
        <v>100</v>
      </c>
      <c r="AB89">
        <v>100</v>
      </c>
      <c r="AF89">
        <f t="shared" si="9"/>
        <v>0</v>
      </c>
      <c r="AG89" s="130"/>
      <c r="AI89">
        <v>100</v>
      </c>
      <c r="AJ89">
        <v>100</v>
      </c>
      <c r="AN89" s="140">
        <f t="shared" si="10"/>
        <v>0</v>
      </c>
    </row>
    <row r="90" spans="1:40" x14ac:dyDescent="0.25">
      <c r="A90" s="130"/>
      <c r="H90" s="140">
        <f t="shared" si="6"/>
        <v>0</v>
      </c>
      <c r="I90" s="130"/>
      <c r="P90" s="140">
        <f t="shared" si="7"/>
        <v>0</v>
      </c>
      <c r="Q90" s="130"/>
      <c r="X90" s="140">
        <f t="shared" si="8"/>
        <v>0</v>
      </c>
      <c r="Y90" s="130"/>
      <c r="AF90">
        <f t="shared" si="9"/>
        <v>0</v>
      </c>
      <c r="AG90" s="130"/>
      <c r="AN90" s="140">
        <f t="shared" si="10"/>
        <v>0</v>
      </c>
    </row>
    <row r="91" spans="1:40" x14ac:dyDescent="0.25">
      <c r="A91" s="130"/>
      <c r="G91" t="s">
        <v>582</v>
      </c>
      <c r="H91" s="140" t="e">
        <f>F91-G91</f>
        <v>#VALUE!</v>
      </c>
      <c r="I91" s="130"/>
      <c r="O91" t="s">
        <v>582</v>
      </c>
      <c r="P91" s="140" t="e">
        <f>N91-O91</f>
        <v>#VALUE!</v>
      </c>
      <c r="Q91" s="130"/>
      <c r="W91" t="s">
        <v>582</v>
      </c>
      <c r="X91" s="140" t="e">
        <f>V91-W91</f>
        <v>#VALUE!</v>
      </c>
      <c r="Y91" s="130"/>
      <c r="AE91" t="s">
        <v>582</v>
      </c>
      <c r="AF91" t="e">
        <f>AD91-AE91</f>
        <v>#VALUE!</v>
      </c>
      <c r="AG91" s="130"/>
      <c r="AM91" t="s">
        <v>582</v>
      </c>
      <c r="AN91" s="140" t="e">
        <f>AL91-AM91</f>
        <v>#VALUE!</v>
      </c>
    </row>
    <row r="92" spans="1:40" x14ac:dyDescent="0.25">
      <c r="A92" s="130"/>
      <c r="H92" s="140">
        <f t="shared" si="6"/>
        <v>0</v>
      </c>
      <c r="I92" s="130"/>
      <c r="P92" s="140">
        <f t="shared" si="7"/>
        <v>0</v>
      </c>
      <c r="Q92" s="130"/>
      <c r="X92" s="140">
        <f t="shared" si="8"/>
        <v>0</v>
      </c>
      <c r="Y92" s="130"/>
      <c r="AF92">
        <f t="shared" si="9"/>
        <v>0</v>
      </c>
      <c r="AG92" s="130"/>
      <c r="AN92" s="140">
        <f t="shared" si="10"/>
        <v>0</v>
      </c>
    </row>
    <row r="93" spans="1:40" x14ac:dyDescent="0.25">
      <c r="A93" s="130"/>
      <c r="H93" s="140">
        <f t="shared" si="6"/>
        <v>0</v>
      </c>
      <c r="I93" s="130"/>
      <c r="P93" s="140">
        <f t="shared" si="7"/>
        <v>0</v>
      </c>
      <c r="Q93" s="130"/>
      <c r="X93" s="140">
        <f t="shared" si="8"/>
        <v>0</v>
      </c>
      <c r="Y93" s="130"/>
      <c r="AF93">
        <f t="shared" si="9"/>
        <v>0</v>
      </c>
      <c r="AG93" s="130"/>
      <c r="AN93" s="140">
        <f t="shared" si="10"/>
        <v>0</v>
      </c>
    </row>
    <row r="94" spans="1:40" x14ac:dyDescent="0.25">
      <c r="A94" s="130" t="s">
        <v>275</v>
      </c>
      <c r="D94">
        <v>18.945980458789695</v>
      </c>
      <c r="F94">
        <f>D94/100*G60</f>
        <v>261.45091354818283</v>
      </c>
      <c r="G94">
        <v>263.37059576331831</v>
      </c>
      <c r="H94" s="140">
        <f t="shared" si="6"/>
        <v>-1.9196822151354809</v>
      </c>
      <c r="I94" s="130" t="s">
        <v>275</v>
      </c>
      <c r="L94">
        <v>19.099242364828577</v>
      </c>
      <c r="N94">
        <f>L94/100*O60</f>
        <v>29.048965549364755</v>
      </c>
      <c r="O94">
        <v>29.953188145137911</v>
      </c>
      <c r="P94" s="140">
        <f t="shared" si="7"/>
        <v>-0.904222595773156</v>
      </c>
      <c r="Q94" s="130" t="s">
        <v>275</v>
      </c>
      <c r="T94">
        <v>17.443272723651777</v>
      </c>
      <c r="V94">
        <f>T94/100*W60</f>
        <v>335.26584746445883</v>
      </c>
      <c r="W94">
        <v>340.70856515450851</v>
      </c>
      <c r="X94" s="140">
        <f t="shared" si="8"/>
        <v>-5.4427176900496761</v>
      </c>
      <c r="Y94" s="130" t="s">
        <v>275</v>
      </c>
      <c r="AB94">
        <v>17.556279725027643</v>
      </c>
      <c r="AD94">
        <f>AB94/100*AE60</f>
        <v>23.549942207311787</v>
      </c>
      <c r="AE94">
        <v>24.080690469430891</v>
      </c>
      <c r="AF94">
        <f t="shared" si="9"/>
        <v>-0.5307482621191042</v>
      </c>
      <c r="AG94" s="130" t="s">
        <v>275</v>
      </c>
      <c r="AJ94">
        <v>17.602016137227331</v>
      </c>
      <c r="AL94">
        <f>AJ94/100*AM60</f>
        <v>6.535591325870616</v>
      </c>
      <c r="AM94">
        <v>6.7290973367122993</v>
      </c>
      <c r="AN94" s="140">
        <f t="shared" si="10"/>
        <v>-0.19350601084168328</v>
      </c>
    </row>
    <row r="95" spans="1:40" x14ac:dyDescent="0.25">
      <c r="A95" s="130" t="s">
        <v>145</v>
      </c>
      <c r="F95">
        <f>G66+G62</f>
        <v>28.208130818472277</v>
      </c>
      <c r="G95">
        <v>137.23311012077474</v>
      </c>
      <c r="H95" s="140">
        <f t="shared" si="6"/>
        <v>-109.02497930230246</v>
      </c>
      <c r="I95" s="130" t="s">
        <v>145</v>
      </c>
      <c r="N95">
        <f>O66+O62</f>
        <v>28.208130807407137</v>
      </c>
      <c r="O95">
        <v>137.23311012077474</v>
      </c>
      <c r="P95" s="140">
        <f t="shared" si="7"/>
        <v>-109.0249793133676</v>
      </c>
      <c r="Q95" s="130" t="s">
        <v>145</v>
      </c>
      <c r="V95">
        <f>W66+W62</f>
        <v>28.20813081489667</v>
      </c>
      <c r="W95">
        <v>137.23311012077474</v>
      </c>
      <c r="X95" s="140">
        <f t="shared" si="8"/>
        <v>-109.02497930587808</v>
      </c>
      <c r="Y95" s="130" t="s">
        <v>145</v>
      </c>
      <c r="AD95">
        <f>AE66+AE62</f>
        <v>28.208130819742689</v>
      </c>
      <c r="AE95">
        <v>137.23311012077474</v>
      </c>
      <c r="AF95">
        <f t="shared" si="9"/>
        <v>-109.02497930103205</v>
      </c>
      <c r="AG95" s="130" t="s">
        <v>145</v>
      </c>
      <c r="AL95">
        <f>AM66+AM62</f>
        <v>28.208130818840811</v>
      </c>
      <c r="AM95">
        <v>137.23311012077474</v>
      </c>
      <c r="AN95" s="140">
        <f t="shared" si="10"/>
        <v>-109.02497930193393</v>
      </c>
    </row>
    <row r="96" spans="1:40" x14ac:dyDescent="0.25">
      <c r="A96" s="130" t="s">
        <v>117</v>
      </c>
      <c r="D96">
        <v>1.9715629750334771</v>
      </c>
      <c r="F96">
        <f>D96/100*G60+G68</f>
        <v>27.938166926586909</v>
      </c>
      <c r="G96">
        <v>6.058741457079984</v>
      </c>
      <c r="H96" s="140">
        <f t="shared" si="6"/>
        <v>21.879425469506927</v>
      </c>
      <c r="I96" s="130" t="s">
        <v>117</v>
      </c>
      <c r="L96">
        <v>0.37766564580019935</v>
      </c>
      <c r="N96">
        <f>L96/100*O60+O68</f>
        <v>1.3053843077674898</v>
      </c>
      <c r="O96">
        <v>2.3497982559369643</v>
      </c>
      <c r="P96" s="140">
        <f t="shared" si="7"/>
        <v>-1.0444139481694745</v>
      </c>
      <c r="Q96" s="130" t="s">
        <v>117</v>
      </c>
      <c r="T96">
        <v>2.4865552327880427</v>
      </c>
      <c r="V96">
        <f>T96/100*W60+W68</f>
        <v>48.523441894426121</v>
      </c>
      <c r="W96">
        <v>7.2876392045485892</v>
      </c>
      <c r="X96" s="140">
        <f t="shared" si="8"/>
        <v>41.235802689877531</v>
      </c>
      <c r="Y96" s="130" t="s">
        <v>117</v>
      </c>
      <c r="AB96">
        <v>0.32355117872441291</v>
      </c>
      <c r="AD96">
        <f>AB96/100*AE60+AE68</f>
        <v>1.1649848492503236</v>
      </c>
      <c r="AE96">
        <v>2.2564784269932114</v>
      </c>
      <c r="AF96">
        <f t="shared" si="9"/>
        <v>-1.0914935777428878</v>
      </c>
      <c r="AG96" s="130" t="s">
        <v>117</v>
      </c>
      <c r="AJ96">
        <v>0.20538194906930446</v>
      </c>
      <c r="AL96">
        <f>AJ96/100*AM60+AM68</f>
        <v>0.80723220241462501</v>
      </c>
      <c r="AM96">
        <v>1.9807739323666533</v>
      </c>
      <c r="AN96" s="140">
        <f t="shared" si="10"/>
        <v>-1.1735417299520283</v>
      </c>
    </row>
    <row r="97" spans="1:40" x14ac:dyDescent="0.25">
      <c r="A97" s="130" t="s">
        <v>121</v>
      </c>
      <c r="F97">
        <f>G69</f>
        <v>0.71644684911348899</v>
      </c>
      <c r="G97">
        <v>3.3122229604128841</v>
      </c>
      <c r="H97" s="140">
        <f t="shared" si="6"/>
        <v>-2.5957761112993953</v>
      </c>
      <c r="I97" s="130" t="s">
        <v>121</v>
      </c>
      <c r="N97">
        <f>O69</f>
        <v>0.71644684263808101</v>
      </c>
      <c r="O97">
        <v>3.3122229604128841</v>
      </c>
      <c r="P97" s="140">
        <f t="shared" si="7"/>
        <v>-2.5957761177748031</v>
      </c>
      <c r="Q97" s="130" t="s">
        <v>121</v>
      </c>
      <c r="V97">
        <f>W69</f>
        <v>0.71644684989347895</v>
      </c>
      <c r="W97">
        <v>3.3122229604128841</v>
      </c>
      <c r="X97" s="140">
        <f t="shared" si="8"/>
        <v>-2.595776110519405</v>
      </c>
      <c r="Y97" s="130" t="s">
        <v>121</v>
      </c>
      <c r="AD97">
        <f>AE69</f>
        <v>0.71644685149438703</v>
      </c>
      <c r="AE97">
        <v>3.3122229604128841</v>
      </c>
      <c r="AF97">
        <f t="shared" si="9"/>
        <v>-2.5957761089184972</v>
      </c>
      <c r="AG97" s="130" t="s">
        <v>121</v>
      </c>
      <c r="AL97">
        <f>AM69</f>
        <v>0.71644685190845703</v>
      </c>
      <c r="AM97">
        <v>3.3122229604128841</v>
      </c>
      <c r="AN97" s="140">
        <f t="shared" si="10"/>
        <v>-2.5957761085044271</v>
      </c>
    </row>
    <row r="98" spans="1:40" x14ac:dyDescent="0.25">
      <c r="A98" s="130" t="s">
        <v>195</v>
      </c>
      <c r="F98">
        <f>G67+G65+G63</f>
        <v>27.565767009719409</v>
      </c>
      <c r="G98">
        <v>16.166942811456092</v>
      </c>
      <c r="H98" s="140">
        <f t="shared" si="6"/>
        <v>11.398824198263316</v>
      </c>
      <c r="I98" s="130" t="s">
        <v>195</v>
      </c>
      <c r="N98">
        <f>O67+O65+O63</f>
        <v>27.565766905407408</v>
      </c>
      <c r="O98">
        <v>16.166942811456092</v>
      </c>
      <c r="P98" s="140">
        <f t="shared" si="7"/>
        <v>11.398824093951315</v>
      </c>
      <c r="Q98" s="130" t="s">
        <v>195</v>
      </c>
      <c r="V98">
        <f>W67+W65+W63</f>
        <v>27.565766940741838</v>
      </c>
      <c r="W98">
        <v>16.166942811456092</v>
      </c>
      <c r="X98" s="140">
        <f t="shared" si="8"/>
        <v>11.398824129285746</v>
      </c>
      <c r="Y98" s="130" t="s">
        <v>195</v>
      </c>
      <c r="AD98">
        <f>AE67+AE65+AE63</f>
        <v>27.565767025699223</v>
      </c>
      <c r="AE98">
        <v>16.166942811456096</v>
      </c>
      <c r="AF98">
        <f t="shared" si="9"/>
        <v>11.398824214243128</v>
      </c>
      <c r="AG98" s="130" t="s">
        <v>195</v>
      </c>
      <c r="AL98">
        <f>AM67+AM65+AM63</f>
        <v>27.565767101490255</v>
      </c>
      <c r="AM98">
        <v>16.166942811456092</v>
      </c>
      <c r="AN98" s="140">
        <f t="shared" si="10"/>
        <v>11.398824290034163</v>
      </c>
    </row>
    <row r="99" spans="1:40" x14ac:dyDescent="0.25">
      <c r="A99" s="130"/>
      <c r="H99" s="140">
        <f t="shared" si="6"/>
        <v>0</v>
      </c>
      <c r="I99" s="130"/>
      <c r="P99" s="140">
        <f t="shared" si="7"/>
        <v>0</v>
      </c>
      <c r="Q99" s="130"/>
      <c r="X99" s="140">
        <f t="shared" si="8"/>
        <v>0</v>
      </c>
      <c r="Y99" s="130"/>
      <c r="AF99">
        <f t="shared" si="9"/>
        <v>0</v>
      </c>
      <c r="AG99" s="130"/>
      <c r="AN99" s="140">
        <f t="shared" si="10"/>
        <v>0</v>
      </c>
    </row>
    <row r="100" spans="1:40" x14ac:dyDescent="0.25">
      <c r="A100" s="130" t="s">
        <v>300</v>
      </c>
      <c r="D100">
        <v>3.1565242757065728</v>
      </c>
      <c r="F100">
        <f>D100/100*G60</f>
        <v>43.5594324250253</v>
      </c>
      <c r="G100">
        <v>43.879264039277089</v>
      </c>
      <c r="H100" s="140">
        <f t="shared" si="6"/>
        <v>-0.31983161425178963</v>
      </c>
      <c r="I100" s="130" t="s">
        <v>300</v>
      </c>
      <c r="L100">
        <v>3.5302639527860338</v>
      </c>
      <c r="N100">
        <f>L100/100*O60</f>
        <v>5.3693499451838687</v>
      </c>
      <c r="O100">
        <v>5.5364845557708797</v>
      </c>
      <c r="P100" s="140">
        <f t="shared" si="7"/>
        <v>-0.16713461058701107</v>
      </c>
      <c r="Q100" s="130" t="s">
        <v>300</v>
      </c>
      <c r="T100">
        <v>3.7042380699774493</v>
      </c>
      <c r="V100">
        <f>T100/100*W60</f>
        <v>71.196760803789488</v>
      </c>
      <c r="W100">
        <v>72.352571550489827</v>
      </c>
      <c r="X100" s="140">
        <f t="shared" si="8"/>
        <v>-1.1558107467003396</v>
      </c>
      <c r="Y100" s="130" t="s">
        <v>300</v>
      </c>
      <c r="AB100">
        <v>3.3825813199742165</v>
      </c>
      <c r="AD100">
        <f>AB100/100*AE60</f>
        <v>4.5373846762856695</v>
      </c>
      <c r="AE100">
        <v>4.6396443340931004</v>
      </c>
      <c r="AF100">
        <f t="shared" si="9"/>
        <v>-0.10225965780743085</v>
      </c>
      <c r="AG100" s="130" t="s">
        <v>300</v>
      </c>
      <c r="AJ100">
        <v>3.6495817959837624</v>
      </c>
      <c r="AL100">
        <f>AJ100/100*AM60</f>
        <v>1.3550819941836492</v>
      </c>
      <c r="AM100">
        <v>1.3952033080760751</v>
      </c>
      <c r="AN100" s="140">
        <f t="shared" si="10"/>
        <v>-4.0121313892425903E-2</v>
      </c>
    </row>
    <row r="101" spans="1:40" x14ac:dyDescent="0.25">
      <c r="A101" s="130" t="s">
        <v>297</v>
      </c>
      <c r="D101">
        <v>0</v>
      </c>
      <c r="F101">
        <v>0</v>
      </c>
      <c r="G101">
        <v>0</v>
      </c>
      <c r="H101" s="140">
        <f t="shared" si="6"/>
        <v>0</v>
      </c>
      <c r="I101" s="130" t="s">
        <v>297</v>
      </c>
      <c r="L101">
        <v>0</v>
      </c>
      <c r="N101">
        <v>0</v>
      </c>
      <c r="O101">
        <v>0</v>
      </c>
      <c r="P101" s="140">
        <f t="shared" si="7"/>
        <v>0</v>
      </c>
      <c r="Q101" s="130" t="s">
        <v>297</v>
      </c>
      <c r="T101">
        <v>0</v>
      </c>
      <c r="V101">
        <v>0</v>
      </c>
      <c r="W101">
        <v>0</v>
      </c>
      <c r="X101" s="140">
        <f t="shared" si="8"/>
        <v>0</v>
      </c>
      <c r="Y101" s="130" t="s">
        <v>297</v>
      </c>
      <c r="AB101">
        <v>0</v>
      </c>
      <c r="AD101">
        <v>0</v>
      </c>
      <c r="AE101">
        <v>0</v>
      </c>
      <c r="AF101">
        <f t="shared" si="9"/>
        <v>0</v>
      </c>
      <c r="AG101" s="130" t="s">
        <v>297</v>
      </c>
      <c r="AJ101">
        <v>0</v>
      </c>
      <c r="AL101">
        <v>0</v>
      </c>
      <c r="AM101">
        <v>0</v>
      </c>
      <c r="AN101" s="140">
        <f t="shared" si="10"/>
        <v>0</v>
      </c>
    </row>
    <row r="102" spans="1:40" ht="15.75" thickBot="1" x14ac:dyDescent="0.3">
      <c r="A102" s="132" t="s">
        <v>298</v>
      </c>
      <c r="B102" s="27"/>
      <c r="C102" s="27"/>
      <c r="D102" s="27">
        <v>0.95533867673548001</v>
      </c>
      <c r="E102" s="27"/>
      <c r="F102" s="27">
        <f>D102/100*G60</f>
        <v>13.183491365025899</v>
      </c>
      <c r="G102" s="27">
        <v>13.280290085532831</v>
      </c>
      <c r="H102" s="153">
        <f t="shared" si="6"/>
        <v>-9.6798720506932057E-2</v>
      </c>
      <c r="I102" s="132" t="s">
        <v>298</v>
      </c>
      <c r="J102" s="27"/>
      <c r="K102" s="27"/>
      <c r="L102" s="27">
        <v>0.81428301300368044</v>
      </c>
      <c r="M102" s="27"/>
      <c r="N102" s="27">
        <f>L102/100*O60</f>
        <v>1.2384825921543381</v>
      </c>
      <c r="O102" s="27">
        <v>1.2770334982922729</v>
      </c>
      <c r="P102" s="153">
        <f t="shared" si="7"/>
        <v>-3.8550906137934771E-2</v>
      </c>
      <c r="Q102" s="132" t="s">
        <v>298</v>
      </c>
      <c r="R102" s="27"/>
      <c r="S102" s="27"/>
      <c r="T102" s="27">
        <v>0.47601167306933945</v>
      </c>
      <c r="U102" s="27"/>
      <c r="V102" s="27">
        <f>T102/100*W60</f>
        <v>9.1491120676095523</v>
      </c>
      <c r="W102" s="27">
        <v>9.297639078264595</v>
      </c>
      <c r="X102" s="153">
        <f t="shared" si="8"/>
        <v>-0.1485270106550427</v>
      </c>
      <c r="Y102" s="132" t="s">
        <v>298</v>
      </c>
      <c r="Z102" s="27"/>
      <c r="AA102" s="27"/>
      <c r="AB102" s="27">
        <v>0.66260355896443768</v>
      </c>
      <c r="AC102" s="27"/>
      <c r="AD102" s="27">
        <f>AB102/100*AE60</f>
        <v>0.88881447347450748</v>
      </c>
      <c r="AE102" s="27">
        <v>0.90884580658735215</v>
      </c>
      <c r="AF102" s="27">
        <f t="shared" si="9"/>
        <v>-2.0031333112844663E-2</v>
      </c>
      <c r="AG102" s="132" t="s">
        <v>298</v>
      </c>
      <c r="AH102" s="27"/>
      <c r="AI102" s="27"/>
      <c r="AJ102" s="27">
        <v>0.56319033914772265</v>
      </c>
      <c r="AK102" s="27"/>
      <c r="AL102" s="27">
        <f>AJ102/100*AM60</f>
        <v>0.20911138057437229</v>
      </c>
      <c r="AM102" s="27">
        <v>0.21530275746116889</v>
      </c>
      <c r="AN102" s="153">
        <f t="shared" si="10"/>
        <v>-6.1913768867966068E-3</v>
      </c>
    </row>
    <row r="103" spans="1:40" ht="15.75" thickBot="1" x14ac:dyDescent="0.3"/>
    <row r="104" spans="1:40" x14ac:dyDescent="0.25">
      <c r="A104" s="295" t="s">
        <v>658</v>
      </c>
      <c r="B104" s="296"/>
      <c r="C104" s="296"/>
      <c r="D104" s="296"/>
      <c r="E104" s="296"/>
      <c r="F104" s="296"/>
      <c r="G104" s="296"/>
      <c r="H104" s="297"/>
    </row>
    <row r="105" spans="1:40" x14ac:dyDescent="0.25">
      <c r="A105" s="130" t="s">
        <v>555</v>
      </c>
      <c r="F105" t="s">
        <v>106</v>
      </c>
      <c r="G105" t="s">
        <v>556</v>
      </c>
      <c r="H105" s="140" t="s">
        <v>557</v>
      </c>
      <c r="K105" t="s">
        <v>753</v>
      </c>
      <c r="L105" t="s">
        <v>754</v>
      </c>
      <c r="N105" t="s">
        <v>753</v>
      </c>
      <c r="O105" t="s">
        <v>754</v>
      </c>
    </row>
    <row r="106" spans="1:40" x14ac:dyDescent="0.25">
      <c r="A106" s="25">
        <v>100</v>
      </c>
      <c r="F106" t="s">
        <v>642</v>
      </c>
      <c r="G106">
        <v>4470.7606979821003</v>
      </c>
      <c r="H106" s="140" t="s">
        <v>559</v>
      </c>
      <c r="J106" t="s">
        <v>755</v>
      </c>
      <c r="K106">
        <f>'Avg GWP outdoor'!E66</f>
        <v>520.29277584365411</v>
      </c>
      <c r="L106">
        <v>87.273825494920956</v>
      </c>
      <c r="M106" t="s">
        <v>755</v>
      </c>
      <c r="N106">
        <v>520.29277584365411</v>
      </c>
      <c r="O106">
        <v>87.273825494920956</v>
      </c>
    </row>
    <row r="107" spans="1:40" x14ac:dyDescent="0.25">
      <c r="B107">
        <v>98.9</v>
      </c>
      <c r="F107" t="s">
        <v>643</v>
      </c>
      <c r="G107">
        <v>4420.0883757458696</v>
      </c>
      <c r="H107" s="140" t="s">
        <v>559</v>
      </c>
      <c r="J107" t="s">
        <v>756</v>
      </c>
      <c r="K107">
        <f>'Avg GWP outdoor'!E67</f>
        <v>514.68860272678842</v>
      </c>
      <c r="M107" t="s">
        <v>756</v>
      </c>
      <c r="N107">
        <v>514.68860272678842</v>
      </c>
    </row>
    <row r="108" spans="1:40" x14ac:dyDescent="0.25">
      <c r="C108">
        <v>91.7</v>
      </c>
      <c r="F108" t="s">
        <v>644</v>
      </c>
      <c r="G108">
        <v>4099.1075157635296</v>
      </c>
      <c r="H108" s="140" t="s">
        <v>559</v>
      </c>
      <c r="J108" t="s">
        <v>757</v>
      </c>
      <c r="K108">
        <f>'Avg GWP outdoor'!E68</f>
        <v>416.30508348244547</v>
      </c>
      <c r="M108" t="s">
        <v>757</v>
      </c>
      <c r="N108">
        <v>416.30508348244547</v>
      </c>
    </row>
    <row r="109" spans="1:40" x14ac:dyDescent="0.25">
      <c r="D109">
        <v>78.2</v>
      </c>
      <c r="F109" t="s">
        <v>645</v>
      </c>
      <c r="G109">
        <v>3496.0993010868201</v>
      </c>
      <c r="H109" s="140" t="s">
        <v>559</v>
      </c>
      <c r="J109" t="s">
        <v>758</v>
      </c>
      <c r="K109">
        <f>'Avg GWP outdoor'!E69</f>
        <v>397.00499341849877</v>
      </c>
      <c r="M109" t="s">
        <v>758</v>
      </c>
      <c r="N109">
        <v>397.00499341849877</v>
      </c>
    </row>
    <row r="110" spans="1:40" x14ac:dyDescent="0.25">
      <c r="E110">
        <v>72.2</v>
      </c>
      <c r="F110" t="s">
        <v>562</v>
      </c>
      <c r="G110">
        <v>3227.27060313845</v>
      </c>
      <c r="H110" s="140" t="s">
        <v>559</v>
      </c>
      <c r="J110" t="s">
        <v>562</v>
      </c>
      <c r="K110">
        <f>'Avg GWP outdoor'!E70</f>
        <v>323.05685847254631</v>
      </c>
      <c r="M110" t="s">
        <v>562</v>
      </c>
      <c r="N110">
        <v>323.05685847254631</v>
      </c>
    </row>
    <row r="111" spans="1:40" x14ac:dyDescent="0.25">
      <c r="E111">
        <v>6.01</v>
      </c>
      <c r="F111" t="s">
        <v>646</v>
      </c>
      <c r="G111">
        <v>268.82868702823401</v>
      </c>
      <c r="H111" s="140" t="s">
        <v>559</v>
      </c>
      <c r="J111" t="s">
        <v>636</v>
      </c>
      <c r="K111">
        <f>'Avg GWP outdoor'!E71</f>
        <v>73.948135118343274</v>
      </c>
      <c r="M111" t="s">
        <v>636</v>
      </c>
      <c r="N111">
        <v>73.948135118343274</v>
      </c>
    </row>
    <row r="112" spans="1:40" x14ac:dyDescent="0.25">
      <c r="D112">
        <v>11.9</v>
      </c>
      <c r="F112" t="s">
        <v>564</v>
      </c>
      <c r="G112">
        <v>531.53414319459705</v>
      </c>
      <c r="H112" s="140" t="s">
        <v>559</v>
      </c>
      <c r="J112" t="s">
        <v>565</v>
      </c>
      <c r="K112">
        <f>'Avg GWP outdoor'!E72</f>
        <v>7.6790446538447261</v>
      </c>
      <c r="M112" t="s">
        <v>565</v>
      </c>
      <c r="N112">
        <v>7.6790446538447261</v>
      </c>
    </row>
    <row r="113" spans="1:14" x14ac:dyDescent="0.25">
      <c r="D113">
        <v>0.56000000000000005</v>
      </c>
      <c r="F113" t="s">
        <v>565</v>
      </c>
      <c r="G113">
        <v>25.046126515808901</v>
      </c>
      <c r="H113" s="140" t="s">
        <v>559</v>
      </c>
      <c r="J113" t="s">
        <v>566</v>
      </c>
      <c r="K113">
        <f>'Avg GWP outdoor'!E73</f>
        <v>5.6186005645107704</v>
      </c>
      <c r="M113" t="s">
        <v>566</v>
      </c>
      <c r="N113">
        <v>5.6186005645107704</v>
      </c>
    </row>
    <row r="114" spans="1:14" x14ac:dyDescent="0.25">
      <c r="D114">
        <v>0.41</v>
      </c>
      <c r="F114" t="s">
        <v>566</v>
      </c>
      <c r="G114">
        <v>18.321170563578299</v>
      </c>
      <c r="H114" s="140" t="s">
        <v>559</v>
      </c>
      <c r="J114" t="s">
        <v>568</v>
      </c>
      <c r="K114">
        <f>'Avg GWP outdoor'!E74</f>
        <v>2.6022309613536097</v>
      </c>
      <c r="M114" t="s">
        <v>568</v>
      </c>
      <c r="N114">
        <v>2.6022309613536097</v>
      </c>
    </row>
    <row r="115" spans="1:14" x14ac:dyDescent="0.25">
      <c r="D115">
        <v>0.32</v>
      </c>
      <c r="F115" t="s">
        <v>567</v>
      </c>
      <c r="G115">
        <v>14.252752540226799</v>
      </c>
      <c r="H115" s="140" t="s">
        <v>559</v>
      </c>
      <c r="J115" t="s">
        <v>567</v>
      </c>
      <c r="K115">
        <f>'Avg GWP outdoor'!E75</f>
        <v>1.6178059145123513</v>
      </c>
      <c r="M115" t="s">
        <v>567</v>
      </c>
      <c r="N115">
        <v>1.6178059145123513</v>
      </c>
    </row>
    <row r="116" spans="1:14" x14ac:dyDescent="0.25">
      <c r="D116">
        <v>0.19</v>
      </c>
      <c r="F116" t="s">
        <v>568</v>
      </c>
      <c r="G116">
        <v>8.4874789256160703</v>
      </c>
      <c r="H116" s="140" t="s">
        <v>559</v>
      </c>
      <c r="J116" t="s">
        <v>569</v>
      </c>
      <c r="K116">
        <f>'Avg GWP outdoor'!E76</f>
        <v>0.96945840143410189</v>
      </c>
      <c r="M116" t="s">
        <v>569</v>
      </c>
      <c r="N116">
        <v>0.96945840143410189</v>
      </c>
    </row>
    <row r="117" spans="1:14" x14ac:dyDescent="0.25">
      <c r="D117">
        <v>7.0699999999999999E-2</v>
      </c>
      <c r="F117" t="s">
        <v>569</v>
      </c>
      <c r="G117">
        <v>3.16200430204155</v>
      </c>
      <c r="H117" s="140" t="s">
        <v>559</v>
      </c>
      <c r="J117" t="s">
        <v>673</v>
      </c>
      <c r="K117">
        <f>'Avg GWP outdoor'!E77</f>
        <v>0.36350635934012698</v>
      </c>
      <c r="M117" t="s">
        <v>673</v>
      </c>
      <c r="N117">
        <v>0.36350635934012698</v>
      </c>
    </row>
    <row r="118" spans="1:14" x14ac:dyDescent="0.25">
      <c r="D118">
        <v>1.6899999999999998E-2</v>
      </c>
      <c r="F118" t="s">
        <v>570</v>
      </c>
      <c r="G118">
        <v>0.75711756136827202</v>
      </c>
      <c r="H118" s="140" t="s">
        <v>559</v>
      </c>
      <c r="J118" t="s">
        <v>570</v>
      </c>
      <c r="K118">
        <f>'Avg GWP outdoor'!E78</f>
        <v>0.23212928706576774</v>
      </c>
      <c r="M118" t="s">
        <v>570</v>
      </c>
      <c r="N118">
        <v>0.23212928706576774</v>
      </c>
    </row>
    <row r="119" spans="1:14" x14ac:dyDescent="0.25">
      <c r="D119">
        <v>1.6400000000000001E-2</v>
      </c>
      <c r="F119" t="s">
        <v>571</v>
      </c>
      <c r="G119">
        <v>0.73097424679371603</v>
      </c>
      <c r="H119" s="140" t="s">
        <v>559</v>
      </c>
      <c r="J119" t="s">
        <v>571</v>
      </c>
      <c r="K119">
        <f>'Avg GWP outdoor'!E79</f>
        <v>0.21731392342404837</v>
      </c>
      <c r="M119" t="s">
        <v>571</v>
      </c>
      <c r="N119">
        <v>0.21731392342404837</v>
      </c>
    </row>
    <row r="120" spans="1:14" x14ac:dyDescent="0.25">
      <c r="D120">
        <v>1.6E-2</v>
      </c>
      <c r="F120" t="s">
        <v>572</v>
      </c>
      <c r="G120">
        <v>0.71644685137687503</v>
      </c>
      <c r="H120" s="140" t="s">
        <v>559</v>
      </c>
      <c r="J120" t="s">
        <v>573</v>
      </c>
      <c r="K120">
        <f>'Avg GWP outdoor'!E80</f>
        <v>0</v>
      </c>
      <c r="M120" t="s">
        <v>573</v>
      </c>
      <c r="N120">
        <v>0</v>
      </c>
    </row>
    <row r="121" spans="1:14" x14ac:dyDescent="0.25">
      <c r="D121">
        <v>0</v>
      </c>
      <c r="F121" t="s">
        <v>573</v>
      </c>
      <c r="G121">
        <v>0</v>
      </c>
      <c r="H121" s="140" t="s">
        <v>559</v>
      </c>
      <c r="J121" t="s">
        <v>699</v>
      </c>
      <c r="K121">
        <f>'Avg GWP outdoor'!E81</f>
        <v>130.44078669999999</v>
      </c>
      <c r="M121" t="s">
        <v>699</v>
      </c>
      <c r="N121">
        <v>130.44078669999999</v>
      </c>
    </row>
    <row r="122" spans="1:14" x14ac:dyDescent="0.25">
      <c r="C122">
        <v>9.52</v>
      </c>
      <c r="F122" t="s">
        <v>574</v>
      </c>
      <c r="G122">
        <v>425.52749999999997</v>
      </c>
      <c r="H122" s="140" t="s">
        <v>559</v>
      </c>
      <c r="J122" t="s">
        <v>700</v>
      </c>
      <c r="K122">
        <f>'Avg GWP outdoor'!E82</f>
        <v>4.9277635708661993</v>
      </c>
      <c r="M122" t="s">
        <v>700</v>
      </c>
      <c r="N122">
        <v>4.9277635708661993</v>
      </c>
    </row>
    <row r="123" spans="1:14" x14ac:dyDescent="0.25">
      <c r="C123">
        <v>0.36</v>
      </c>
      <c r="F123" t="s">
        <v>575</v>
      </c>
      <c r="G123">
        <v>16.081219999999998</v>
      </c>
      <c r="H123" s="140" t="s">
        <v>559</v>
      </c>
      <c r="J123" t="s">
        <v>701</v>
      </c>
      <c r="K123">
        <f>'Avg GWP outdoor'!E83</f>
        <v>-36.985031022025105</v>
      </c>
      <c r="M123" t="s">
        <v>701</v>
      </c>
      <c r="N123">
        <v>-36.985031022025105</v>
      </c>
    </row>
    <row r="124" spans="1:14" x14ac:dyDescent="0.25">
      <c r="C124">
        <v>-2.7</v>
      </c>
      <c r="F124" t="s">
        <v>576</v>
      </c>
      <c r="G124">
        <v>-120.62786</v>
      </c>
      <c r="H124" s="140" t="s">
        <v>559</v>
      </c>
      <c r="J124" t="s">
        <v>674</v>
      </c>
      <c r="K124">
        <f>'Avg GWP outdoor'!E84</f>
        <v>5.6041731114665616</v>
      </c>
      <c r="M124" t="s">
        <v>674</v>
      </c>
      <c r="N124">
        <v>5.6041731114665616</v>
      </c>
    </row>
    <row r="125" spans="1:14" x14ac:dyDescent="0.25">
      <c r="B125">
        <v>1.1299999999999999</v>
      </c>
      <c r="F125" t="s">
        <v>577</v>
      </c>
      <c r="G125">
        <v>50.6723222028658</v>
      </c>
      <c r="H125" s="140" t="s">
        <v>559</v>
      </c>
    </row>
    <row r="126" spans="1:14" x14ac:dyDescent="0.25">
      <c r="A126" s="130"/>
      <c r="H126" s="140"/>
    </row>
    <row r="127" spans="1:14" x14ac:dyDescent="0.25">
      <c r="A127" s="292" t="s">
        <v>668</v>
      </c>
      <c r="B127" s="252"/>
      <c r="C127" s="252"/>
      <c r="D127" s="252"/>
      <c r="E127" s="252"/>
      <c r="F127" s="252"/>
      <c r="G127" s="252"/>
      <c r="H127" s="293"/>
    </row>
    <row r="128" spans="1:14" x14ac:dyDescent="0.25">
      <c r="A128" s="130" t="s">
        <v>579</v>
      </c>
      <c r="C128" t="s">
        <v>320</v>
      </c>
      <c r="D128" t="s">
        <v>319</v>
      </c>
      <c r="F128" t="s">
        <v>578</v>
      </c>
      <c r="G128" t="s">
        <v>601</v>
      </c>
      <c r="H128" s="140" t="s">
        <v>580</v>
      </c>
      <c r="I128" s="130" t="s">
        <v>579</v>
      </c>
      <c r="M128" t="s">
        <v>578</v>
      </c>
    </row>
    <row r="129" spans="1:13" x14ac:dyDescent="0.25">
      <c r="A129" s="156" t="s">
        <v>282</v>
      </c>
      <c r="C129">
        <v>74.637767069996173</v>
      </c>
      <c r="D129">
        <v>4.4182100889441807E-2</v>
      </c>
      <c r="F129">
        <f>(C129/100*G110)+(D129/100*G111)</f>
        <v>2408.8814896506597</v>
      </c>
      <c r="G129">
        <v>1950.8469750546994</v>
      </c>
      <c r="H129" s="140">
        <f>F129-G129</f>
        <v>458.03451459596022</v>
      </c>
      <c r="I129" s="156" t="s">
        <v>282</v>
      </c>
      <c r="J129">
        <v>73.833686674615322</v>
      </c>
      <c r="K129">
        <v>8.8197940084497675E-2</v>
      </c>
      <c r="M129">
        <f>(J129/100*N110)+(K129/100*N111)</f>
        <v>238.59000939738056</v>
      </c>
    </row>
    <row r="130" spans="1:13" x14ac:dyDescent="0.25">
      <c r="A130" s="156" t="s">
        <v>283</v>
      </c>
      <c r="C130">
        <v>25.362232930003831</v>
      </c>
      <c r="D130">
        <v>0.3775342749572777</v>
      </c>
      <c r="F130">
        <f>(C130/100*G110)+(D130/100*G111)</f>
        <v>819.52280808396245</v>
      </c>
      <c r="G130">
        <v>663.88388986292159</v>
      </c>
      <c r="H130" s="140">
        <f t="shared" ref="H130:H153" si="11">F130-G130</f>
        <v>155.63891822104085</v>
      </c>
      <c r="I130" s="156" t="s">
        <v>283</v>
      </c>
      <c r="J130">
        <v>26.166313325384678</v>
      </c>
      <c r="K130">
        <v>6.4906536492855773</v>
      </c>
      <c r="M130">
        <f>(J130/100*N110)+(K130/100*N111)</f>
        <v>89.331787137708375</v>
      </c>
    </row>
    <row r="131" spans="1:13" x14ac:dyDescent="0.25">
      <c r="A131" s="156" t="s">
        <v>287</v>
      </c>
      <c r="D131">
        <v>75.179235553599426</v>
      </c>
      <c r="F131">
        <f>G115+(D131/100*G111)</f>
        <v>216.35610439683143</v>
      </c>
      <c r="G131">
        <v>202.76108283617262</v>
      </c>
      <c r="H131" s="140">
        <f t="shared" si="11"/>
        <v>13.595021560658807</v>
      </c>
      <c r="I131" s="156" t="s">
        <v>287</v>
      </c>
      <c r="K131">
        <v>70.296103699134889</v>
      </c>
      <c r="M131">
        <f>N115+(K131/100*N111)</f>
        <v>53.600463660879328</v>
      </c>
    </row>
    <row r="132" spans="1:13" x14ac:dyDescent="0.25">
      <c r="A132" s="156" t="s">
        <v>151</v>
      </c>
      <c r="D132">
        <v>0</v>
      </c>
      <c r="F132">
        <f>G125</f>
        <v>50.6723222028658</v>
      </c>
      <c r="G132">
        <v>265.21758314412529</v>
      </c>
      <c r="H132" s="140">
        <f t="shared" si="11"/>
        <v>-214.54526094125947</v>
      </c>
      <c r="I132" s="156" t="s">
        <v>151</v>
      </c>
      <c r="K132">
        <v>0</v>
      </c>
      <c r="M132">
        <f>N124</f>
        <v>5.6041731114665616</v>
      </c>
    </row>
    <row r="133" spans="1:13" x14ac:dyDescent="0.25">
      <c r="A133" s="156" t="s">
        <v>321</v>
      </c>
      <c r="D133">
        <v>0</v>
      </c>
      <c r="F133">
        <f>G112</f>
        <v>531.53414319459705</v>
      </c>
      <c r="G133">
        <v>577.00324085701709</v>
      </c>
      <c r="H133" s="140">
        <f t="shared" si="11"/>
        <v>-45.46909766242004</v>
      </c>
      <c r="I133" s="156" t="s">
        <v>321</v>
      </c>
      <c r="K133">
        <v>0</v>
      </c>
    </row>
    <row r="134" spans="1:13" x14ac:dyDescent="0.25">
      <c r="A134" s="156"/>
      <c r="D134">
        <v>0</v>
      </c>
      <c r="H134" s="140">
        <f t="shared" si="11"/>
        <v>0</v>
      </c>
      <c r="I134" s="156"/>
      <c r="K134">
        <v>0</v>
      </c>
    </row>
    <row r="135" spans="1:13" x14ac:dyDescent="0.25">
      <c r="A135" s="156" t="s">
        <v>285</v>
      </c>
      <c r="D135">
        <v>24.399048070553885</v>
      </c>
      <c r="F135">
        <f>SUM(F145:F153)</f>
        <v>123.43349832751436</v>
      </c>
      <c r="G135">
        <v>224.3912289240711</v>
      </c>
      <c r="H135" s="140">
        <f t="shared" si="11"/>
        <v>-100.95773059655674</v>
      </c>
      <c r="I135" s="156" t="s">
        <v>285</v>
      </c>
      <c r="K135">
        <v>23.125044711495047</v>
      </c>
      <c r="M135">
        <f>SUM(M145:M153)</f>
        <v>35.235986133308906</v>
      </c>
    </row>
    <row r="136" spans="1:13" x14ac:dyDescent="0.25">
      <c r="A136" s="130" t="s">
        <v>322</v>
      </c>
      <c r="C136">
        <v>100</v>
      </c>
      <c r="D136">
        <v>100.00000000000003</v>
      </c>
      <c r="F136">
        <f>G121+G124</f>
        <v>-120.62786</v>
      </c>
      <c r="G136">
        <v>-205.10399767898235</v>
      </c>
      <c r="H136" s="140">
        <f t="shared" si="11"/>
        <v>84.476137678982354</v>
      </c>
      <c r="I136" s="130" t="s">
        <v>322</v>
      </c>
      <c r="K136">
        <v>100.00000000000003</v>
      </c>
      <c r="M136">
        <f>N121+N124</f>
        <v>136.04495981146655</v>
      </c>
    </row>
    <row r="137" spans="1:13" x14ac:dyDescent="0.25">
      <c r="A137" s="130"/>
      <c r="H137" s="140">
        <f t="shared" si="11"/>
        <v>0</v>
      </c>
      <c r="I137" s="130"/>
    </row>
    <row r="138" spans="1:13" x14ac:dyDescent="0.25">
      <c r="A138" s="130" t="s">
        <v>194</v>
      </c>
      <c r="F138">
        <f>G122+G123</f>
        <v>441.60871999999995</v>
      </c>
      <c r="G138">
        <v>442.98417043108611</v>
      </c>
      <c r="H138" s="140">
        <f t="shared" si="11"/>
        <v>-1.3754504310861648</v>
      </c>
      <c r="I138" s="130" t="s">
        <v>194</v>
      </c>
      <c r="M138">
        <f>N122+N123</f>
        <v>-32.057267451158907</v>
      </c>
    </row>
    <row r="139" spans="1:13" x14ac:dyDescent="0.25">
      <c r="A139" s="130" t="s">
        <v>296</v>
      </c>
      <c r="F139">
        <f>SUM(F129:F138)</f>
        <v>4471.3812258564303</v>
      </c>
      <c r="G139">
        <v>4121.9841734311121</v>
      </c>
      <c r="H139" s="140">
        <f t="shared" si="11"/>
        <v>349.39705242531818</v>
      </c>
      <c r="I139" s="130" t="s">
        <v>296</v>
      </c>
      <c r="M139">
        <f>SUM(M129:M138)</f>
        <v>526.3501118010513</v>
      </c>
    </row>
    <row r="140" spans="1:13" x14ac:dyDescent="0.25">
      <c r="A140" s="130"/>
      <c r="H140" s="140">
        <f t="shared" si="11"/>
        <v>0</v>
      </c>
      <c r="I140" s="130"/>
    </row>
    <row r="141" spans="1:13" x14ac:dyDescent="0.25">
      <c r="A141" s="130"/>
      <c r="H141" s="140">
        <f t="shared" si="11"/>
        <v>0</v>
      </c>
      <c r="I141" s="130"/>
    </row>
    <row r="142" spans="1:13" x14ac:dyDescent="0.25">
      <c r="A142" s="130"/>
      <c r="G142" t="s">
        <v>582</v>
      </c>
      <c r="H142" s="140" t="e">
        <f>F142-G142</f>
        <v>#VALUE!</v>
      </c>
      <c r="I142" s="130"/>
    </row>
    <row r="143" spans="1:13" x14ac:dyDescent="0.25">
      <c r="A143" s="130"/>
      <c r="H143" s="140">
        <f t="shared" si="11"/>
        <v>0</v>
      </c>
      <c r="I143" s="130"/>
    </row>
    <row r="144" spans="1:13" x14ac:dyDescent="0.25">
      <c r="A144" s="130"/>
      <c r="H144" s="140">
        <f t="shared" si="11"/>
        <v>0</v>
      </c>
      <c r="I144" s="130"/>
    </row>
    <row r="145" spans="1:37" x14ac:dyDescent="0.25">
      <c r="A145" s="130" t="s">
        <v>275</v>
      </c>
      <c r="D145">
        <v>19.902064545893335</v>
      </c>
      <c r="F145">
        <f>D145/100*G111</f>
        <v>53.502458810236718</v>
      </c>
      <c r="G145">
        <v>53.676578755894624</v>
      </c>
      <c r="H145" s="140">
        <f t="shared" si="11"/>
        <v>-0.17411994565790678</v>
      </c>
      <c r="I145" s="130" t="s">
        <v>275</v>
      </c>
      <c r="K145">
        <v>18.609323248571759</v>
      </c>
      <c r="M145">
        <f>K145/100*N111</f>
        <v>13.761247500463112</v>
      </c>
    </row>
    <row r="146" spans="1:37" x14ac:dyDescent="0.25">
      <c r="A146" s="130" t="s">
        <v>145</v>
      </c>
      <c r="F146">
        <f>G117+G113</f>
        <v>28.208130817850449</v>
      </c>
      <c r="G146">
        <v>137.23311012077474</v>
      </c>
      <c r="H146" s="140">
        <f t="shared" si="11"/>
        <v>-109.02497930292429</v>
      </c>
      <c r="I146" s="130" t="s">
        <v>145</v>
      </c>
      <c r="M146">
        <f>N116+N112</f>
        <v>8.6485030552788285</v>
      </c>
    </row>
    <row r="147" spans="1:37" x14ac:dyDescent="0.25">
      <c r="A147" s="130" t="s">
        <v>117</v>
      </c>
      <c r="D147">
        <v>0.54706606836855354</v>
      </c>
      <c r="F147">
        <f>D147/100*G111+G119</f>
        <v>2.2016447755658795</v>
      </c>
      <c r="G147">
        <v>2.7267475649394259</v>
      </c>
      <c r="H147" s="140">
        <f t="shared" si="11"/>
        <v>-0.52510278937354649</v>
      </c>
      <c r="I147" s="130" t="s">
        <v>117</v>
      </c>
      <c r="K147">
        <v>0.90850905576593799</v>
      </c>
      <c r="M147">
        <f>K147/100*N111+N119</f>
        <v>0.88913942754422881</v>
      </c>
    </row>
    <row r="148" spans="1:37" x14ac:dyDescent="0.25">
      <c r="A148" s="130" t="s">
        <v>121</v>
      </c>
      <c r="F148">
        <f>G120</f>
        <v>0.71644685137687503</v>
      </c>
      <c r="G148">
        <v>3.3122229604128837</v>
      </c>
      <c r="H148" s="140">
        <f t="shared" si="11"/>
        <v>-2.5957761090360085</v>
      </c>
      <c r="I148" s="130" t="s">
        <v>121</v>
      </c>
      <c r="M148">
        <f>N117</f>
        <v>0.36350635934012698</v>
      </c>
    </row>
    <row r="149" spans="1:37" x14ac:dyDescent="0.25">
      <c r="A149" s="130" t="s">
        <v>195</v>
      </c>
      <c r="F149">
        <f>G118+G116+G114</f>
        <v>27.565767050562641</v>
      </c>
      <c r="G149">
        <v>16.166942811456092</v>
      </c>
      <c r="H149" s="140">
        <f t="shared" si="11"/>
        <v>11.398824239106549</v>
      </c>
      <c r="I149" s="130" t="s">
        <v>195</v>
      </c>
      <c r="M149">
        <f>N118+N114+N113</f>
        <v>8.4529608129301472</v>
      </c>
    </row>
    <row r="150" spans="1:37" x14ac:dyDescent="0.25">
      <c r="A150" s="130"/>
      <c r="H150" s="140">
        <f t="shared" si="11"/>
        <v>0</v>
      </c>
      <c r="I150" s="130"/>
    </row>
    <row r="151" spans="1:37" x14ac:dyDescent="0.25">
      <c r="A151" s="130" t="s">
        <v>300</v>
      </c>
      <c r="D151">
        <v>2.9973595856331028</v>
      </c>
      <c r="F151">
        <f>D151/100*G111</f>
        <v>8.057762419572386</v>
      </c>
      <c r="G151">
        <v>8.0839858340811759</v>
      </c>
      <c r="H151" s="140">
        <f t="shared" si="11"/>
        <v>-2.6223414508789844E-2</v>
      </c>
      <c r="I151" s="130" t="s">
        <v>300</v>
      </c>
      <c r="K151">
        <v>3.4284450820960273</v>
      </c>
      <c r="M151">
        <f>K151/100*N111</f>
        <v>2.5352712017665651</v>
      </c>
    </row>
    <row r="152" spans="1:37" x14ac:dyDescent="0.25">
      <c r="A152" s="130" t="s">
        <v>297</v>
      </c>
      <c r="D152">
        <v>0</v>
      </c>
      <c r="F152">
        <v>0</v>
      </c>
      <c r="G152">
        <v>0</v>
      </c>
      <c r="H152" s="140">
        <f t="shared" si="11"/>
        <v>0</v>
      </c>
      <c r="I152" s="130" t="s">
        <v>297</v>
      </c>
      <c r="K152">
        <v>0</v>
      </c>
      <c r="M152">
        <v>0</v>
      </c>
    </row>
    <row r="153" spans="1:37" ht="15.75" thickBot="1" x14ac:dyDescent="0.3">
      <c r="A153" s="132" t="s">
        <v>298</v>
      </c>
      <c r="B153" s="27"/>
      <c r="C153" s="27"/>
      <c r="D153" s="27">
        <v>1.1833884387551588</v>
      </c>
      <c r="E153" s="27"/>
      <c r="F153" s="27">
        <f>D153/100*G111</f>
        <v>3.1812876023494105</v>
      </c>
      <c r="G153" s="27">
        <v>3.1916408765121536</v>
      </c>
      <c r="H153" s="153">
        <f t="shared" si="11"/>
        <v>-1.0353274162743009E-2</v>
      </c>
      <c r="I153" s="132" t="s">
        <v>298</v>
      </c>
      <c r="K153">
        <v>0.79157882081693498</v>
      </c>
      <c r="M153" s="27">
        <f>K153/100*N111</f>
        <v>0.58535777598589545</v>
      </c>
    </row>
    <row r="154" spans="1:37" ht="15.75" thickBot="1" x14ac:dyDescent="0.3">
      <c r="A154" s="130"/>
      <c r="J154" s="130"/>
      <c r="P154" s="199"/>
      <c r="Q154" s="200"/>
    </row>
    <row r="155" spans="1:37" x14ac:dyDescent="0.25">
      <c r="N155" s="199"/>
    </row>
    <row r="156" spans="1:37" x14ac:dyDescent="0.25">
      <c r="A156" s="25"/>
      <c r="I156" s="25"/>
      <c r="P156" s="25"/>
      <c r="W156" s="25"/>
      <c r="AD156" s="25"/>
      <c r="AK156" s="25"/>
    </row>
    <row r="157" spans="1:37" x14ac:dyDescent="0.25">
      <c r="B157" s="25"/>
      <c r="I157" s="25"/>
      <c r="P157" s="25"/>
      <c r="W157" s="25"/>
      <c r="AD157" s="25"/>
      <c r="AK157" s="25"/>
    </row>
    <row r="158" spans="1:37" x14ac:dyDescent="0.25">
      <c r="C158" s="25"/>
      <c r="I158" s="25"/>
      <c r="P158" s="25"/>
      <c r="W158" s="25"/>
      <c r="AD158" s="25"/>
      <c r="AK158" s="25"/>
    </row>
    <row r="159" spans="1:37" x14ac:dyDescent="0.25">
      <c r="D159" s="25"/>
      <c r="I159" s="25"/>
      <c r="P159" s="25"/>
      <c r="W159" s="25"/>
      <c r="AD159" s="25"/>
      <c r="AK159" s="25"/>
    </row>
    <row r="160" spans="1:37" x14ac:dyDescent="0.25">
      <c r="E160" s="25"/>
      <c r="I160" s="25"/>
      <c r="P160" s="25"/>
      <c r="W160" s="25"/>
      <c r="AD160" s="25"/>
      <c r="AK160" s="25"/>
    </row>
    <row r="161" spans="2:41" x14ac:dyDescent="0.25">
      <c r="E161" s="25"/>
      <c r="I161" s="25"/>
      <c r="P161" s="25"/>
      <c r="W161" s="25"/>
      <c r="AD161" s="25"/>
      <c r="AK161" s="25"/>
    </row>
    <row r="162" spans="2:41" x14ac:dyDescent="0.25">
      <c r="D162" s="25"/>
      <c r="I162" s="25"/>
      <c r="P162" s="25"/>
      <c r="W162" s="25"/>
      <c r="AD162" s="25"/>
      <c r="AK162" s="25"/>
    </row>
    <row r="163" spans="2:41" x14ac:dyDescent="0.25">
      <c r="D163" s="25"/>
      <c r="I163" s="25"/>
      <c r="P163" s="25"/>
      <c r="W163" s="25"/>
      <c r="AD163" s="25"/>
      <c r="AK163" s="25"/>
    </row>
    <row r="164" spans="2:41" x14ac:dyDescent="0.25">
      <c r="D164" s="25"/>
      <c r="I164" s="25"/>
      <c r="P164" s="25"/>
      <c r="W164" s="25"/>
      <c r="AD164" s="25"/>
      <c r="AK164" s="25"/>
    </row>
    <row r="165" spans="2:41" x14ac:dyDescent="0.25">
      <c r="D165" s="25"/>
      <c r="I165" s="25"/>
      <c r="P165" s="25"/>
      <c r="W165" s="25"/>
      <c r="AD165" s="25"/>
      <c r="AK165" s="25"/>
    </row>
    <row r="166" spans="2:41" x14ac:dyDescent="0.25">
      <c r="D166" s="25"/>
      <c r="I166" s="25"/>
      <c r="P166" s="25"/>
      <c r="W166" s="25"/>
      <c r="AD166" s="25"/>
      <c r="AK166" s="25"/>
    </row>
    <row r="167" spans="2:41" x14ac:dyDescent="0.25">
      <c r="D167" s="25"/>
      <c r="I167" s="25"/>
      <c r="P167" s="25"/>
      <c r="W167" s="25"/>
      <c r="AD167" s="25"/>
      <c r="AK167" s="25"/>
    </row>
    <row r="168" spans="2:41" x14ac:dyDescent="0.25">
      <c r="D168" s="25"/>
      <c r="I168" s="25"/>
      <c r="P168" s="25"/>
      <c r="W168" s="25"/>
      <c r="AD168" s="25"/>
      <c r="AK168" s="25"/>
    </row>
    <row r="169" spans="2:41" x14ac:dyDescent="0.25">
      <c r="D169" s="25"/>
      <c r="I169" s="25"/>
      <c r="N169" s="139"/>
      <c r="P169" s="25"/>
      <c r="W169" s="25"/>
      <c r="AD169" s="25"/>
      <c r="AK169" s="25"/>
    </row>
    <row r="170" spans="2:41" x14ac:dyDescent="0.25">
      <c r="D170" s="25"/>
      <c r="I170" s="25"/>
      <c r="P170" s="25"/>
      <c r="W170" s="25"/>
      <c r="AD170" s="25"/>
      <c r="AK170" s="25"/>
    </row>
    <row r="171" spans="2:41" x14ac:dyDescent="0.25">
      <c r="D171" s="25"/>
      <c r="G171" s="139"/>
      <c r="I171" s="25"/>
      <c r="P171" s="25"/>
      <c r="W171" s="25"/>
      <c r="AD171" s="25"/>
      <c r="AH171" s="139"/>
      <c r="AK171" s="25"/>
      <c r="AO171" s="139"/>
    </row>
    <row r="172" spans="2:41" x14ac:dyDescent="0.25">
      <c r="C172" s="25"/>
      <c r="I172" s="25"/>
      <c r="P172" s="25"/>
      <c r="W172" s="25"/>
      <c r="AD172" s="25"/>
      <c r="AK172" s="25"/>
    </row>
    <row r="173" spans="2:41" x14ac:dyDescent="0.25">
      <c r="C173" s="25"/>
      <c r="I173" s="25"/>
      <c r="P173" s="25"/>
      <c r="W173" s="25"/>
      <c r="AD173" s="25"/>
      <c r="AK173" s="25"/>
    </row>
    <row r="174" spans="2:41" x14ac:dyDescent="0.25">
      <c r="C174" s="25"/>
      <c r="I174" s="25"/>
      <c r="P174" s="25"/>
      <c r="W174" s="25"/>
      <c r="AD174" s="25"/>
      <c r="AK174" s="25"/>
    </row>
    <row r="175" spans="2:41" x14ac:dyDescent="0.25">
      <c r="B175" s="25"/>
      <c r="I175" s="25"/>
      <c r="P175" s="25"/>
      <c r="W175" s="25"/>
      <c r="AD175" s="25"/>
      <c r="AK175" s="25"/>
    </row>
    <row r="178" spans="1:37" x14ac:dyDescent="0.25">
      <c r="A178" s="25"/>
      <c r="I178" s="25"/>
      <c r="P178" s="25"/>
      <c r="W178" s="25"/>
      <c r="AD178" s="25"/>
      <c r="AK178" s="25"/>
    </row>
    <row r="179" spans="1:37" x14ac:dyDescent="0.25">
      <c r="B179" s="25"/>
      <c r="I179" s="25"/>
      <c r="P179" s="25"/>
      <c r="W179" s="25"/>
      <c r="AD179" s="25"/>
      <c r="AK179" s="25"/>
    </row>
    <row r="180" spans="1:37" x14ac:dyDescent="0.25">
      <c r="C180" s="25"/>
      <c r="I180" s="25"/>
      <c r="P180" s="25"/>
      <c r="W180" s="25"/>
      <c r="AD180" s="25"/>
      <c r="AK180" s="25"/>
    </row>
    <row r="181" spans="1:37" x14ac:dyDescent="0.25">
      <c r="D181" s="25"/>
      <c r="I181" s="25"/>
      <c r="P181" s="25"/>
      <c r="W181" s="25"/>
      <c r="AD181" s="25"/>
      <c r="AK181" s="25"/>
    </row>
    <row r="182" spans="1:37" x14ac:dyDescent="0.25">
      <c r="E182" s="25"/>
      <c r="I182" s="25"/>
      <c r="P182" s="25"/>
      <c r="W182" s="25"/>
      <c r="AD182" s="25"/>
      <c r="AK182" s="25"/>
    </row>
    <row r="183" spans="1:37" x14ac:dyDescent="0.25">
      <c r="E183" s="25"/>
      <c r="I183" s="25"/>
      <c r="P183" s="25"/>
      <c r="W183" s="25"/>
      <c r="AD183" s="25"/>
      <c r="AK183" s="25"/>
    </row>
    <row r="184" spans="1:37" x14ac:dyDescent="0.25">
      <c r="D184" s="25"/>
      <c r="I184" s="25"/>
      <c r="P184" s="25"/>
      <c r="W184" s="25"/>
      <c r="AD184" s="25"/>
      <c r="AK184" s="25"/>
    </row>
    <row r="185" spans="1:37" x14ac:dyDescent="0.25">
      <c r="D185" s="25"/>
      <c r="I185" s="25"/>
      <c r="P185" s="25"/>
      <c r="W185" s="25"/>
      <c r="AD185" s="25"/>
      <c r="AK185" s="25"/>
    </row>
    <row r="186" spans="1:37" x14ac:dyDescent="0.25">
      <c r="D186" s="25"/>
      <c r="I186" s="25"/>
      <c r="P186" s="25"/>
      <c r="W186" s="25"/>
      <c r="AD186" s="25"/>
      <c r="AK186" s="25"/>
    </row>
    <row r="187" spans="1:37" x14ac:dyDescent="0.25">
      <c r="D187" s="25"/>
      <c r="I187" s="25"/>
      <c r="P187" s="25"/>
      <c r="W187" s="25"/>
      <c r="AD187" s="25"/>
      <c r="AK187" s="25"/>
    </row>
    <row r="188" spans="1:37" x14ac:dyDescent="0.25">
      <c r="D188" s="25"/>
      <c r="I188" s="25"/>
      <c r="P188" s="25"/>
      <c r="W188" s="25"/>
      <c r="AD188" s="25"/>
      <c r="AK188" s="25"/>
    </row>
    <row r="189" spans="1:37" x14ac:dyDescent="0.25">
      <c r="D189" s="25"/>
      <c r="I189" s="25"/>
      <c r="P189" s="25"/>
      <c r="W189" s="25"/>
      <c r="AD189" s="25"/>
      <c r="AK189" s="25"/>
    </row>
    <row r="190" spans="1:37" x14ac:dyDescent="0.25">
      <c r="D190" s="25"/>
      <c r="I190" s="25"/>
      <c r="P190" s="25"/>
      <c r="W190" s="25"/>
      <c r="AD190" s="25"/>
      <c r="AK190" s="25"/>
    </row>
    <row r="191" spans="1:37" x14ac:dyDescent="0.25">
      <c r="D191" s="25"/>
      <c r="I191" s="25"/>
      <c r="P191" s="25"/>
      <c r="W191" s="25"/>
      <c r="AD191" s="25"/>
      <c r="AK191" s="25"/>
    </row>
    <row r="192" spans="1:37" x14ac:dyDescent="0.25">
      <c r="D192" s="25"/>
      <c r="I192" s="25"/>
      <c r="P192" s="25"/>
      <c r="W192" s="25"/>
      <c r="AD192" s="25"/>
      <c r="AK192" s="25"/>
    </row>
    <row r="193" spans="2:37" x14ac:dyDescent="0.25">
      <c r="C193" s="25"/>
      <c r="I193" s="25"/>
      <c r="P193" s="25"/>
      <c r="W193" s="25"/>
      <c r="AA193" s="139"/>
      <c r="AD193" s="25"/>
      <c r="AK193" s="25"/>
    </row>
    <row r="194" spans="2:37" x14ac:dyDescent="0.25">
      <c r="C194" s="25"/>
      <c r="I194" s="25"/>
      <c r="P194" s="25"/>
      <c r="W194" s="25"/>
      <c r="AD194" s="25"/>
      <c r="AK194" s="25"/>
    </row>
    <row r="195" spans="2:37" x14ac:dyDescent="0.25">
      <c r="C195" s="25"/>
      <c r="I195" s="25"/>
      <c r="P195" s="25"/>
      <c r="W195" s="25"/>
      <c r="AD195" s="25"/>
      <c r="AK195" s="25"/>
    </row>
    <row r="196" spans="2:37" x14ac:dyDescent="0.25">
      <c r="B196" s="25"/>
      <c r="I196" s="25"/>
      <c r="P196" s="25"/>
      <c r="W196" s="25"/>
      <c r="AD196" s="25"/>
      <c r="AK196" s="25"/>
    </row>
    <row r="197" spans="2:37" x14ac:dyDescent="0.25">
      <c r="C197" s="25"/>
      <c r="I197" s="25"/>
      <c r="P197" s="25"/>
      <c r="W197" s="25"/>
      <c r="AD197" s="25"/>
      <c r="AK197" s="25"/>
    </row>
    <row r="198" spans="2:37" x14ac:dyDescent="0.25">
      <c r="C198" s="25"/>
    </row>
    <row r="199" spans="2:37" x14ac:dyDescent="0.25">
      <c r="C199" s="25"/>
    </row>
  </sheetData>
  <mergeCells count="23">
    <mergeCell ref="A1:AF1"/>
    <mergeCell ref="A127:H127"/>
    <mergeCell ref="AG53:AN53"/>
    <mergeCell ref="AG3:AN3"/>
    <mergeCell ref="A104:H104"/>
    <mergeCell ref="A26:H26"/>
    <mergeCell ref="I26:P26"/>
    <mergeCell ref="Q26:X26"/>
    <mergeCell ref="Y3:AF3"/>
    <mergeCell ref="A53:H53"/>
    <mergeCell ref="I3:P3"/>
    <mergeCell ref="A3:H3"/>
    <mergeCell ref="Q3:X3"/>
    <mergeCell ref="Q53:X53"/>
    <mergeCell ref="Y53:AF53"/>
    <mergeCell ref="A76:H76"/>
    <mergeCell ref="I53:P53"/>
    <mergeCell ref="Y26:AF26"/>
    <mergeCell ref="AG26:AN26"/>
    <mergeCell ref="I76:P76"/>
    <mergeCell ref="Q76:X76"/>
    <mergeCell ref="Y76:AF76"/>
    <mergeCell ref="AG76:AN7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76B2-8DBC-42F3-8BA5-DE70611B3368}">
  <dimension ref="A1:AG114"/>
  <sheetViews>
    <sheetView zoomScale="70" zoomScaleNormal="70" workbookViewId="0">
      <selection activeCell="Q3" sqref="Q3:X3"/>
    </sheetView>
  </sheetViews>
  <sheetFormatPr defaultColWidth="9.140625" defaultRowHeight="15" x14ac:dyDescent="0.25"/>
  <cols>
    <col min="1" max="9" width="9.140625" style="73"/>
    <col min="10" max="10" width="20" style="73" customWidth="1"/>
    <col min="11" max="11" width="23.7109375" style="73" customWidth="1"/>
    <col min="12" max="12" width="9.140625" style="73"/>
    <col min="13" max="13" width="9.140625" style="73" customWidth="1"/>
    <col min="14" max="14" width="19.7109375" style="73" customWidth="1"/>
    <col min="15" max="15" width="9.140625" style="73"/>
    <col min="16" max="16" width="20" style="73" customWidth="1"/>
    <col min="17" max="17" width="12.140625" style="73" customWidth="1"/>
    <col min="18" max="18" width="15" style="73" customWidth="1"/>
    <col min="19" max="19" width="14.7109375" style="73" customWidth="1"/>
    <col min="20" max="20" width="18.140625" style="73" customWidth="1"/>
    <col min="21" max="21" width="13.42578125" style="73" customWidth="1"/>
    <col min="22" max="22" width="15" style="73" customWidth="1"/>
    <col min="23" max="23" width="16.85546875" style="73" customWidth="1"/>
    <col min="24" max="24" width="16.28515625" style="73" customWidth="1"/>
    <col min="25" max="25" width="14.85546875" style="73" customWidth="1"/>
    <col min="26" max="34" width="9.140625" style="73"/>
    <col min="35" max="35" width="15.7109375" style="73" customWidth="1"/>
    <col min="36" max="16384" width="9.140625" style="73"/>
  </cols>
  <sheetData>
    <row r="1" spans="1:33" x14ac:dyDescent="0.25">
      <c r="A1" s="225"/>
      <c r="B1" s="224" t="s">
        <v>720</v>
      </c>
      <c r="C1" s="225"/>
      <c r="D1" s="225"/>
      <c r="E1" s="225"/>
      <c r="F1" s="225"/>
      <c r="G1" s="225"/>
      <c r="H1" s="225"/>
      <c r="I1" s="226"/>
      <c r="J1" s="300" t="s">
        <v>719</v>
      </c>
      <c r="K1" s="301"/>
      <c r="L1" s="301"/>
      <c r="M1" s="301"/>
      <c r="N1" s="301"/>
      <c r="O1" s="301"/>
      <c r="P1" s="301"/>
      <c r="Q1" s="302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</row>
    <row r="2" spans="1:33" x14ac:dyDescent="0.25">
      <c r="B2" s="73" t="s">
        <v>693</v>
      </c>
      <c r="C2" s="73" t="s">
        <v>106</v>
      </c>
      <c r="D2" s="73" t="s">
        <v>694</v>
      </c>
      <c r="E2" s="73" t="s">
        <v>557</v>
      </c>
      <c r="F2" s="73" t="s">
        <v>708</v>
      </c>
      <c r="G2" s="73" t="s">
        <v>709</v>
      </c>
      <c r="J2" s="73" t="s">
        <v>693</v>
      </c>
      <c r="K2" s="73" t="s">
        <v>106</v>
      </c>
      <c r="L2" s="73" t="s">
        <v>694</v>
      </c>
      <c r="M2" s="73" t="s">
        <v>557</v>
      </c>
      <c r="N2" s="73" t="s">
        <v>708</v>
      </c>
      <c r="O2" s="73" t="s">
        <v>709</v>
      </c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</row>
    <row r="3" spans="1:33" ht="24.75" customHeight="1" x14ac:dyDescent="0.25">
      <c r="B3" s="227">
        <v>100</v>
      </c>
      <c r="C3" s="73" t="s">
        <v>669</v>
      </c>
      <c r="D3" s="73">
        <v>1</v>
      </c>
      <c r="E3" s="73" t="s">
        <v>695</v>
      </c>
      <c r="F3" s="73">
        <v>3.4188078398800101</v>
      </c>
      <c r="G3" s="73">
        <v>0</v>
      </c>
      <c r="J3" s="227">
        <v>100</v>
      </c>
      <c r="K3" s="73" t="s">
        <v>558</v>
      </c>
      <c r="L3" s="73">
        <v>1</v>
      </c>
      <c r="M3" s="73" t="s">
        <v>695</v>
      </c>
      <c r="N3" s="73">
        <v>53.733456467492097</v>
      </c>
      <c r="O3" s="73">
        <v>0</v>
      </c>
      <c r="Q3" s="299" t="s">
        <v>750</v>
      </c>
      <c r="R3" s="299"/>
      <c r="S3" s="299"/>
      <c r="T3" s="299"/>
      <c r="U3" s="299"/>
      <c r="V3" s="299"/>
      <c r="W3" s="299"/>
      <c r="X3" s="299"/>
      <c r="Y3" s="232"/>
      <c r="Z3" s="229"/>
      <c r="AA3" s="229"/>
      <c r="AB3" s="229"/>
      <c r="AC3" s="229"/>
      <c r="AD3" s="229"/>
      <c r="AE3" s="229"/>
      <c r="AF3" s="229"/>
      <c r="AG3" s="229"/>
    </row>
    <row r="4" spans="1:33" x14ac:dyDescent="0.25">
      <c r="B4" s="227">
        <v>88.5</v>
      </c>
      <c r="C4" s="73" t="s">
        <v>670</v>
      </c>
      <c r="D4" s="73">
        <v>1</v>
      </c>
      <c r="E4" s="73" t="s">
        <v>695</v>
      </c>
      <c r="F4" s="73">
        <v>3.0243313612450899</v>
      </c>
      <c r="G4" s="73">
        <v>0</v>
      </c>
      <c r="J4" s="227">
        <v>94.2</v>
      </c>
      <c r="K4" s="73" t="s">
        <v>560</v>
      </c>
      <c r="L4" s="73">
        <v>1</v>
      </c>
      <c r="M4" s="73" t="s">
        <v>695</v>
      </c>
      <c r="N4" s="73">
        <v>50.620228312476002</v>
      </c>
      <c r="O4" s="73">
        <v>0</v>
      </c>
      <c r="P4" s="229"/>
      <c r="Q4" s="299" t="s">
        <v>97</v>
      </c>
      <c r="R4" s="299"/>
      <c r="S4" s="299"/>
      <c r="T4" s="299"/>
      <c r="U4" s="299" t="s">
        <v>96</v>
      </c>
      <c r="V4" s="299"/>
      <c r="W4" s="299"/>
      <c r="X4" s="299"/>
      <c r="Z4" s="229"/>
      <c r="AA4" s="229"/>
      <c r="AB4" s="229"/>
      <c r="AC4" s="229"/>
      <c r="AD4" s="229"/>
      <c r="AE4" s="229"/>
      <c r="AF4" s="229"/>
      <c r="AG4" s="229"/>
    </row>
    <row r="5" spans="1:33" ht="30" x14ac:dyDescent="0.25">
      <c r="B5" s="227">
        <v>88.5</v>
      </c>
      <c r="C5" s="73" t="s">
        <v>671</v>
      </c>
      <c r="D5" s="73">
        <v>4.5</v>
      </c>
      <c r="E5" s="73" t="s">
        <v>695</v>
      </c>
      <c r="F5" s="73">
        <v>3.0243313592573</v>
      </c>
      <c r="G5" s="73">
        <v>0</v>
      </c>
      <c r="J5" s="227">
        <v>94.2</v>
      </c>
      <c r="K5" s="73" t="s">
        <v>611</v>
      </c>
      <c r="L5" s="73">
        <v>4.5</v>
      </c>
      <c r="M5" s="73" t="s">
        <v>695</v>
      </c>
      <c r="N5" s="73">
        <v>50.620228294308603</v>
      </c>
      <c r="O5" s="73">
        <v>0</v>
      </c>
      <c r="P5" s="230"/>
      <c r="Q5" s="230" t="s">
        <v>748</v>
      </c>
      <c r="R5" s="231" t="s">
        <v>735</v>
      </c>
      <c r="S5" s="231" t="s">
        <v>739</v>
      </c>
      <c r="T5" s="231" t="s">
        <v>736</v>
      </c>
      <c r="U5" s="230" t="s">
        <v>749</v>
      </c>
      <c r="V5" s="231" t="s">
        <v>735</v>
      </c>
      <c r="W5" s="231" t="s">
        <v>739</v>
      </c>
      <c r="X5" s="231" t="s">
        <v>736</v>
      </c>
      <c r="Z5" s="229"/>
      <c r="AA5" s="229"/>
      <c r="AB5" s="229"/>
      <c r="AC5" s="229"/>
      <c r="AD5" s="229"/>
      <c r="AE5" s="229"/>
      <c r="AF5" s="229"/>
      <c r="AG5" s="229"/>
    </row>
    <row r="6" spans="1:33" ht="45" x14ac:dyDescent="0.25">
      <c r="B6" s="227">
        <v>67</v>
      </c>
      <c r="C6" s="73" t="s">
        <v>672</v>
      </c>
      <c r="D6" s="73">
        <v>1</v>
      </c>
      <c r="E6" s="73" t="s">
        <v>695</v>
      </c>
      <c r="F6" s="73">
        <v>2.2889322663507201</v>
      </c>
      <c r="G6" s="73">
        <v>0</v>
      </c>
      <c r="J6" s="227">
        <v>53.3</v>
      </c>
      <c r="K6" s="73" t="s">
        <v>564</v>
      </c>
      <c r="L6" s="73">
        <v>652.74790659999996</v>
      </c>
      <c r="M6" s="73" t="s">
        <v>695</v>
      </c>
      <c r="N6" s="73">
        <v>28.615205661675901</v>
      </c>
      <c r="O6" s="73">
        <v>0</v>
      </c>
      <c r="P6" s="231" t="s">
        <v>745</v>
      </c>
      <c r="Q6" s="233">
        <v>1284.5132282066099</v>
      </c>
      <c r="R6" s="234" t="s">
        <v>737</v>
      </c>
      <c r="S6" s="234">
        <v>83.7</v>
      </c>
      <c r="T6" s="234" t="s">
        <v>738</v>
      </c>
      <c r="U6" s="233">
        <v>140.53336375851501</v>
      </c>
      <c r="V6" s="234" t="s">
        <v>737</v>
      </c>
      <c r="W6" s="234">
        <v>91.9</v>
      </c>
      <c r="X6" s="234" t="s">
        <v>738</v>
      </c>
      <c r="Z6" s="229"/>
      <c r="AA6" s="229"/>
      <c r="AB6" s="229"/>
      <c r="AC6" s="229"/>
      <c r="AD6" s="229"/>
      <c r="AE6" s="229"/>
      <c r="AF6" s="229"/>
      <c r="AG6" s="229"/>
    </row>
    <row r="7" spans="1:33" ht="90" x14ac:dyDescent="0.25">
      <c r="B7" s="227">
        <v>58.5</v>
      </c>
      <c r="C7" s="73" t="s">
        <v>562</v>
      </c>
      <c r="D7" s="73">
        <v>3677.1139790000002</v>
      </c>
      <c r="E7" s="73" t="s">
        <v>696</v>
      </c>
      <c r="F7" s="73">
        <v>2.0013175300507902</v>
      </c>
      <c r="G7" s="73">
        <v>0</v>
      </c>
      <c r="J7" s="227">
        <v>35.700000000000003</v>
      </c>
      <c r="K7" s="73" t="s">
        <v>561</v>
      </c>
      <c r="L7" s="73">
        <v>1</v>
      </c>
      <c r="M7" s="73" t="s">
        <v>695</v>
      </c>
      <c r="N7" s="73">
        <v>19.173011401105601</v>
      </c>
      <c r="O7" s="73">
        <v>0</v>
      </c>
      <c r="P7" s="231" t="s">
        <v>741</v>
      </c>
      <c r="Q7" s="233">
        <v>53.733456467492097</v>
      </c>
      <c r="R7" s="234" t="s">
        <v>740</v>
      </c>
      <c r="S7" s="234">
        <v>53.3</v>
      </c>
      <c r="T7" s="234" t="s">
        <v>738</v>
      </c>
      <c r="U7" s="233">
        <v>3.4188078398800101</v>
      </c>
      <c r="V7" s="234" t="s">
        <v>737</v>
      </c>
      <c r="W7" s="234">
        <v>58.5</v>
      </c>
      <c r="X7" s="234" t="s">
        <v>738</v>
      </c>
      <c r="Z7" s="229"/>
      <c r="AA7" s="229"/>
      <c r="AB7" s="229"/>
      <c r="AC7" s="229"/>
      <c r="AD7" s="229"/>
      <c r="AE7" s="229"/>
      <c r="AF7" s="229"/>
      <c r="AG7" s="229"/>
    </row>
    <row r="8" spans="1:33" ht="75" x14ac:dyDescent="0.25">
      <c r="B8" s="227">
        <v>8.41</v>
      </c>
      <c r="C8" s="73" t="s">
        <v>563</v>
      </c>
      <c r="D8" s="73">
        <v>782.38067490000003</v>
      </c>
      <c r="E8" s="73" t="s">
        <v>696</v>
      </c>
      <c r="F8" s="73">
        <v>0.287615082705863</v>
      </c>
      <c r="G8" s="73">
        <v>0</v>
      </c>
      <c r="J8" s="227">
        <v>31</v>
      </c>
      <c r="K8" s="73" t="s">
        <v>562</v>
      </c>
      <c r="L8" s="73">
        <v>30642.61649</v>
      </c>
      <c r="M8" s="73" t="s">
        <v>696</v>
      </c>
      <c r="N8" s="73">
        <v>16.6776388995434</v>
      </c>
      <c r="O8" s="73">
        <v>0</v>
      </c>
      <c r="P8" s="231" t="s">
        <v>744</v>
      </c>
      <c r="Q8" s="233">
        <v>4.3032610097612096</v>
      </c>
      <c r="R8" s="234" t="s">
        <v>737</v>
      </c>
      <c r="S8" s="234">
        <v>45.3</v>
      </c>
      <c r="T8" s="234" t="s">
        <v>738</v>
      </c>
      <c r="U8" s="233">
        <v>0.35398360677914698</v>
      </c>
      <c r="V8" s="234" t="s">
        <v>737</v>
      </c>
      <c r="W8" s="234">
        <v>66.099999999999994</v>
      </c>
      <c r="X8" s="234" t="s">
        <v>738</v>
      </c>
      <c r="Z8" s="229"/>
      <c r="AA8" s="229"/>
      <c r="AB8" s="229"/>
      <c r="AC8" s="229"/>
      <c r="AD8" s="229"/>
      <c r="AE8" s="229"/>
      <c r="AF8" s="229"/>
      <c r="AG8" s="229"/>
    </row>
    <row r="9" spans="1:33" ht="60" x14ac:dyDescent="0.25">
      <c r="B9" s="227">
        <v>16.100000000000001</v>
      </c>
      <c r="C9" s="73" t="s">
        <v>566</v>
      </c>
      <c r="D9" s="73">
        <v>0.54955725799999999</v>
      </c>
      <c r="E9" s="73" t="s">
        <v>695</v>
      </c>
      <c r="F9" s="73">
        <v>0.551991058181449</v>
      </c>
      <c r="G9" s="73">
        <v>0</v>
      </c>
      <c r="J9" s="227">
        <v>4.6399999999999997</v>
      </c>
      <c r="K9" s="73" t="s">
        <v>563</v>
      </c>
      <c r="L9" s="73">
        <v>6788.0066176800001</v>
      </c>
      <c r="M9" s="73" t="s">
        <v>696</v>
      </c>
      <c r="N9" s="73">
        <v>2.49537468460219</v>
      </c>
      <c r="O9" s="73">
        <v>0</v>
      </c>
      <c r="P9" s="231" t="s">
        <v>742</v>
      </c>
      <c r="Q9" s="233">
        <v>0.28816366384397402</v>
      </c>
      <c r="R9" s="234" t="s">
        <v>740</v>
      </c>
      <c r="S9" s="234">
        <v>49.4</v>
      </c>
      <c r="T9" s="234" t="s">
        <v>738</v>
      </c>
      <c r="U9" s="233">
        <v>2.4807548975452301E-2</v>
      </c>
      <c r="V9" s="234" t="s">
        <v>747</v>
      </c>
      <c r="W9" s="234">
        <v>64.900000000000006</v>
      </c>
      <c r="X9" s="234" t="s">
        <v>743</v>
      </c>
      <c r="Z9" s="229"/>
      <c r="AA9" s="229"/>
      <c r="AB9" s="229"/>
      <c r="AC9" s="229"/>
      <c r="AD9" s="229"/>
      <c r="AE9" s="229"/>
      <c r="AF9" s="229"/>
      <c r="AG9" s="229"/>
    </row>
    <row r="10" spans="1:33" ht="75" x14ac:dyDescent="0.25">
      <c r="B10" s="227">
        <v>2.37</v>
      </c>
      <c r="C10" s="73" t="s">
        <v>567</v>
      </c>
      <c r="D10" s="73">
        <v>3.5146662529166601</v>
      </c>
      <c r="E10" s="73" t="s">
        <v>698</v>
      </c>
      <c r="F10" s="73">
        <v>8.1042777691734305E-2</v>
      </c>
      <c r="G10" s="73">
        <v>0</v>
      </c>
      <c r="J10" s="227">
        <v>3.35</v>
      </c>
      <c r="K10" s="73" t="s">
        <v>566</v>
      </c>
      <c r="L10" s="73">
        <v>1.792</v>
      </c>
      <c r="M10" s="73" t="s">
        <v>695</v>
      </c>
      <c r="N10" s="73">
        <v>1.79993609898016</v>
      </c>
      <c r="O10" s="73">
        <v>0</v>
      </c>
      <c r="P10" s="231" t="s">
        <v>746</v>
      </c>
      <c r="Q10" s="233">
        <v>0.25676114036228098</v>
      </c>
      <c r="R10" s="234" t="s">
        <v>740</v>
      </c>
      <c r="S10" s="234">
        <v>54.4</v>
      </c>
      <c r="T10" s="234" t="s">
        <v>738</v>
      </c>
      <c r="U10" s="233">
        <v>2.2402226652424299E-2</v>
      </c>
      <c r="V10" s="234" t="s">
        <v>747</v>
      </c>
      <c r="W10" s="234">
        <v>45.1</v>
      </c>
      <c r="X10" s="234" t="s">
        <v>743</v>
      </c>
      <c r="Z10" s="229"/>
      <c r="AA10" s="229"/>
      <c r="AB10" s="229"/>
      <c r="AC10" s="229"/>
      <c r="AD10" s="229"/>
      <c r="AE10" s="229"/>
      <c r="AF10" s="229"/>
      <c r="AG10" s="229"/>
    </row>
    <row r="11" spans="1:33" x14ac:dyDescent="0.25">
      <c r="B11" s="227">
        <v>1.49</v>
      </c>
      <c r="C11" s="73" t="s">
        <v>568</v>
      </c>
      <c r="D11" s="73">
        <v>0.385207788</v>
      </c>
      <c r="E11" s="73" t="s">
        <v>695</v>
      </c>
      <c r="F11" s="73">
        <v>5.0957701007917397E-2</v>
      </c>
      <c r="G11" s="73">
        <v>0</v>
      </c>
      <c r="J11" s="227">
        <v>1.33</v>
      </c>
      <c r="K11" s="73" t="s">
        <v>567</v>
      </c>
      <c r="L11" s="73">
        <v>30.9639541666666</v>
      </c>
      <c r="M11" s="73" t="s">
        <v>698</v>
      </c>
      <c r="N11" s="73">
        <v>0.713980931926392</v>
      </c>
      <c r="O11" s="73">
        <v>0</v>
      </c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</row>
    <row r="12" spans="1:33" x14ac:dyDescent="0.25">
      <c r="B12" s="227">
        <v>0.53</v>
      </c>
      <c r="C12" s="73" t="s">
        <v>569</v>
      </c>
      <c r="D12" s="73">
        <v>0.82779432399999997</v>
      </c>
      <c r="E12" s="73" t="s">
        <v>695</v>
      </c>
      <c r="F12" s="73">
        <v>1.80224434970719E-2</v>
      </c>
      <c r="G12" s="73">
        <v>0</v>
      </c>
      <c r="J12" s="227">
        <v>0.31</v>
      </c>
      <c r="K12" s="73" t="s">
        <v>568</v>
      </c>
      <c r="L12" s="73">
        <v>1.2564</v>
      </c>
      <c r="M12" s="73" t="s">
        <v>695</v>
      </c>
      <c r="N12" s="73">
        <v>0.16620446219288701</v>
      </c>
      <c r="O12" s="73">
        <v>0</v>
      </c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</row>
    <row r="13" spans="1:33" x14ac:dyDescent="0.25">
      <c r="B13" s="227">
        <v>0.37</v>
      </c>
      <c r="C13" s="73" t="s">
        <v>673</v>
      </c>
      <c r="D13" s="73">
        <v>1</v>
      </c>
      <c r="E13" s="73" t="s">
        <v>695</v>
      </c>
      <c r="F13" s="73">
        <v>1.2491188221947801E-2</v>
      </c>
      <c r="G13" s="73">
        <v>0</v>
      </c>
      <c r="J13" s="227">
        <v>0.11</v>
      </c>
      <c r="K13" s="73" t="s">
        <v>569</v>
      </c>
      <c r="L13" s="73">
        <v>2.6999499999999999</v>
      </c>
      <c r="M13" s="73" t="s">
        <v>695</v>
      </c>
      <c r="N13" s="73">
        <v>5.8782349204630303E-2</v>
      </c>
      <c r="O13" s="73">
        <v>0</v>
      </c>
      <c r="R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</row>
    <row r="14" spans="1:33" x14ac:dyDescent="0.25">
      <c r="B14" s="227">
        <v>0.27</v>
      </c>
      <c r="C14" s="73" t="s">
        <v>571</v>
      </c>
      <c r="D14" s="73">
        <v>660.43460000000005</v>
      </c>
      <c r="E14" s="73" t="s">
        <v>695</v>
      </c>
      <c r="F14" s="73">
        <v>9.0956425112959701E-3</v>
      </c>
      <c r="G14" s="73">
        <v>0</v>
      </c>
      <c r="J14" s="227">
        <v>5.6899999999999999E-2</v>
      </c>
      <c r="K14" s="73" t="s">
        <v>571</v>
      </c>
      <c r="L14" s="73">
        <v>2221.4899999999998</v>
      </c>
      <c r="M14" s="73" t="s">
        <v>695</v>
      </c>
      <c r="N14" s="73">
        <v>3.0594821583591E-2</v>
      </c>
      <c r="O14" s="73">
        <v>0</v>
      </c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</row>
    <row r="15" spans="1:33" x14ac:dyDescent="0.25">
      <c r="B15" s="227">
        <v>0.23</v>
      </c>
      <c r="C15" s="73" t="s">
        <v>570</v>
      </c>
      <c r="D15" s="73">
        <v>9.4932918000000005E-2</v>
      </c>
      <c r="E15" s="73" t="s">
        <v>695</v>
      </c>
      <c r="F15" s="73">
        <v>7.8074790069431197E-3</v>
      </c>
      <c r="G15" s="73">
        <v>0</v>
      </c>
      <c r="J15" s="227">
        <v>4.7399999999999998E-2</v>
      </c>
      <c r="K15" s="73" t="s">
        <v>570</v>
      </c>
      <c r="L15" s="73">
        <v>0.30963511799999999</v>
      </c>
      <c r="M15" s="73" t="s">
        <v>695</v>
      </c>
      <c r="N15" s="73">
        <v>2.54650317825274E-2</v>
      </c>
      <c r="O15" s="73">
        <v>0</v>
      </c>
      <c r="R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</row>
    <row r="16" spans="1:33" x14ac:dyDescent="0.25">
      <c r="B16" s="227">
        <v>0.12</v>
      </c>
      <c r="C16" s="73" t="s">
        <v>565</v>
      </c>
      <c r="D16" s="73">
        <v>6.0360003000000002E-2</v>
      </c>
      <c r="E16" s="73" t="s">
        <v>697</v>
      </c>
      <c r="F16" s="73">
        <v>3.9908050632089997E-3</v>
      </c>
      <c r="G16" s="73">
        <v>0</v>
      </c>
      <c r="J16" s="227">
        <v>4.4699999999999997E-2</v>
      </c>
      <c r="K16" s="73" t="s">
        <v>572</v>
      </c>
      <c r="L16" s="73">
        <v>1</v>
      </c>
      <c r="M16" s="73" t="s">
        <v>712</v>
      </c>
      <c r="N16" s="73">
        <v>2.4031090766948499E-2</v>
      </c>
      <c r="O16" s="73">
        <v>0</v>
      </c>
      <c r="R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</row>
    <row r="17" spans="2:33" x14ac:dyDescent="0.25">
      <c r="B17" s="227">
        <v>0</v>
      </c>
      <c r="C17" s="73" t="s">
        <v>573</v>
      </c>
      <c r="D17" s="73">
        <v>0.56209284400000004</v>
      </c>
      <c r="E17" s="73" t="s">
        <v>695</v>
      </c>
      <c r="F17" s="73">
        <v>0</v>
      </c>
      <c r="G17" s="73">
        <v>0</v>
      </c>
      <c r="J17" s="227">
        <v>2.4199999999999999E-2</v>
      </c>
      <c r="K17" s="73" t="s">
        <v>565</v>
      </c>
      <c r="L17" s="73">
        <v>0.1968714</v>
      </c>
      <c r="M17" s="73" t="s">
        <v>697</v>
      </c>
      <c r="N17" s="73">
        <v>1.3016488985845001E-2</v>
      </c>
      <c r="O17" s="73">
        <v>0</v>
      </c>
      <c r="R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</row>
    <row r="18" spans="2:33" x14ac:dyDescent="0.25">
      <c r="B18" s="227">
        <v>0</v>
      </c>
      <c r="C18" s="73" t="s">
        <v>700</v>
      </c>
      <c r="D18" s="73">
        <v>4.9277630529999996</v>
      </c>
      <c r="E18" s="73" t="s">
        <v>695</v>
      </c>
      <c r="F18" s="73">
        <v>0</v>
      </c>
      <c r="G18" s="73">
        <v>0</v>
      </c>
      <c r="J18" s="227">
        <v>4.6000000000000003E-11</v>
      </c>
      <c r="K18" s="73" t="s">
        <v>573</v>
      </c>
      <c r="L18" s="73">
        <v>1.8333333000000001</v>
      </c>
      <c r="M18" s="73" t="s">
        <v>695</v>
      </c>
      <c r="N18" s="228">
        <v>2.47265135234557E-11</v>
      </c>
      <c r="O18" s="73">
        <v>0</v>
      </c>
      <c r="R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</row>
    <row r="19" spans="2:33" x14ac:dyDescent="0.25">
      <c r="B19" s="227">
        <v>0</v>
      </c>
      <c r="C19" s="73" t="s">
        <v>701</v>
      </c>
      <c r="D19" s="73">
        <v>36.984725920000002</v>
      </c>
      <c r="E19" s="73" t="s">
        <v>695</v>
      </c>
      <c r="F19" s="73">
        <v>0</v>
      </c>
      <c r="G19" s="73">
        <v>0</v>
      </c>
      <c r="J19" s="227">
        <v>0</v>
      </c>
      <c r="K19" s="73" t="s">
        <v>701</v>
      </c>
      <c r="L19" s="73">
        <v>120.6268649</v>
      </c>
      <c r="M19" s="73" t="s">
        <v>695</v>
      </c>
      <c r="N19" s="73">
        <v>0</v>
      </c>
      <c r="O19" s="73">
        <v>0</v>
      </c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</row>
    <row r="20" spans="2:33" x14ac:dyDescent="0.25">
      <c r="B20" s="227">
        <v>0</v>
      </c>
      <c r="C20" s="73" t="s">
        <v>699</v>
      </c>
      <c r="D20" s="73">
        <v>5.2176314680000004</v>
      </c>
      <c r="E20" s="73" t="s">
        <v>695</v>
      </c>
      <c r="F20" s="73">
        <v>0</v>
      </c>
      <c r="G20" s="73">
        <v>0</v>
      </c>
      <c r="J20" s="227">
        <v>0</v>
      </c>
      <c r="K20" s="73" t="s">
        <v>700</v>
      </c>
      <c r="L20" s="73">
        <v>16.081218310000001</v>
      </c>
      <c r="M20" s="73" t="s">
        <v>695</v>
      </c>
      <c r="N20" s="73">
        <v>0</v>
      </c>
      <c r="O20" s="73">
        <v>0</v>
      </c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</row>
    <row r="21" spans="2:33" x14ac:dyDescent="0.25">
      <c r="B21" s="227">
        <v>11.5</v>
      </c>
      <c r="C21" s="73" t="s">
        <v>674</v>
      </c>
      <c r="D21" s="73">
        <v>1</v>
      </c>
      <c r="E21" s="73" t="s">
        <v>695</v>
      </c>
      <c r="F21" s="73">
        <v>0.39447647907507599</v>
      </c>
      <c r="G21" s="73">
        <v>0</v>
      </c>
      <c r="J21" s="227">
        <v>0</v>
      </c>
      <c r="K21" s="73" t="s">
        <v>699</v>
      </c>
      <c r="L21" s="73">
        <v>17.021100000000001</v>
      </c>
      <c r="M21" s="73" t="s">
        <v>695</v>
      </c>
      <c r="N21" s="73">
        <v>0</v>
      </c>
      <c r="O21" s="73">
        <v>0</v>
      </c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</row>
    <row r="22" spans="2:33" x14ac:dyDescent="0.25">
      <c r="B22" s="227">
        <v>11.1</v>
      </c>
      <c r="C22" s="73" t="s">
        <v>677</v>
      </c>
      <c r="D22" s="73">
        <v>15000</v>
      </c>
      <c r="E22" s="73" t="s">
        <v>702</v>
      </c>
      <c r="F22" s="73">
        <v>0.37785646479604701</v>
      </c>
      <c r="G22" s="73">
        <v>0</v>
      </c>
      <c r="J22" s="227">
        <v>5.79</v>
      </c>
      <c r="K22" s="73" t="s">
        <v>713</v>
      </c>
      <c r="L22" s="73">
        <v>1</v>
      </c>
      <c r="M22" s="73" t="s">
        <v>695</v>
      </c>
      <c r="N22" s="73">
        <v>3.1132281928175498</v>
      </c>
      <c r="O22" s="73">
        <v>0</v>
      </c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</row>
    <row r="23" spans="2:33" x14ac:dyDescent="0.25">
      <c r="B23" s="227">
        <v>0.33</v>
      </c>
      <c r="C23" s="73" t="s">
        <v>678</v>
      </c>
      <c r="D23" s="73">
        <v>3.3004751149999998</v>
      </c>
      <c r="E23" s="73" t="s">
        <v>703</v>
      </c>
      <c r="F23" s="73">
        <v>1.13792227726916E-2</v>
      </c>
      <c r="G23" s="73">
        <v>0</v>
      </c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</row>
    <row r="24" spans="2:33" x14ac:dyDescent="0.25">
      <c r="B24" s="227">
        <v>0.15</v>
      </c>
      <c r="C24" s="73" t="s">
        <v>676</v>
      </c>
      <c r="D24" s="73">
        <v>1.360160985</v>
      </c>
      <c r="E24" s="73" t="s">
        <v>703</v>
      </c>
      <c r="F24" s="73">
        <v>5.2407906398147996E-3</v>
      </c>
      <c r="G24" s="73">
        <v>0</v>
      </c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</row>
    <row r="25" spans="2:33" ht="15.75" thickBot="1" x14ac:dyDescent="0.3"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</row>
    <row r="26" spans="2:33" x14ac:dyDescent="0.25">
      <c r="B26" s="224" t="s">
        <v>716</v>
      </c>
      <c r="C26" s="225"/>
      <c r="D26" s="225"/>
      <c r="E26" s="225"/>
      <c r="F26" s="225"/>
      <c r="G26" s="225"/>
      <c r="H26" s="225"/>
      <c r="I26" s="226"/>
      <c r="J26" s="300" t="s">
        <v>717</v>
      </c>
      <c r="K26" s="301"/>
      <c r="L26" s="301"/>
      <c r="M26" s="301"/>
      <c r="N26" s="301"/>
      <c r="O26" s="301"/>
      <c r="P26" s="301"/>
      <c r="Q26" s="302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</row>
    <row r="27" spans="2:33" x14ac:dyDescent="0.25">
      <c r="B27" s="73" t="s">
        <v>693</v>
      </c>
      <c r="C27" s="73" t="s">
        <v>106</v>
      </c>
      <c r="D27" s="73" t="s">
        <v>694</v>
      </c>
      <c r="E27" s="73" t="s">
        <v>557</v>
      </c>
      <c r="F27" s="73" t="s">
        <v>704</v>
      </c>
      <c r="G27" s="73" t="s">
        <v>705</v>
      </c>
      <c r="J27" s="73" t="s">
        <v>693</v>
      </c>
      <c r="K27" s="73" t="s">
        <v>106</v>
      </c>
      <c r="L27" s="73" t="s">
        <v>694</v>
      </c>
      <c r="M27" s="73" t="s">
        <v>557</v>
      </c>
      <c r="N27" s="73" t="s">
        <v>704</v>
      </c>
      <c r="O27" s="73" t="s">
        <v>705</v>
      </c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</row>
    <row r="28" spans="2:33" x14ac:dyDescent="0.25">
      <c r="B28" s="227">
        <v>100</v>
      </c>
      <c r="C28" s="73" t="s">
        <v>669</v>
      </c>
      <c r="D28" s="73">
        <v>1</v>
      </c>
      <c r="E28" s="73" t="s">
        <v>695</v>
      </c>
      <c r="F28" s="73">
        <v>2.4807548975452301E-2</v>
      </c>
      <c r="G28" s="73">
        <v>0</v>
      </c>
      <c r="J28" s="227">
        <v>100</v>
      </c>
      <c r="K28" s="73" t="s">
        <v>558</v>
      </c>
      <c r="L28" s="73">
        <v>1</v>
      </c>
      <c r="M28" s="73" t="s">
        <v>695</v>
      </c>
      <c r="N28" s="73">
        <v>0.28816366384397402</v>
      </c>
      <c r="O28" s="73">
        <v>0</v>
      </c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</row>
    <row r="29" spans="2:33" x14ac:dyDescent="0.25">
      <c r="B29" s="227">
        <v>96.4</v>
      </c>
      <c r="C29" s="73" t="s">
        <v>670</v>
      </c>
      <c r="D29" s="73">
        <v>1</v>
      </c>
      <c r="E29" s="73" t="s">
        <v>695</v>
      </c>
      <c r="F29" s="73">
        <v>2.3909742830278101E-2</v>
      </c>
      <c r="G29" s="73">
        <v>0</v>
      </c>
      <c r="J29" s="227">
        <v>93.5</v>
      </c>
      <c r="K29" s="73" t="s">
        <v>560</v>
      </c>
      <c r="L29" s="73">
        <v>1</v>
      </c>
      <c r="M29" s="73" t="s">
        <v>695</v>
      </c>
      <c r="N29" s="73">
        <v>0.26945200475602998</v>
      </c>
      <c r="O29" s="73">
        <v>0</v>
      </c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</row>
    <row r="30" spans="2:33" x14ac:dyDescent="0.25">
      <c r="B30" s="227">
        <v>96.4</v>
      </c>
      <c r="C30" s="73" t="s">
        <v>671</v>
      </c>
      <c r="D30" s="73">
        <v>4.5</v>
      </c>
      <c r="E30" s="73" t="s">
        <v>695</v>
      </c>
      <c r="F30" s="73">
        <v>2.3909742831156398E-2</v>
      </c>
      <c r="G30" s="73">
        <v>0</v>
      </c>
      <c r="J30" s="227">
        <v>93.5</v>
      </c>
      <c r="K30" s="73" t="s">
        <v>611</v>
      </c>
      <c r="L30" s="73">
        <v>4.5</v>
      </c>
      <c r="M30" s="73" t="s">
        <v>695</v>
      </c>
      <c r="N30" s="73">
        <v>0.26945200477223002</v>
      </c>
      <c r="O30" s="73">
        <v>0</v>
      </c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</row>
    <row r="31" spans="2:33" x14ac:dyDescent="0.25">
      <c r="B31" s="227">
        <v>36.9</v>
      </c>
      <c r="C31" s="73" t="s">
        <v>672</v>
      </c>
      <c r="D31" s="73">
        <v>1</v>
      </c>
      <c r="E31" s="73" t="s">
        <v>695</v>
      </c>
      <c r="F31" s="73">
        <v>9.1447402689073202E-3</v>
      </c>
      <c r="G31" s="73">
        <v>0</v>
      </c>
      <c r="J31" s="227">
        <v>49.4</v>
      </c>
      <c r="K31" s="73" t="s">
        <v>564</v>
      </c>
      <c r="L31" s="73">
        <v>652.74790659999996</v>
      </c>
      <c r="M31" s="73" t="s">
        <v>695</v>
      </c>
      <c r="N31" s="73">
        <v>0.14240494811584301</v>
      </c>
      <c r="O31" s="73">
        <v>0</v>
      </c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</row>
    <row r="32" spans="2:33" x14ac:dyDescent="0.25">
      <c r="B32" s="227">
        <v>28.1</v>
      </c>
      <c r="C32" s="73" t="s">
        <v>566</v>
      </c>
      <c r="D32" s="73">
        <v>0.54955725799999999</v>
      </c>
      <c r="E32" s="73" t="s">
        <v>695</v>
      </c>
      <c r="F32" s="73">
        <v>6.9687097745869302E-3</v>
      </c>
      <c r="G32" s="73">
        <v>5.0647963859389196E-3</v>
      </c>
      <c r="J32" s="227">
        <v>26.6</v>
      </c>
      <c r="K32" s="73" t="s">
        <v>561</v>
      </c>
      <c r="L32" s="73">
        <v>1</v>
      </c>
      <c r="M32" s="73" t="s">
        <v>695</v>
      </c>
      <c r="N32" s="73">
        <v>7.6585263874491299E-2</v>
      </c>
      <c r="O32" s="73">
        <v>0</v>
      </c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</row>
    <row r="33" spans="2:33" x14ac:dyDescent="0.25">
      <c r="B33" s="227">
        <v>22.4</v>
      </c>
      <c r="C33" s="73" t="s">
        <v>568</v>
      </c>
      <c r="D33" s="73">
        <v>0.385207788</v>
      </c>
      <c r="E33" s="73" t="s">
        <v>695</v>
      </c>
      <c r="F33" s="73">
        <v>5.5681099282349402E-3</v>
      </c>
      <c r="G33" s="73">
        <v>0</v>
      </c>
      <c r="J33" s="227">
        <v>7.89</v>
      </c>
      <c r="K33" s="73" t="s">
        <v>566</v>
      </c>
      <c r="L33" s="73">
        <v>1.792</v>
      </c>
      <c r="M33" s="73" t="s">
        <v>695</v>
      </c>
      <c r="N33" s="73">
        <v>2.2723615640268001E-2</v>
      </c>
      <c r="O33" s="73">
        <v>1.6515322091519999E-2</v>
      </c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</row>
    <row r="34" spans="2:33" x14ac:dyDescent="0.25">
      <c r="B34" s="227">
        <v>5.05</v>
      </c>
      <c r="C34" s="73" t="s">
        <v>570</v>
      </c>
      <c r="D34" s="73">
        <v>9.4932918000000005E-2</v>
      </c>
      <c r="E34" s="73" t="s">
        <v>695</v>
      </c>
      <c r="F34" s="73">
        <v>1.2531567210546E-3</v>
      </c>
      <c r="G34" s="228">
        <v>5.7529348307999897E-7</v>
      </c>
      <c r="J34" s="227">
        <v>6.3</v>
      </c>
      <c r="K34" s="73" t="s">
        <v>568</v>
      </c>
      <c r="L34" s="73">
        <v>1.2564</v>
      </c>
      <c r="M34" s="73" t="s">
        <v>695</v>
      </c>
      <c r="N34" s="73">
        <v>1.8161038094842801E-2</v>
      </c>
      <c r="O34" s="73">
        <v>0</v>
      </c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</row>
    <row r="35" spans="2:33" x14ac:dyDescent="0.25">
      <c r="B35" s="227">
        <v>1.89</v>
      </c>
      <c r="C35" s="73" t="s">
        <v>567</v>
      </c>
      <c r="D35" s="73">
        <v>3.5146662529166601</v>
      </c>
      <c r="E35" s="73" t="s">
        <v>698</v>
      </c>
      <c r="F35" s="228">
        <v>4.6957413644631898E-4</v>
      </c>
      <c r="G35" s="73">
        <v>0</v>
      </c>
      <c r="J35" s="227">
        <v>1.44</v>
      </c>
      <c r="K35" s="73" t="s">
        <v>567</v>
      </c>
      <c r="L35" s="73">
        <v>30.9639541666666</v>
      </c>
      <c r="M35" s="73" t="s">
        <v>698</v>
      </c>
      <c r="N35" s="73">
        <v>4.1369139824899504E-3</v>
      </c>
      <c r="O35" s="73">
        <v>0</v>
      </c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</row>
    <row r="36" spans="2:33" x14ac:dyDescent="0.25">
      <c r="B36" s="227">
        <v>0.91</v>
      </c>
      <c r="C36" s="73" t="s">
        <v>673</v>
      </c>
      <c r="D36" s="73">
        <v>1</v>
      </c>
      <c r="E36" s="73" t="s">
        <v>695</v>
      </c>
      <c r="F36" s="228">
        <v>2.25701140589989E-4</v>
      </c>
      <c r="G36" s="228">
        <v>1.4391523752E-4</v>
      </c>
      <c r="J36" s="227">
        <v>1.42</v>
      </c>
      <c r="K36" s="73" t="s">
        <v>570</v>
      </c>
      <c r="L36" s="73">
        <v>0.30963511799999999</v>
      </c>
      <c r="M36" s="73" t="s">
        <v>695</v>
      </c>
      <c r="N36" s="73">
        <v>4.0873212098431599E-3</v>
      </c>
      <c r="O36" s="228">
        <v>1.8763888150799899E-6</v>
      </c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</row>
    <row r="37" spans="2:33" x14ac:dyDescent="0.25">
      <c r="B37" s="227">
        <v>0.77</v>
      </c>
      <c r="C37" s="73" t="s">
        <v>569</v>
      </c>
      <c r="D37" s="73">
        <v>0.82779432399999997</v>
      </c>
      <c r="E37" s="73" t="s">
        <v>695</v>
      </c>
      <c r="F37" s="228">
        <v>1.91241087124819E-4</v>
      </c>
      <c r="G37" s="73">
        <v>0</v>
      </c>
      <c r="J37" s="227">
        <v>0.22</v>
      </c>
      <c r="K37" s="73" t="s">
        <v>569</v>
      </c>
      <c r="L37" s="73">
        <v>2.6999499999999999</v>
      </c>
      <c r="M37" s="73" t="s">
        <v>695</v>
      </c>
      <c r="N37" s="228">
        <v>6.2375563340632103E-4</v>
      </c>
      <c r="O37" s="73">
        <v>0</v>
      </c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</row>
    <row r="38" spans="2:33" x14ac:dyDescent="0.25">
      <c r="B38" s="227">
        <v>0.2</v>
      </c>
      <c r="C38" s="73" t="s">
        <v>571</v>
      </c>
      <c r="D38" s="73">
        <v>660.43460000000005</v>
      </c>
      <c r="E38" s="73" t="s">
        <v>695</v>
      </c>
      <c r="F38" s="228">
        <v>5.07305473984844E-5</v>
      </c>
      <c r="G38" s="73">
        <v>0</v>
      </c>
      <c r="J38" s="227">
        <v>0.15</v>
      </c>
      <c r="K38" s="73" t="s">
        <v>572</v>
      </c>
      <c r="L38" s="73">
        <v>1</v>
      </c>
      <c r="M38" s="73" t="s">
        <v>712</v>
      </c>
      <c r="N38" s="228">
        <v>4.3528548453486198E-4</v>
      </c>
      <c r="O38" s="228">
        <v>2.7445362834999998E-4</v>
      </c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</row>
    <row r="39" spans="2:33" x14ac:dyDescent="0.25">
      <c r="B39" s="227">
        <v>0.15</v>
      </c>
      <c r="C39" s="73" t="s">
        <v>565</v>
      </c>
      <c r="D39" s="73">
        <v>6.0360003000000002E-2</v>
      </c>
      <c r="E39" s="73" t="s">
        <v>697</v>
      </c>
      <c r="F39" s="228">
        <v>3.7779221617253302E-5</v>
      </c>
      <c r="G39" s="73">
        <v>0</v>
      </c>
      <c r="J39" s="227">
        <v>5.9200000000000003E-2</v>
      </c>
      <c r="K39" s="73" t="s">
        <v>571</v>
      </c>
      <c r="L39" s="73">
        <v>2221.4899999999998</v>
      </c>
      <c r="M39" s="73" t="s">
        <v>695</v>
      </c>
      <c r="N39" s="228">
        <v>1.7064127727142099E-4</v>
      </c>
      <c r="O39" s="73">
        <v>0</v>
      </c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</row>
    <row r="40" spans="2:33" x14ac:dyDescent="0.25">
      <c r="B40" s="227">
        <v>0</v>
      </c>
      <c r="C40" s="73" t="s">
        <v>573</v>
      </c>
      <c r="D40" s="73">
        <v>0.56209284400000004</v>
      </c>
      <c r="E40" s="73" t="s">
        <v>695</v>
      </c>
      <c r="F40" s="73">
        <v>0</v>
      </c>
      <c r="G40" s="73">
        <v>0</v>
      </c>
      <c r="J40" s="227">
        <v>4.2799999999999998E-2</v>
      </c>
      <c r="K40" s="73" t="s">
        <v>565</v>
      </c>
      <c r="L40" s="73">
        <v>0.1968714</v>
      </c>
      <c r="M40" s="73" t="s">
        <v>697</v>
      </c>
      <c r="N40" s="228">
        <v>1.23221468764426E-4</v>
      </c>
      <c r="O40" s="73">
        <v>0</v>
      </c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</row>
    <row r="41" spans="2:33" x14ac:dyDescent="0.25">
      <c r="B41" s="227">
        <v>0</v>
      </c>
      <c r="C41" s="73" t="s">
        <v>700</v>
      </c>
      <c r="D41" s="73">
        <v>4.9277630529999996</v>
      </c>
      <c r="E41" s="73" t="s">
        <v>695</v>
      </c>
      <c r="F41" s="73">
        <v>0</v>
      </c>
      <c r="G41" s="73">
        <v>0</v>
      </c>
      <c r="J41" s="227">
        <v>9.63E-12</v>
      </c>
      <c r="K41" s="73" t="s">
        <v>573</v>
      </c>
      <c r="L41" s="73">
        <v>1.8333333000000001</v>
      </c>
      <c r="M41" s="73" t="s">
        <v>695</v>
      </c>
      <c r="N41" s="228">
        <v>2.7752243717018E-14</v>
      </c>
      <c r="O41" s="73">
        <v>0</v>
      </c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</row>
    <row r="42" spans="2:33" x14ac:dyDescent="0.25">
      <c r="B42" s="227">
        <v>0</v>
      </c>
      <c r="C42" s="73" t="s">
        <v>701</v>
      </c>
      <c r="D42" s="73">
        <v>36.984725920000002</v>
      </c>
      <c r="E42" s="73" t="s">
        <v>695</v>
      </c>
      <c r="F42" s="73">
        <v>0</v>
      </c>
      <c r="G42" s="73">
        <v>0</v>
      </c>
      <c r="J42" s="227">
        <v>0</v>
      </c>
      <c r="K42" s="73" t="s">
        <v>701</v>
      </c>
      <c r="L42" s="73">
        <v>120.6268649</v>
      </c>
      <c r="M42" s="73" t="s">
        <v>695</v>
      </c>
      <c r="N42" s="73">
        <v>0</v>
      </c>
      <c r="O42" s="73">
        <v>0</v>
      </c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</row>
    <row r="43" spans="2:33" x14ac:dyDescent="0.25">
      <c r="B43" s="227">
        <v>0</v>
      </c>
      <c r="C43" s="73" t="s">
        <v>699</v>
      </c>
      <c r="D43" s="73">
        <v>5.2176314680000004</v>
      </c>
      <c r="E43" s="73" t="s">
        <v>695</v>
      </c>
      <c r="F43" s="73">
        <v>0</v>
      </c>
      <c r="G43" s="73">
        <v>0</v>
      </c>
      <c r="J43" s="227">
        <v>0</v>
      </c>
      <c r="K43" s="73" t="s">
        <v>700</v>
      </c>
      <c r="L43" s="73">
        <v>16.081218310000001</v>
      </c>
      <c r="M43" s="73" t="s">
        <v>695</v>
      </c>
      <c r="N43" s="73">
        <v>0</v>
      </c>
      <c r="O43" s="73">
        <v>0</v>
      </c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</row>
    <row r="44" spans="2:33" x14ac:dyDescent="0.25">
      <c r="B44" s="227">
        <v>3.62</v>
      </c>
      <c r="C44" s="73" t="s">
        <v>674</v>
      </c>
      <c r="D44" s="73">
        <v>1</v>
      </c>
      <c r="E44" s="73" t="s">
        <v>695</v>
      </c>
      <c r="F44" s="228">
        <v>8.9780614423063104E-4</v>
      </c>
      <c r="G44" s="73">
        <v>0</v>
      </c>
      <c r="J44" s="227">
        <v>0</v>
      </c>
      <c r="K44" s="73" t="s">
        <v>699</v>
      </c>
      <c r="L44" s="73">
        <v>17.021100000000001</v>
      </c>
      <c r="M44" s="73" t="s">
        <v>695</v>
      </c>
      <c r="N44" s="73">
        <v>0</v>
      </c>
      <c r="O44" s="73">
        <v>0</v>
      </c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</row>
    <row r="45" spans="2:33" x14ac:dyDescent="0.25">
      <c r="J45" s="227">
        <v>6.49</v>
      </c>
      <c r="K45" s="73" t="s">
        <v>713</v>
      </c>
      <c r="L45" s="73">
        <v>1</v>
      </c>
      <c r="M45" s="73" t="s">
        <v>695</v>
      </c>
      <c r="N45" s="73">
        <v>1.8711659071669998E-2</v>
      </c>
      <c r="O45" s="73">
        <v>0</v>
      </c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</row>
    <row r="46" spans="2:33" ht="15.75" thickBot="1" x14ac:dyDescent="0.3"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</row>
    <row r="47" spans="2:33" x14ac:dyDescent="0.25">
      <c r="B47" s="224" t="s">
        <v>715</v>
      </c>
      <c r="C47" s="225"/>
      <c r="D47" s="225"/>
      <c r="E47" s="225"/>
      <c r="F47" s="225"/>
      <c r="G47" s="225"/>
      <c r="H47" s="225"/>
      <c r="I47" s="226"/>
      <c r="J47" s="224" t="s">
        <v>718</v>
      </c>
      <c r="K47" s="225"/>
      <c r="L47" s="225"/>
      <c r="M47" s="225"/>
      <c r="N47" s="225"/>
      <c r="O47" s="225"/>
      <c r="P47" s="225"/>
      <c r="Q47" s="226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</row>
    <row r="48" spans="2:33" x14ac:dyDescent="0.25">
      <c r="B48" s="73" t="s">
        <v>693</v>
      </c>
      <c r="C48" s="73" t="s">
        <v>106</v>
      </c>
      <c r="D48" s="73" t="s">
        <v>694</v>
      </c>
      <c r="E48" s="73" t="s">
        <v>557</v>
      </c>
      <c r="F48" s="73" t="s">
        <v>706</v>
      </c>
      <c r="G48" s="73" t="s">
        <v>707</v>
      </c>
      <c r="J48" s="73" t="s">
        <v>693</v>
      </c>
      <c r="K48" s="73" t="s">
        <v>106</v>
      </c>
      <c r="L48" s="73" t="s">
        <v>694</v>
      </c>
      <c r="M48" s="73" t="s">
        <v>557</v>
      </c>
      <c r="N48" s="73" t="s">
        <v>706</v>
      </c>
      <c r="O48" s="73" t="s">
        <v>707</v>
      </c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</row>
    <row r="49" spans="2:33" x14ac:dyDescent="0.25">
      <c r="B49" s="227">
        <v>100</v>
      </c>
      <c r="C49" s="73" t="s">
        <v>669</v>
      </c>
      <c r="D49" s="73">
        <v>1</v>
      </c>
      <c r="E49" s="73" t="s">
        <v>695</v>
      </c>
      <c r="F49" s="73">
        <v>0.35398360677914698</v>
      </c>
      <c r="G49" s="73">
        <v>0</v>
      </c>
      <c r="J49" s="227">
        <v>100</v>
      </c>
      <c r="K49" s="73" t="s">
        <v>558</v>
      </c>
      <c r="L49" s="73">
        <v>1</v>
      </c>
      <c r="M49" s="73" t="s">
        <v>695</v>
      </c>
      <c r="N49" s="73">
        <v>4.3032610097612096</v>
      </c>
      <c r="O49" s="73">
        <v>0</v>
      </c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</row>
    <row r="50" spans="2:33" x14ac:dyDescent="0.25">
      <c r="B50" s="227">
        <v>94.9</v>
      </c>
      <c r="C50" s="73" t="s">
        <v>670</v>
      </c>
      <c r="D50" s="73">
        <v>1</v>
      </c>
      <c r="E50" s="73" t="s">
        <v>695</v>
      </c>
      <c r="F50" s="73">
        <v>0.33587015157644101</v>
      </c>
      <c r="G50" s="73">
        <v>0</v>
      </c>
      <c r="J50" s="227">
        <v>92.8</v>
      </c>
      <c r="K50" s="73" t="s">
        <v>560</v>
      </c>
      <c r="L50" s="73">
        <v>1</v>
      </c>
      <c r="M50" s="73" t="s">
        <v>695</v>
      </c>
      <c r="N50" s="73">
        <v>3.99212551659588</v>
      </c>
      <c r="O50" s="73">
        <v>0</v>
      </c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</row>
    <row r="51" spans="2:33" x14ac:dyDescent="0.25">
      <c r="B51" s="227">
        <v>94.9</v>
      </c>
      <c r="C51" s="73" t="s">
        <v>671</v>
      </c>
      <c r="D51" s="73">
        <v>4.5</v>
      </c>
      <c r="E51" s="73" t="s">
        <v>695</v>
      </c>
      <c r="F51" s="73">
        <v>0.33587015153564198</v>
      </c>
      <c r="G51" s="73">
        <v>0</v>
      </c>
      <c r="J51" s="227">
        <v>92.8</v>
      </c>
      <c r="K51" s="73" t="s">
        <v>611</v>
      </c>
      <c r="L51" s="73">
        <v>4.5</v>
      </c>
      <c r="M51" s="73" t="s">
        <v>695</v>
      </c>
      <c r="N51" s="73">
        <v>3.99212551637806</v>
      </c>
      <c r="O51" s="73">
        <v>0</v>
      </c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</row>
    <row r="52" spans="2:33" x14ac:dyDescent="0.25">
      <c r="B52" s="227">
        <v>74.900000000000006</v>
      </c>
      <c r="C52" s="73" t="s">
        <v>672</v>
      </c>
      <c r="D52" s="73">
        <v>1</v>
      </c>
      <c r="E52" s="73" t="s">
        <v>695</v>
      </c>
      <c r="F52" s="73">
        <v>0.26527716213456098</v>
      </c>
      <c r="G52" s="73">
        <v>0</v>
      </c>
      <c r="J52" s="227">
        <v>51.6</v>
      </c>
      <c r="K52" s="73" t="s">
        <v>561</v>
      </c>
      <c r="L52" s="73">
        <v>1</v>
      </c>
      <c r="M52" s="73" t="s">
        <v>695</v>
      </c>
      <c r="N52" s="73">
        <v>2.2213305019390699</v>
      </c>
      <c r="O52" s="73">
        <v>0</v>
      </c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</row>
    <row r="53" spans="2:33" x14ac:dyDescent="0.25">
      <c r="B53" s="227">
        <v>66.099999999999994</v>
      </c>
      <c r="C53" s="73" t="s">
        <v>562</v>
      </c>
      <c r="D53" s="73">
        <v>3677.1139790000002</v>
      </c>
      <c r="E53" s="73" t="s">
        <v>696</v>
      </c>
      <c r="F53" s="73">
        <v>0.23409616032385</v>
      </c>
      <c r="G53" s="73">
        <v>2.17799873512944E-2</v>
      </c>
      <c r="J53" s="227">
        <v>45.3</v>
      </c>
      <c r="K53" s="73" t="s">
        <v>562</v>
      </c>
      <c r="L53" s="73">
        <v>30642.61649</v>
      </c>
      <c r="M53" s="73" t="s">
        <v>696</v>
      </c>
      <c r="N53" s="73">
        <v>1.95080122399686</v>
      </c>
      <c r="O53" s="73">
        <v>0.18149989458424801</v>
      </c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</row>
    <row r="54" spans="2:33" x14ac:dyDescent="0.25">
      <c r="B54" s="227">
        <v>8.81</v>
      </c>
      <c r="C54" s="73" t="s">
        <v>563</v>
      </c>
      <c r="D54" s="73">
        <v>782.38067490000003</v>
      </c>
      <c r="E54" s="73" t="s">
        <v>696</v>
      </c>
      <c r="F54" s="73">
        <v>3.1181010208666302E-2</v>
      </c>
      <c r="G54" s="73">
        <v>0</v>
      </c>
      <c r="J54" s="227">
        <v>6.29</v>
      </c>
      <c r="K54" s="73" t="s">
        <v>563</v>
      </c>
      <c r="L54" s="73">
        <v>6788.0066176800001</v>
      </c>
      <c r="M54" s="73" t="s">
        <v>696</v>
      </c>
      <c r="N54" s="73">
        <v>0.27052930494389399</v>
      </c>
      <c r="O54" s="73">
        <v>0</v>
      </c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</row>
    <row r="55" spans="2:33" x14ac:dyDescent="0.25">
      <c r="B55" s="227">
        <v>13.5</v>
      </c>
      <c r="C55" s="73" t="s">
        <v>566</v>
      </c>
      <c r="D55" s="73">
        <v>0.54955725799999999</v>
      </c>
      <c r="E55" s="73" t="s">
        <v>695</v>
      </c>
      <c r="F55" s="73">
        <v>4.7730266237895898E-2</v>
      </c>
      <c r="G55" s="73">
        <v>2.21579887213979E-2</v>
      </c>
      <c r="J55" s="227">
        <v>35.1</v>
      </c>
      <c r="K55" s="73" t="s">
        <v>564</v>
      </c>
      <c r="L55" s="73">
        <v>652.74790659999996</v>
      </c>
      <c r="M55" s="73" t="s">
        <v>695</v>
      </c>
      <c r="N55" s="73">
        <v>1.50889027698877</v>
      </c>
      <c r="O55" s="73">
        <v>0</v>
      </c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</row>
    <row r="56" spans="2:33" x14ac:dyDescent="0.25">
      <c r="B56" s="227">
        <v>1.85</v>
      </c>
      <c r="C56" s="73" t="s">
        <v>567</v>
      </c>
      <c r="D56" s="73">
        <v>3.5146662529166601</v>
      </c>
      <c r="E56" s="73" t="s">
        <v>698</v>
      </c>
      <c r="F56" s="73">
        <v>6.5392236689781301E-3</v>
      </c>
      <c r="G56" s="73">
        <v>0</v>
      </c>
      <c r="J56" s="227">
        <v>3.62</v>
      </c>
      <c r="K56" s="73" t="s">
        <v>566</v>
      </c>
      <c r="L56" s="73">
        <v>1.792</v>
      </c>
      <c r="M56" s="73" t="s">
        <v>695</v>
      </c>
      <c r="N56" s="73">
        <v>0.15563917215922199</v>
      </c>
      <c r="O56" s="73">
        <v>7.2252918528000004E-2</v>
      </c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</row>
    <row r="57" spans="2:33" x14ac:dyDescent="0.25">
      <c r="B57" s="227">
        <v>1.67</v>
      </c>
      <c r="C57" s="73" t="s">
        <v>569</v>
      </c>
      <c r="D57" s="73">
        <v>0.82779432399999997</v>
      </c>
      <c r="E57" s="73" t="s">
        <v>695</v>
      </c>
      <c r="F57" s="73">
        <v>5.9097026785055696E-3</v>
      </c>
      <c r="G57" s="73">
        <v>0</v>
      </c>
      <c r="J57" s="227">
        <v>1.34</v>
      </c>
      <c r="K57" s="73" t="s">
        <v>567</v>
      </c>
      <c r="L57" s="73">
        <v>30.9639541666666</v>
      </c>
      <c r="M57" s="73" t="s">
        <v>698</v>
      </c>
      <c r="N57" s="73">
        <v>5.7610084395520803E-2</v>
      </c>
      <c r="O57" s="73">
        <v>0</v>
      </c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</row>
    <row r="58" spans="2:33" x14ac:dyDescent="0.25">
      <c r="B58" s="227">
        <v>1.22</v>
      </c>
      <c r="C58" s="73" t="s">
        <v>568</v>
      </c>
      <c r="D58" s="73">
        <v>0.385207788</v>
      </c>
      <c r="E58" s="73" t="s">
        <v>695</v>
      </c>
      <c r="F58" s="73">
        <v>4.31117966458086E-3</v>
      </c>
      <c r="G58" s="73">
        <v>0</v>
      </c>
      <c r="J58" s="227">
        <v>0.45</v>
      </c>
      <c r="K58" s="73" t="s">
        <v>569</v>
      </c>
      <c r="L58" s="73">
        <v>2.6999499999999999</v>
      </c>
      <c r="M58" s="73" t="s">
        <v>695</v>
      </c>
      <c r="N58" s="73">
        <v>1.9275200701836501E-2</v>
      </c>
      <c r="O58" s="73">
        <v>0</v>
      </c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</row>
    <row r="59" spans="2:33" x14ac:dyDescent="0.25">
      <c r="B59" s="227">
        <v>0.99</v>
      </c>
      <c r="C59" s="73" t="s">
        <v>673</v>
      </c>
      <c r="D59" s="73">
        <v>1</v>
      </c>
      <c r="E59" s="73" t="s">
        <v>695</v>
      </c>
      <c r="F59" s="73">
        <v>3.5203470201059101E-3</v>
      </c>
      <c r="G59" s="73">
        <v>2.3584771385E-3</v>
      </c>
      <c r="J59" s="227">
        <v>0.33</v>
      </c>
      <c r="K59" s="73" t="s">
        <v>568</v>
      </c>
      <c r="L59" s="73">
        <v>1.2564</v>
      </c>
      <c r="M59" s="73" t="s">
        <v>695</v>
      </c>
      <c r="N59" s="73">
        <v>1.40614137407614E-2</v>
      </c>
      <c r="O59" s="73">
        <v>0</v>
      </c>
      <c r="Z59" s="229"/>
      <c r="AA59" s="229"/>
      <c r="AB59" s="229"/>
      <c r="AC59" s="229"/>
      <c r="AD59" s="229"/>
      <c r="AE59" s="229"/>
      <c r="AF59" s="229"/>
      <c r="AG59" s="229"/>
    </row>
    <row r="60" spans="2:33" x14ac:dyDescent="0.25">
      <c r="B60" s="227">
        <v>0.3</v>
      </c>
      <c r="C60" s="73" t="s">
        <v>570</v>
      </c>
      <c r="D60" s="73">
        <v>9.4932918000000005E-2</v>
      </c>
      <c r="E60" s="73" t="s">
        <v>695</v>
      </c>
      <c r="F60" s="73">
        <v>1.0657124849820601E-3</v>
      </c>
      <c r="G60" s="228">
        <v>1.0537553898E-6</v>
      </c>
      <c r="J60" s="227">
        <v>0.16</v>
      </c>
      <c r="K60" s="73" t="s">
        <v>572</v>
      </c>
      <c r="L60" s="73">
        <v>1</v>
      </c>
      <c r="M60" s="73" t="s">
        <v>712</v>
      </c>
      <c r="N60" s="73">
        <v>6.8104746352642201E-3</v>
      </c>
      <c r="O60" s="73">
        <v>4.4977100000000002E-3</v>
      </c>
      <c r="Z60" s="229"/>
      <c r="AA60" s="229"/>
      <c r="AB60" s="229"/>
      <c r="AC60" s="229"/>
      <c r="AD60" s="229"/>
      <c r="AE60" s="229"/>
      <c r="AF60" s="229"/>
      <c r="AG60" s="229"/>
    </row>
    <row r="61" spans="2:33" x14ac:dyDescent="0.25">
      <c r="B61" s="227">
        <v>0.24</v>
      </c>
      <c r="C61" s="73" t="s">
        <v>571</v>
      </c>
      <c r="D61" s="73">
        <v>660.43460000000005</v>
      </c>
      <c r="E61" s="73" t="s">
        <v>695</v>
      </c>
      <c r="F61" s="228">
        <v>8.4273609035266E-4</v>
      </c>
      <c r="G61" s="73">
        <v>0</v>
      </c>
      <c r="J61" s="227">
        <v>8.0799999999999997E-2</v>
      </c>
      <c r="K61" s="73" t="s">
        <v>570</v>
      </c>
      <c r="L61" s="73">
        <v>0.30963511799999999</v>
      </c>
      <c r="M61" s="73" t="s">
        <v>695</v>
      </c>
      <c r="N61" s="73">
        <v>3.47594933163199E-3</v>
      </c>
      <c r="O61" s="228">
        <v>3.4369498098E-6</v>
      </c>
      <c r="Z61" s="229"/>
      <c r="AA61" s="229"/>
      <c r="AB61" s="229"/>
      <c r="AC61" s="229"/>
      <c r="AD61" s="229"/>
      <c r="AE61" s="229"/>
      <c r="AF61" s="229"/>
      <c r="AG61" s="229"/>
    </row>
    <row r="62" spans="2:33" x14ac:dyDescent="0.25">
      <c r="B62" s="227">
        <v>0.19</v>
      </c>
      <c r="C62" s="73" t="s">
        <v>565</v>
      </c>
      <c r="D62" s="73">
        <v>6.0360003000000002E-2</v>
      </c>
      <c r="E62" s="73" t="s">
        <v>697</v>
      </c>
      <c r="F62" s="228">
        <v>6.7382149966697003E-4</v>
      </c>
      <c r="G62" s="73">
        <v>0</v>
      </c>
      <c r="J62" s="227">
        <v>6.59E-2</v>
      </c>
      <c r="K62" s="73" t="s">
        <v>571</v>
      </c>
      <c r="L62" s="73">
        <v>2221.4899999999998</v>
      </c>
      <c r="M62" s="73" t="s">
        <v>695</v>
      </c>
      <c r="N62" s="73">
        <v>2.8346936985626202E-3</v>
      </c>
      <c r="O62" s="73">
        <v>0</v>
      </c>
    </row>
    <row r="63" spans="2:33" x14ac:dyDescent="0.25">
      <c r="B63" s="227">
        <v>0</v>
      </c>
      <c r="C63" s="73" t="s">
        <v>573</v>
      </c>
      <c r="D63" s="73">
        <v>0.56209284400000004</v>
      </c>
      <c r="E63" s="73" t="s">
        <v>695</v>
      </c>
      <c r="F63" s="73">
        <v>0</v>
      </c>
      <c r="G63" s="73">
        <v>0</v>
      </c>
      <c r="J63" s="227">
        <v>5.11E-2</v>
      </c>
      <c r="K63" s="73" t="s">
        <v>565</v>
      </c>
      <c r="L63" s="73">
        <v>0.1968714</v>
      </c>
      <c r="M63" s="73" t="s">
        <v>697</v>
      </c>
      <c r="N63" s="73">
        <v>2.19774974265489E-3</v>
      </c>
      <c r="O63" s="73">
        <v>0</v>
      </c>
    </row>
    <row r="64" spans="2:33" x14ac:dyDescent="0.25">
      <c r="B64" s="227">
        <v>0</v>
      </c>
      <c r="C64" s="73" t="s">
        <v>700</v>
      </c>
      <c r="D64" s="73">
        <v>4.9277630529999996</v>
      </c>
      <c r="E64" s="73" t="s">
        <v>695</v>
      </c>
      <c r="F64" s="73">
        <v>0</v>
      </c>
      <c r="G64" s="73">
        <v>0</v>
      </c>
      <c r="J64" s="227">
        <v>6.9799999999999997E-12</v>
      </c>
      <c r="K64" s="73" t="s">
        <v>573</v>
      </c>
      <c r="L64" s="73">
        <v>1.8333333000000001</v>
      </c>
      <c r="M64" s="73" t="s">
        <v>695</v>
      </c>
      <c r="N64" s="228">
        <v>3.0038367009169799E-13</v>
      </c>
      <c r="O64" s="73">
        <v>0</v>
      </c>
    </row>
    <row r="65" spans="2:17" x14ac:dyDescent="0.25">
      <c r="B65" s="227">
        <v>0</v>
      </c>
      <c r="C65" s="73" t="s">
        <v>701</v>
      </c>
      <c r="D65" s="73">
        <v>36.984725920000002</v>
      </c>
      <c r="E65" s="73" t="s">
        <v>695</v>
      </c>
      <c r="F65" s="73">
        <v>0</v>
      </c>
      <c r="G65" s="73">
        <v>0</v>
      </c>
      <c r="J65" s="227">
        <v>0</v>
      </c>
      <c r="K65" s="73" t="s">
        <v>701</v>
      </c>
      <c r="L65" s="73">
        <v>120.6268649</v>
      </c>
      <c r="M65" s="73" t="s">
        <v>695</v>
      </c>
      <c r="N65" s="73">
        <v>0</v>
      </c>
      <c r="O65" s="73">
        <v>0</v>
      </c>
    </row>
    <row r="66" spans="2:17" x14ac:dyDescent="0.25">
      <c r="B66" s="227">
        <v>0</v>
      </c>
      <c r="C66" s="73" t="s">
        <v>699</v>
      </c>
      <c r="D66" s="73">
        <v>5.2176314680000004</v>
      </c>
      <c r="E66" s="73" t="s">
        <v>695</v>
      </c>
      <c r="F66" s="73">
        <v>0</v>
      </c>
      <c r="G66" s="73">
        <v>0</v>
      </c>
      <c r="J66" s="227">
        <v>0</v>
      </c>
      <c r="K66" s="73" t="s">
        <v>700</v>
      </c>
      <c r="L66" s="73">
        <v>16.081218310000001</v>
      </c>
      <c r="M66" s="73" t="s">
        <v>695</v>
      </c>
      <c r="N66" s="73">
        <v>0</v>
      </c>
      <c r="O66" s="73">
        <v>0</v>
      </c>
    </row>
    <row r="67" spans="2:17" x14ac:dyDescent="0.25">
      <c r="B67" s="227">
        <v>5.12</v>
      </c>
      <c r="C67" s="73" t="s">
        <v>674</v>
      </c>
      <c r="D67" s="73">
        <v>1</v>
      </c>
      <c r="E67" s="73" t="s">
        <v>695</v>
      </c>
      <c r="F67" s="73">
        <v>1.8113455213156798E-2</v>
      </c>
      <c r="G67" s="73">
        <v>0</v>
      </c>
      <c r="J67" s="227">
        <v>0</v>
      </c>
      <c r="K67" s="73" t="s">
        <v>699</v>
      </c>
      <c r="L67" s="73">
        <v>17.021100000000001</v>
      </c>
      <c r="M67" s="73" t="s">
        <v>695</v>
      </c>
      <c r="N67" s="73">
        <v>0</v>
      </c>
      <c r="O67" s="73">
        <v>0</v>
      </c>
    </row>
    <row r="68" spans="2:17" x14ac:dyDescent="0.25">
      <c r="J68" s="227">
        <v>7.23</v>
      </c>
      <c r="K68" s="73" t="s">
        <v>713</v>
      </c>
      <c r="L68" s="73">
        <v>1</v>
      </c>
      <c r="M68" s="73" t="s">
        <v>695</v>
      </c>
      <c r="N68" s="73">
        <v>0.31113549324272599</v>
      </c>
      <c r="O68" s="73">
        <v>0</v>
      </c>
    </row>
    <row r="70" spans="2:17" ht="15.75" thickBot="1" x14ac:dyDescent="0.3"/>
    <row r="71" spans="2:17" x14ac:dyDescent="0.25">
      <c r="B71" s="224" t="s">
        <v>675</v>
      </c>
      <c r="C71" s="225"/>
      <c r="D71" s="225"/>
      <c r="E71" s="225"/>
      <c r="F71" s="225"/>
      <c r="G71" s="225"/>
      <c r="H71" s="225"/>
      <c r="I71" s="226"/>
      <c r="J71" s="224" t="s">
        <v>714</v>
      </c>
      <c r="K71" s="225"/>
      <c r="L71" s="225"/>
      <c r="M71" s="225"/>
      <c r="N71" s="225"/>
      <c r="O71" s="225"/>
      <c r="P71" s="225"/>
      <c r="Q71" s="226"/>
    </row>
    <row r="72" spans="2:17" x14ac:dyDescent="0.25">
      <c r="B72" s="73" t="s">
        <v>693</v>
      </c>
      <c r="C72" s="73" t="s">
        <v>106</v>
      </c>
      <c r="D72" s="73" t="s">
        <v>694</v>
      </c>
      <c r="E72" s="73" t="s">
        <v>557</v>
      </c>
      <c r="F72" s="73" t="s">
        <v>710</v>
      </c>
      <c r="G72" s="73" t="s">
        <v>711</v>
      </c>
      <c r="I72" s="73" t="s">
        <v>693</v>
      </c>
      <c r="J72" s="73" t="s">
        <v>106</v>
      </c>
      <c r="K72" s="73" t="s">
        <v>694</v>
      </c>
      <c r="L72" s="73" t="s">
        <v>557</v>
      </c>
      <c r="M72" s="73" t="s">
        <v>710</v>
      </c>
      <c r="N72" s="73" t="s">
        <v>711</v>
      </c>
    </row>
    <row r="73" spans="2:17" x14ac:dyDescent="0.25">
      <c r="B73" s="227">
        <v>100</v>
      </c>
      <c r="C73" s="73" t="s">
        <v>669</v>
      </c>
      <c r="D73" s="73">
        <v>1</v>
      </c>
      <c r="E73" s="73" t="s">
        <v>695</v>
      </c>
      <c r="F73" s="73">
        <v>140.53336375851501</v>
      </c>
      <c r="G73" s="73">
        <v>0</v>
      </c>
      <c r="I73" s="227">
        <v>100</v>
      </c>
      <c r="J73" s="73" t="s">
        <v>558</v>
      </c>
      <c r="K73" s="73">
        <v>1</v>
      </c>
      <c r="L73" s="73" t="s">
        <v>695</v>
      </c>
      <c r="M73" s="73">
        <v>1284.5132282066099</v>
      </c>
      <c r="N73" s="73">
        <v>0</v>
      </c>
    </row>
    <row r="74" spans="2:17" x14ac:dyDescent="0.25">
      <c r="B74" s="227">
        <v>98.7</v>
      </c>
      <c r="C74" s="73" t="s">
        <v>670</v>
      </c>
      <c r="D74" s="73">
        <v>1</v>
      </c>
      <c r="E74" s="73" t="s">
        <v>695</v>
      </c>
      <c r="F74" s="73">
        <v>138.64085102692499</v>
      </c>
      <c r="G74" s="73">
        <v>0</v>
      </c>
      <c r="I74" s="227">
        <v>98.7</v>
      </c>
      <c r="J74" s="73" t="s">
        <v>560</v>
      </c>
      <c r="K74" s="73">
        <v>1</v>
      </c>
      <c r="L74" s="73" t="s">
        <v>695</v>
      </c>
      <c r="M74" s="73">
        <v>1267.88149753179</v>
      </c>
      <c r="N74" s="73">
        <v>0</v>
      </c>
    </row>
    <row r="75" spans="2:17" x14ac:dyDescent="0.25">
      <c r="B75" s="227">
        <v>98.7</v>
      </c>
      <c r="C75" s="73" t="s">
        <v>671</v>
      </c>
      <c r="D75" s="73">
        <v>4.5</v>
      </c>
      <c r="E75" s="73" t="s">
        <v>695</v>
      </c>
      <c r="F75" s="73">
        <v>138.640851026886</v>
      </c>
      <c r="G75" s="73">
        <v>0</v>
      </c>
      <c r="I75" s="227">
        <v>98.7</v>
      </c>
      <c r="J75" s="73" t="s">
        <v>611</v>
      </c>
      <c r="K75" s="73">
        <v>4.5</v>
      </c>
      <c r="L75" s="73" t="s">
        <v>695</v>
      </c>
      <c r="M75" s="73">
        <v>1267.8814975401599</v>
      </c>
      <c r="N75" s="73">
        <v>0</v>
      </c>
    </row>
    <row r="76" spans="2:17" x14ac:dyDescent="0.25">
      <c r="B76" s="227">
        <v>96.3</v>
      </c>
      <c r="C76" s="73" t="s">
        <v>672</v>
      </c>
      <c r="D76" s="73">
        <v>1</v>
      </c>
      <c r="E76" s="73" t="s">
        <v>695</v>
      </c>
      <c r="F76" s="73">
        <v>135.342412376331</v>
      </c>
      <c r="G76" s="73">
        <v>0</v>
      </c>
      <c r="I76" s="227">
        <v>88</v>
      </c>
      <c r="J76" s="73" t="s">
        <v>561</v>
      </c>
      <c r="K76" s="73">
        <v>1</v>
      </c>
      <c r="L76" s="73" t="s">
        <v>695</v>
      </c>
      <c r="M76" s="73">
        <v>1129.99861370906</v>
      </c>
      <c r="N76" s="73">
        <v>0</v>
      </c>
    </row>
    <row r="77" spans="2:17" x14ac:dyDescent="0.25">
      <c r="B77" s="227">
        <v>91.9</v>
      </c>
      <c r="C77" s="73" t="s">
        <v>562</v>
      </c>
      <c r="D77" s="73">
        <v>3677.1139790000002</v>
      </c>
      <c r="E77" s="73" t="s">
        <v>696</v>
      </c>
      <c r="F77" s="73">
        <v>129.08384061199601</v>
      </c>
      <c r="G77" s="73">
        <v>0</v>
      </c>
      <c r="I77" s="227">
        <v>83.7</v>
      </c>
      <c r="J77" s="73" t="s">
        <v>562</v>
      </c>
      <c r="K77" s="73">
        <v>30642.61649</v>
      </c>
      <c r="L77" s="73" t="s">
        <v>696</v>
      </c>
      <c r="M77" s="73">
        <v>1075.69866892397</v>
      </c>
      <c r="N77" s="73">
        <v>0</v>
      </c>
    </row>
    <row r="78" spans="2:17" x14ac:dyDescent="0.25">
      <c r="B78" s="227">
        <v>4.45</v>
      </c>
      <c r="C78" s="73" t="s">
        <v>563</v>
      </c>
      <c r="D78" s="73">
        <v>782.38067490000003</v>
      </c>
      <c r="E78" s="73" t="s">
        <v>696</v>
      </c>
      <c r="F78" s="73">
        <v>6.25857201295773</v>
      </c>
      <c r="G78" s="73">
        <v>0</v>
      </c>
      <c r="I78" s="227">
        <v>4.2300000000000004</v>
      </c>
      <c r="J78" s="73" t="s">
        <v>563</v>
      </c>
      <c r="K78" s="73">
        <v>6788.0066176800001</v>
      </c>
      <c r="L78" s="73" t="s">
        <v>696</v>
      </c>
      <c r="M78" s="73">
        <v>54.299945817411803</v>
      </c>
      <c r="N78" s="73">
        <v>0</v>
      </c>
    </row>
    <row r="79" spans="2:17" x14ac:dyDescent="0.25">
      <c r="B79" s="227">
        <v>1.54</v>
      </c>
      <c r="C79" s="73" t="s">
        <v>566</v>
      </c>
      <c r="D79" s="73">
        <v>0.54955725799999999</v>
      </c>
      <c r="E79" s="73" t="s">
        <v>695</v>
      </c>
      <c r="F79" s="73">
        <v>2.1572610523470899</v>
      </c>
      <c r="G79" s="73">
        <v>0</v>
      </c>
      <c r="I79" s="227">
        <v>9.69</v>
      </c>
      <c r="J79" s="73" t="s">
        <v>564</v>
      </c>
      <c r="K79" s="73">
        <v>652.74790659999996</v>
      </c>
      <c r="L79" s="73" t="s">
        <v>695</v>
      </c>
      <c r="M79" s="73">
        <v>124.40600862549699</v>
      </c>
      <c r="N79" s="73">
        <v>0</v>
      </c>
    </row>
    <row r="80" spans="2:17" x14ac:dyDescent="0.25">
      <c r="B80" s="227">
        <v>0.36</v>
      </c>
      <c r="C80" s="73" t="s">
        <v>567</v>
      </c>
      <c r="D80" s="73">
        <v>3.5146662529166601</v>
      </c>
      <c r="E80" s="73" t="s">
        <v>698</v>
      </c>
      <c r="F80" s="73">
        <v>0.50650745890191795</v>
      </c>
      <c r="G80" s="73">
        <v>0</v>
      </c>
      <c r="I80" s="227">
        <v>0.55000000000000004</v>
      </c>
      <c r="J80" s="73" t="s">
        <v>566</v>
      </c>
      <c r="K80" s="73">
        <v>1.792</v>
      </c>
      <c r="L80" s="73" t="s">
        <v>695</v>
      </c>
      <c r="M80" s="73">
        <v>7.0344113175443503</v>
      </c>
      <c r="N80" s="73">
        <v>0</v>
      </c>
    </row>
    <row r="81" spans="2:17" x14ac:dyDescent="0.25">
      <c r="B81" s="227">
        <v>0.17</v>
      </c>
      <c r="C81" s="73" t="s">
        <v>569</v>
      </c>
      <c r="D81" s="73">
        <v>0.82779432399999997</v>
      </c>
      <c r="E81" s="73" t="s">
        <v>695</v>
      </c>
      <c r="F81" s="73">
        <v>0.244651358532635</v>
      </c>
      <c r="G81" s="73">
        <v>0</v>
      </c>
      <c r="I81" s="227">
        <v>0.35</v>
      </c>
      <c r="J81" s="73" t="s">
        <v>567</v>
      </c>
      <c r="K81" s="73">
        <v>30.9639541666666</v>
      </c>
      <c r="L81" s="73" t="s">
        <v>698</v>
      </c>
      <c r="M81" s="73">
        <v>4.4622938758170996</v>
      </c>
      <c r="N81" s="73">
        <v>0</v>
      </c>
    </row>
    <row r="82" spans="2:17" x14ac:dyDescent="0.25">
      <c r="B82" s="227">
        <v>0.13</v>
      </c>
      <c r="C82" s="73" t="s">
        <v>568</v>
      </c>
      <c r="D82" s="73">
        <v>0.385207788</v>
      </c>
      <c r="E82" s="73" t="s">
        <v>695</v>
      </c>
      <c r="F82" s="73">
        <v>0.18160525053945001</v>
      </c>
      <c r="G82" s="73">
        <v>0</v>
      </c>
      <c r="I82" s="227">
        <v>6.2100000000000002E-2</v>
      </c>
      <c r="J82" s="73" t="s">
        <v>569</v>
      </c>
      <c r="K82" s="73">
        <v>2.6999499999999999</v>
      </c>
      <c r="L82" s="73" t="s">
        <v>695</v>
      </c>
      <c r="M82" s="73">
        <v>0.79795960916875897</v>
      </c>
      <c r="N82" s="73">
        <v>0</v>
      </c>
    </row>
    <row r="83" spans="2:17" x14ac:dyDescent="0.25">
      <c r="B83" s="227">
        <v>5.45E-2</v>
      </c>
      <c r="C83" s="73" t="s">
        <v>673</v>
      </c>
      <c r="D83" s="73">
        <v>1</v>
      </c>
      <c r="E83" s="73" t="s">
        <v>695</v>
      </c>
      <c r="F83" s="73">
        <v>7.6560359953357596E-2</v>
      </c>
      <c r="G83" s="73">
        <v>0</v>
      </c>
      <c r="I83" s="227">
        <v>4.6100000000000002E-2</v>
      </c>
      <c r="J83" s="73" t="s">
        <v>568</v>
      </c>
      <c r="K83" s="73">
        <v>1.2564</v>
      </c>
      <c r="L83" s="73" t="s">
        <v>695</v>
      </c>
      <c r="M83" s="73">
        <v>0.59232664182633299</v>
      </c>
      <c r="N83" s="73">
        <v>0</v>
      </c>
    </row>
    <row r="84" spans="2:17" x14ac:dyDescent="0.25">
      <c r="B84" s="227">
        <v>5.0099999999999999E-2</v>
      </c>
      <c r="C84" s="73" t="s">
        <v>571</v>
      </c>
      <c r="D84" s="73">
        <v>660.43460000000005</v>
      </c>
      <c r="E84" s="73" t="s">
        <v>695</v>
      </c>
      <c r="F84" s="73">
        <v>7.0383231670871793E-2</v>
      </c>
      <c r="G84" s="73">
        <v>0</v>
      </c>
      <c r="I84" s="227">
        <v>1.84E-2</v>
      </c>
      <c r="J84" s="73" t="s">
        <v>571</v>
      </c>
      <c r="K84" s="73">
        <v>2221.4899999999998</v>
      </c>
      <c r="L84" s="73" t="s">
        <v>695</v>
      </c>
      <c r="M84" s="73">
        <v>0.236746598655205</v>
      </c>
      <c r="N84" s="73">
        <v>0</v>
      </c>
    </row>
    <row r="85" spans="2:17" x14ac:dyDescent="0.25">
      <c r="B85" s="227">
        <v>2.6100000000000002E-2</v>
      </c>
      <c r="C85" s="73" t="s">
        <v>565</v>
      </c>
      <c r="D85" s="73">
        <v>6.0360003000000002E-2</v>
      </c>
      <c r="E85" s="73" t="s">
        <v>697</v>
      </c>
      <c r="F85" s="73">
        <v>3.6665224570202298E-2</v>
      </c>
      <c r="G85" s="73">
        <v>0</v>
      </c>
      <c r="I85" s="227">
        <v>1.1900000000000001E-2</v>
      </c>
      <c r="J85" s="73" t="s">
        <v>572</v>
      </c>
      <c r="K85" s="73">
        <v>1</v>
      </c>
      <c r="L85" s="73" t="s">
        <v>712</v>
      </c>
      <c r="M85" s="73">
        <v>0.152645594479631</v>
      </c>
      <c r="N85" s="73">
        <v>0</v>
      </c>
    </row>
    <row r="86" spans="2:17" x14ac:dyDescent="0.25">
      <c r="B86" s="227">
        <v>1.77E-2</v>
      </c>
      <c r="C86" s="73" t="s">
        <v>570</v>
      </c>
      <c r="D86" s="73">
        <v>9.4932918000000005E-2</v>
      </c>
      <c r="E86" s="73" t="s">
        <v>695</v>
      </c>
      <c r="F86" s="73">
        <v>2.4804710683336301E-2</v>
      </c>
      <c r="G86" s="73">
        <v>0</v>
      </c>
      <c r="I86" s="227">
        <v>9.3100000000000006E-3</v>
      </c>
      <c r="J86" s="73" t="s">
        <v>565</v>
      </c>
      <c r="K86" s="73">
        <v>0.1968714</v>
      </c>
      <c r="L86" s="73" t="s">
        <v>697</v>
      </c>
      <c r="M86" s="73">
        <v>0.119588033687258</v>
      </c>
      <c r="N86" s="73">
        <v>0</v>
      </c>
    </row>
    <row r="87" spans="2:17" x14ac:dyDescent="0.25">
      <c r="B87" s="227">
        <v>0</v>
      </c>
      <c r="C87" s="73" t="s">
        <v>573</v>
      </c>
      <c r="D87" s="73">
        <v>0.56209284400000004</v>
      </c>
      <c r="E87" s="73" t="s">
        <v>695</v>
      </c>
      <c r="F87" s="73">
        <v>0</v>
      </c>
      <c r="G87" s="73">
        <v>0</v>
      </c>
      <c r="I87" s="227">
        <v>6.3E-3</v>
      </c>
      <c r="J87" s="73" t="s">
        <v>570</v>
      </c>
      <c r="K87" s="73">
        <v>0.30963511799999999</v>
      </c>
      <c r="L87" s="73" t="s">
        <v>695</v>
      </c>
      <c r="M87" s="73">
        <v>8.0903544570119501E-2</v>
      </c>
      <c r="N87" s="73">
        <v>0</v>
      </c>
    </row>
    <row r="88" spans="2:17" x14ac:dyDescent="0.25">
      <c r="B88" s="227">
        <v>0</v>
      </c>
      <c r="C88" s="73" t="s">
        <v>700</v>
      </c>
      <c r="D88" s="73">
        <v>4.9277630529999996</v>
      </c>
      <c r="E88" s="73" t="s">
        <v>695</v>
      </c>
      <c r="F88" s="73">
        <v>0</v>
      </c>
      <c r="G88" s="73">
        <v>0</v>
      </c>
      <c r="I88" s="227">
        <v>1.1499999999999999E-12</v>
      </c>
      <c r="J88" s="73" t="s">
        <v>573</v>
      </c>
      <c r="K88" s="73">
        <v>1.8333333000000001</v>
      </c>
      <c r="L88" s="73" t="s">
        <v>695</v>
      </c>
      <c r="M88" s="228">
        <v>1.47465940700021E-11</v>
      </c>
      <c r="N88" s="73">
        <v>0</v>
      </c>
    </row>
    <row r="89" spans="2:17" x14ac:dyDescent="0.25">
      <c r="B89" s="227">
        <v>0</v>
      </c>
      <c r="C89" s="73" t="s">
        <v>701</v>
      </c>
      <c r="D89" s="73">
        <v>36.984725920000002</v>
      </c>
      <c r="E89" s="73" t="s">
        <v>695</v>
      </c>
      <c r="F89" s="73">
        <v>0</v>
      </c>
      <c r="G89" s="73">
        <v>0</v>
      </c>
      <c r="I89" s="227">
        <v>0</v>
      </c>
      <c r="J89" s="73" t="s">
        <v>701</v>
      </c>
      <c r="K89" s="73">
        <v>120.6268649</v>
      </c>
      <c r="L89" s="73" t="s">
        <v>695</v>
      </c>
      <c r="M89" s="73">
        <v>0</v>
      </c>
      <c r="N89" s="73">
        <v>0</v>
      </c>
    </row>
    <row r="90" spans="2:17" x14ac:dyDescent="0.25">
      <c r="B90" s="227">
        <v>0</v>
      </c>
      <c r="C90" s="73" t="s">
        <v>699</v>
      </c>
      <c r="D90" s="73">
        <v>5.2176314680000004</v>
      </c>
      <c r="E90" s="73" t="s">
        <v>695</v>
      </c>
      <c r="F90" s="73">
        <v>0</v>
      </c>
      <c r="G90" s="73">
        <v>0</v>
      </c>
      <c r="I90" s="227">
        <v>0</v>
      </c>
      <c r="J90" s="73" t="s">
        <v>700</v>
      </c>
      <c r="K90" s="73">
        <v>16.081218310000001</v>
      </c>
      <c r="L90" s="73" t="s">
        <v>695</v>
      </c>
      <c r="M90" s="73">
        <v>0</v>
      </c>
      <c r="N90" s="73">
        <v>0</v>
      </c>
    </row>
    <row r="91" spans="2:17" x14ac:dyDescent="0.25">
      <c r="B91" s="227">
        <v>1.35</v>
      </c>
      <c r="C91" s="73" t="s">
        <v>674</v>
      </c>
      <c r="D91" s="73">
        <v>1</v>
      </c>
      <c r="E91" s="73" t="s">
        <v>695</v>
      </c>
      <c r="F91" s="73">
        <v>1.8925127317586199</v>
      </c>
      <c r="G91" s="73">
        <v>0</v>
      </c>
      <c r="I91" s="227">
        <v>0</v>
      </c>
      <c r="J91" s="73" t="s">
        <v>699</v>
      </c>
      <c r="K91" s="73">
        <v>17.021100000000001</v>
      </c>
      <c r="L91" s="73" t="s">
        <v>695</v>
      </c>
      <c r="M91" s="73">
        <v>0</v>
      </c>
      <c r="N91" s="73">
        <v>0</v>
      </c>
    </row>
    <row r="92" spans="2:17" ht="15.75" thickBot="1" x14ac:dyDescent="0.3">
      <c r="J92" s="73" t="s">
        <v>713</v>
      </c>
      <c r="K92" s="73">
        <v>1</v>
      </c>
      <c r="L92" s="73" t="s">
        <v>695</v>
      </c>
      <c r="M92" s="73">
        <v>16.6317306685287</v>
      </c>
      <c r="N92" s="73">
        <v>0</v>
      </c>
    </row>
    <row r="93" spans="2:17" x14ac:dyDescent="0.25">
      <c r="B93" s="224" t="s">
        <v>723</v>
      </c>
      <c r="C93" s="225"/>
      <c r="D93" s="225"/>
      <c r="E93" s="225"/>
      <c r="F93" s="225"/>
      <c r="G93" s="225"/>
      <c r="H93" s="225"/>
      <c r="I93" s="226"/>
      <c r="J93" s="224" t="s">
        <v>724</v>
      </c>
      <c r="K93" s="225"/>
      <c r="L93" s="225"/>
      <c r="M93" s="225"/>
      <c r="N93" s="225"/>
      <c r="O93" s="225"/>
      <c r="P93" s="225"/>
      <c r="Q93" s="226"/>
    </row>
    <row r="94" spans="2:17" x14ac:dyDescent="0.25">
      <c r="B94" s="73" t="s">
        <v>693</v>
      </c>
      <c r="C94" s="73" t="s">
        <v>106</v>
      </c>
      <c r="D94" s="73" t="s">
        <v>694</v>
      </c>
      <c r="E94" s="73" t="s">
        <v>557</v>
      </c>
      <c r="F94" s="73" t="s">
        <v>721</v>
      </c>
      <c r="G94" s="73" t="s">
        <v>722</v>
      </c>
      <c r="J94" s="73" t="s">
        <v>693</v>
      </c>
      <c r="K94" s="73" t="s">
        <v>106</v>
      </c>
      <c r="L94" s="73" t="s">
        <v>694</v>
      </c>
      <c r="M94" s="73" t="s">
        <v>557</v>
      </c>
      <c r="N94" s="73" t="s">
        <v>721</v>
      </c>
      <c r="O94" s="73" t="s">
        <v>722</v>
      </c>
    </row>
    <row r="95" spans="2:17" x14ac:dyDescent="0.25">
      <c r="B95" s="227">
        <v>100</v>
      </c>
      <c r="C95" s="73" t="s">
        <v>669</v>
      </c>
      <c r="D95" s="73">
        <v>1</v>
      </c>
      <c r="E95" s="73" t="s">
        <v>695</v>
      </c>
      <c r="F95" s="73">
        <v>2.2402226652424299E-2</v>
      </c>
      <c r="G95" s="73">
        <v>0</v>
      </c>
      <c r="J95" s="227">
        <v>100</v>
      </c>
      <c r="K95" s="73" t="s">
        <v>558</v>
      </c>
      <c r="L95" s="73">
        <v>1</v>
      </c>
      <c r="M95" s="73" t="s">
        <v>695</v>
      </c>
      <c r="N95" s="73">
        <v>0.25676114036228098</v>
      </c>
      <c r="O95" s="73">
        <v>0</v>
      </c>
    </row>
    <row r="96" spans="2:17" x14ac:dyDescent="0.25">
      <c r="B96" s="227">
        <v>96.6</v>
      </c>
      <c r="C96" s="73" t="s">
        <v>670</v>
      </c>
      <c r="D96" s="73">
        <v>1</v>
      </c>
      <c r="E96" s="73" t="s">
        <v>695</v>
      </c>
      <c r="F96" s="73">
        <v>2.1642880351345199E-2</v>
      </c>
      <c r="G96" s="73">
        <v>0</v>
      </c>
      <c r="J96" s="227">
        <v>97.6</v>
      </c>
      <c r="K96" s="73" t="s">
        <v>560</v>
      </c>
      <c r="L96" s="73">
        <v>1</v>
      </c>
      <c r="M96" s="73" t="s">
        <v>695</v>
      </c>
      <c r="N96" s="73">
        <v>0.25068097191838201</v>
      </c>
      <c r="O96" s="73">
        <v>0</v>
      </c>
    </row>
    <row r="97" spans="2:15" x14ac:dyDescent="0.25">
      <c r="B97" s="227">
        <v>96.6</v>
      </c>
      <c r="C97" s="73" t="s">
        <v>671</v>
      </c>
      <c r="D97" s="73">
        <v>4.5</v>
      </c>
      <c r="E97" s="73" t="s">
        <v>695</v>
      </c>
      <c r="F97" s="73">
        <v>2.1642880349733599E-2</v>
      </c>
      <c r="G97" s="73">
        <v>0</v>
      </c>
      <c r="J97" s="227">
        <v>97.6</v>
      </c>
      <c r="K97" s="73" t="s">
        <v>611</v>
      </c>
      <c r="L97" s="73">
        <v>4.5</v>
      </c>
      <c r="M97" s="73" t="s">
        <v>695</v>
      </c>
      <c r="N97" s="73">
        <v>0.250680971934923</v>
      </c>
      <c r="O97" s="73">
        <v>0</v>
      </c>
    </row>
    <row r="98" spans="2:15" x14ac:dyDescent="0.25">
      <c r="B98" s="227">
        <v>45.1</v>
      </c>
      <c r="C98" s="73" t="s">
        <v>568</v>
      </c>
      <c r="D98" s="73">
        <v>0.385207788</v>
      </c>
      <c r="E98" s="73" t="s">
        <v>695</v>
      </c>
      <c r="F98" s="73">
        <v>1.01086949991927E-2</v>
      </c>
      <c r="G98" s="73">
        <v>0</v>
      </c>
      <c r="J98" s="227">
        <v>54.4</v>
      </c>
      <c r="K98" s="73" t="s">
        <v>564</v>
      </c>
      <c r="L98" s="73">
        <v>652.74790659999996</v>
      </c>
      <c r="M98" s="73" t="s">
        <v>695</v>
      </c>
      <c r="N98" s="73">
        <v>0.13974464513944901</v>
      </c>
      <c r="O98" s="73">
        <v>0</v>
      </c>
    </row>
    <row r="99" spans="2:15" x14ac:dyDescent="0.25">
      <c r="B99" s="227">
        <v>32</v>
      </c>
      <c r="C99" s="73" t="s">
        <v>672</v>
      </c>
      <c r="D99" s="73">
        <v>1</v>
      </c>
      <c r="E99" s="73" t="s">
        <v>695</v>
      </c>
      <c r="F99" s="73">
        <v>7.1651911124498103E-3</v>
      </c>
      <c r="G99" s="73">
        <v>0</v>
      </c>
      <c r="J99" s="227">
        <v>23.3</v>
      </c>
      <c r="K99" s="73" t="s">
        <v>561</v>
      </c>
      <c r="L99" s="73">
        <v>1</v>
      </c>
      <c r="M99" s="73" t="s">
        <v>695</v>
      </c>
      <c r="N99" s="73">
        <v>5.9918662657970398E-2</v>
      </c>
      <c r="O99" s="73">
        <v>0</v>
      </c>
    </row>
    <row r="100" spans="2:15" x14ac:dyDescent="0.25">
      <c r="B100" s="227">
        <v>13.4</v>
      </c>
      <c r="C100" s="73" t="s">
        <v>566</v>
      </c>
      <c r="D100" s="73">
        <v>0.54955725799999999</v>
      </c>
      <c r="E100" s="73" t="s">
        <v>695</v>
      </c>
      <c r="F100" s="73">
        <v>3.0039183489372501E-3</v>
      </c>
      <c r="G100" s="73">
        <v>1.1573780269359E-3</v>
      </c>
      <c r="J100" s="227">
        <v>21.3</v>
      </c>
      <c r="K100" s="73" t="s">
        <v>562</v>
      </c>
      <c r="L100" s="73">
        <v>30642.61649</v>
      </c>
      <c r="M100" s="73" t="s">
        <v>696</v>
      </c>
      <c r="N100" s="73">
        <v>5.4634780605070501E-2</v>
      </c>
      <c r="O100" s="73">
        <v>0</v>
      </c>
    </row>
    <row r="101" spans="2:15" x14ac:dyDescent="0.25">
      <c r="B101" s="227">
        <v>3.23</v>
      </c>
      <c r="C101" s="73" t="s">
        <v>567</v>
      </c>
      <c r="D101" s="73">
        <v>3.5146662529166601</v>
      </c>
      <c r="E101" s="73" t="s">
        <v>698</v>
      </c>
      <c r="F101" s="228">
        <v>7.2412614822209601E-4</v>
      </c>
      <c r="G101" s="73">
        <v>0</v>
      </c>
      <c r="J101" s="227">
        <v>2.06</v>
      </c>
      <c r="K101" s="73" t="s">
        <v>563</v>
      </c>
      <c r="L101" s="73">
        <v>6788.0066176800001</v>
      </c>
      <c r="M101" s="73" t="s">
        <v>696</v>
      </c>
      <c r="N101" s="73">
        <v>5.2838857529661498E-3</v>
      </c>
      <c r="O101" s="73">
        <v>0</v>
      </c>
    </row>
    <row r="102" spans="2:15" x14ac:dyDescent="0.25">
      <c r="B102" s="227">
        <v>1.25</v>
      </c>
      <c r="C102" s="73" t="s">
        <v>569</v>
      </c>
      <c r="D102" s="73">
        <v>0.82779432399999997</v>
      </c>
      <c r="E102" s="73" t="s">
        <v>695</v>
      </c>
      <c r="F102" s="228">
        <v>2.7996973704521103E-4</v>
      </c>
      <c r="G102" s="73">
        <v>0</v>
      </c>
      <c r="J102" s="227">
        <v>12.8</v>
      </c>
      <c r="K102" s="73" t="s">
        <v>568</v>
      </c>
      <c r="L102" s="73">
        <v>1.2564</v>
      </c>
      <c r="M102" s="73" t="s">
        <v>695</v>
      </c>
      <c r="N102" s="73">
        <v>3.2970684360927503E-2</v>
      </c>
      <c r="O102" s="73">
        <v>0</v>
      </c>
    </row>
    <row r="103" spans="2:15" x14ac:dyDescent="0.25">
      <c r="B103" s="227">
        <v>0.8</v>
      </c>
      <c r="C103" s="73" t="s">
        <v>673</v>
      </c>
      <c r="D103" s="73">
        <v>1</v>
      </c>
      <c r="E103" s="73" t="s">
        <v>695</v>
      </c>
      <c r="F103" s="228">
        <v>1.7847074479471699E-4</v>
      </c>
      <c r="G103" s="228">
        <v>1.0006681574999999E-4</v>
      </c>
      <c r="J103" s="227">
        <v>3.81</v>
      </c>
      <c r="K103" s="73" t="s">
        <v>566</v>
      </c>
      <c r="L103" s="73">
        <v>1.792</v>
      </c>
      <c r="M103" s="73" t="s">
        <v>695</v>
      </c>
      <c r="N103" s="73">
        <v>9.7951970797187492E-3</v>
      </c>
      <c r="O103" s="73">
        <v>3.7739860479999998E-3</v>
      </c>
    </row>
    <row r="104" spans="2:15" x14ac:dyDescent="0.25">
      <c r="B104" s="227">
        <v>0.6</v>
      </c>
      <c r="C104" s="73" t="s">
        <v>571</v>
      </c>
      <c r="D104" s="73">
        <v>660.43460000000005</v>
      </c>
      <c r="E104" s="73" t="s">
        <v>695</v>
      </c>
      <c r="F104" s="228">
        <v>1.3414914491733699E-4</v>
      </c>
      <c r="G104" s="73">
        <v>0</v>
      </c>
      <c r="J104" s="227">
        <v>2.48</v>
      </c>
      <c r="K104" s="73" t="s">
        <v>567</v>
      </c>
      <c r="L104" s="73">
        <v>30.9639541666666</v>
      </c>
      <c r="M104" s="73" t="s">
        <v>698</v>
      </c>
      <c r="N104" s="73">
        <v>6.37949866111737E-3</v>
      </c>
      <c r="O104" s="73">
        <v>0</v>
      </c>
    </row>
    <row r="105" spans="2:15" x14ac:dyDescent="0.25">
      <c r="B105" s="227">
        <v>0.17</v>
      </c>
      <c r="C105" s="73" t="s">
        <v>570</v>
      </c>
      <c r="D105" s="73">
        <v>9.4932918000000005E-2</v>
      </c>
      <c r="E105" s="73" t="s">
        <v>695</v>
      </c>
      <c r="F105" s="228">
        <v>3.9028549363241597E-5</v>
      </c>
      <c r="G105" s="73">
        <v>0</v>
      </c>
      <c r="J105" s="227">
        <v>0.36</v>
      </c>
      <c r="K105" s="73" t="s">
        <v>569</v>
      </c>
      <c r="L105" s="73">
        <v>2.6999499999999999</v>
      </c>
      <c r="M105" s="73" t="s">
        <v>695</v>
      </c>
      <c r="N105" s="228">
        <v>9.1315471541920598E-4</v>
      </c>
      <c r="O105" s="73">
        <v>0</v>
      </c>
    </row>
    <row r="106" spans="2:15" x14ac:dyDescent="0.25">
      <c r="B106" s="227">
        <v>4.1700000000000001E-2</v>
      </c>
      <c r="C106" s="73" t="s">
        <v>565</v>
      </c>
      <c r="D106" s="73">
        <v>6.0360003000000002E-2</v>
      </c>
      <c r="E106" s="73" t="s">
        <v>697</v>
      </c>
      <c r="F106" s="228">
        <v>9.3315649680626497E-6</v>
      </c>
      <c r="G106" s="73">
        <v>0</v>
      </c>
      <c r="J106" s="227">
        <v>0.18</v>
      </c>
      <c r="K106" s="73" t="s">
        <v>571</v>
      </c>
      <c r="L106" s="73">
        <v>2221.4899999999998</v>
      </c>
      <c r="M106" s="73" t="s">
        <v>695</v>
      </c>
      <c r="N106" s="228">
        <v>4.5123466316298802E-4</v>
      </c>
      <c r="O106" s="73">
        <v>0</v>
      </c>
    </row>
    <row r="107" spans="2:15" x14ac:dyDescent="0.25">
      <c r="B107" s="227">
        <v>0</v>
      </c>
      <c r="C107" s="73" t="s">
        <v>573</v>
      </c>
      <c r="D107" s="73">
        <v>0.56209284400000004</v>
      </c>
      <c r="E107" s="73" t="s">
        <v>695</v>
      </c>
      <c r="F107" s="73">
        <v>0</v>
      </c>
      <c r="G107" s="73">
        <v>0</v>
      </c>
      <c r="J107" s="227">
        <v>0.14000000000000001</v>
      </c>
      <c r="K107" s="73" t="s">
        <v>572</v>
      </c>
      <c r="L107" s="73">
        <v>1</v>
      </c>
      <c r="M107" s="73" t="s">
        <v>712</v>
      </c>
      <c r="N107" s="228">
        <v>3.5016239335675201E-4</v>
      </c>
      <c r="O107" s="228">
        <v>1.9083417209999999E-4</v>
      </c>
    </row>
    <row r="108" spans="2:15" x14ac:dyDescent="0.25">
      <c r="B108" s="227">
        <v>0</v>
      </c>
      <c r="C108" s="73" t="s">
        <v>700</v>
      </c>
      <c r="D108" s="73">
        <v>4.9277630529999996</v>
      </c>
      <c r="E108" s="73" t="s">
        <v>695</v>
      </c>
      <c r="F108" s="73">
        <v>0</v>
      </c>
      <c r="G108" s="73">
        <v>0</v>
      </c>
      <c r="J108" s="227">
        <v>4.9599999999999998E-2</v>
      </c>
      <c r="K108" s="73" t="s">
        <v>570</v>
      </c>
      <c r="L108" s="73">
        <v>0.30963511799999999</v>
      </c>
      <c r="M108" s="73" t="s">
        <v>695</v>
      </c>
      <c r="N108" s="228">
        <v>1.2729630450891501E-4</v>
      </c>
      <c r="O108" s="73">
        <v>0</v>
      </c>
    </row>
    <row r="109" spans="2:15" x14ac:dyDescent="0.25">
      <c r="B109" s="227">
        <v>0</v>
      </c>
      <c r="C109" s="73" t="s">
        <v>701</v>
      </c>
      <c r="D109" s="73">
        <v>36.984725920000002</v>
      </c>
      <c r="E109" s="73" t="s">
        <v>695</v>
      </c>
      <c r="F109" s="73">
        <v>0</v>
      </c>
      <c r="G109" s="73">
        <v>0</v>
      </c>
      <c r="J109" s="227">
        <v>1.1900000000000001E-2</v>
      </c>
      <c r="K109" s="73" t="s">
        <v>565</v>
      </c>
      <c r="L109" s="73">
        <v>0.1968714</v>
      </c>
      <c r="M109" s="73" t="s">
        <v>697</v>
      </c>
      <c r="N109" s="228">
        <v>3.04360186494199E-5</v>
      </c>
      <c r="O109" s="73">
        <v>0</v>
      </c>
    </row>
    <row r="110" spans="2:15" x14ac:dyDescent="0.25">
      <c r="B110" s="227">
        <v>0</v>
      </c>
      <c r="C110" s="73" t="s">
        <v>699</v>
      </c>
      <c r="D110" s="73">
        <v>5.2176314680000004</v>
      </c>
      <c r="E110" s="73" t="s">
        <v>695</v>
      </c>
      <c r="F110" s="73">
        <v>0</v>
      </c>
      <c r="G110" s="73">
        <v>0</v>
      </c>
      <c r="J110" s="227">
        <v>8.62E-12</v>
      </c>
      <c r="K110" s="73" t="s">
        <v>573</v>
      </c>
      <c r="L110" s="73">
        <v>1.8333333000000001</v>
      </c>
      <c r="M110" s="73" t="s">
        <v>695</v>
      </c>
      <c r="N110" s="228">
        <v>2.21377997654704E-14</v>
      </c>
      <c r="O110" s="73">
        <v>0</v>
      </c>
    </row>
    <row r="111" spans="2:15" x14ac:dyDescent="0.25">
      <c r="B111" s="227">
        <v>3.39</v>
      </c>
      <c r="C111" s="73" t="s">
        <v>674</v>
      </c>
      <c r="D111" s="73">
        <v>1</v>
      </c>
      <c r="E111" s="73" t="s">
        <v>695</v>
      </c>
      <c r="F111" s="228">
        <v>7.5934629961967699E-4</v>
      </c>
      <c r="G111" s="73">
        <v>0</v>
      </c>
      <c r="J111" s="227">
        <v>0</v>
      </c>
      <c r="K111" s="73" t="s">
        <v>701</v>
      </c>
      <c r="L111" s="73">
        <v>120.6268649</v>
      </c>
      <c r="M111" s="73" t="s">
        <v>695</v>
      </c>
      <c r="N111" s="73">
        <v>0</v>
      </c>
      <c r="O111" s="73">
        <v>0</v>
      </c>
    </row>
    <row r="112" spans="2:15" x14ac:dyDescent="0.25">
      <c r="J112" s="227">
        <v>0</v>
      </c>
      <c r="K112" s="73" t="s">
        <v>700</v>
      </c>
      <c r="L112" s="73">
        <v>16.081218310000001</v>
      </c>
      <c r="M112" s="73" t="s">
        <v>695</v>
      </c>
      <c r="N112" s="73">
        <v>0</v>
      </c>
      <c r="O112" s="73">
        <v>0</v>
      </c>
    </row>
    <row r="113" spans="10:15" x14ac:dyDescent="0.25">
      <c r="J113" s="227">
        <v>0</v>
      </c>
      <c r="K113" s="73" t="s">
        <v>699</v>
      </c>
      <c r="L113" s="73">
        <v>17.021100000000001</v>
      </c>
      <c r="M113" s="73" t="s">
        <v>695</v>
      </c>
      <c r="N113" s="73">
        <v>0</v>
      </c>
      <c r="O113" s="73">
        <v>0</v>
      </c>
    </row>
    <row r="114" spans="10:15" x14ac:dyDescent="0.25">
      <c r="J114" s="227">
        <v>2.37</v>
      </c>
      <c r="K114" s="73" t="s">
        <v>713</v>
      </c>
      <c r="L114" s="73">
        <v>1</v>
      </c>
      <c r="M114" s="73" t="s">
        <v>695</v>
      </c>
      <c r="N114" s="73">
        <v>6.0801684241470399E-3</v>
      </c>
      <c r="O114" s="73">
        <v>0</v>
      </c>
    </row>
  </sheetData>
  <mergeCells count="5">
    <mergeCell ref="Q4:T4"/>
    <mergeCell ref="U4:X4"/>
    <mergeCell ref="Q3:X3"/>
    <mergeCell ref="J26:Q26"/>
    <mergeCell ref="J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85B3-ED6E-4531-BA2B-5D5DFD21F8FD}">
  <dimension ref="A1:X84"/>
  <sheetViews>
    <sheetView topLeftCell="A55" workbookViewId="0">
      <selection activeCell="K70" sqref="K70"/>
    </sheetView>
  </sheetViews>
  <sheetFormatPr defaultRowHeight="15" x14ac:dyDescent="0.25"/>
  <sheetData>
    <row r="1" spans="1:24" x14ac:dyDescent="0.25">
      <c r="A1" s="2" t="s">
        <v>759</v>
      </c>
      <c r="G1" t="s">
        <v>760</v>
      </c>
      <c r="M1" t="s">
        <v>761</v>
      </c>
      <c r="S1" t="s">
        <v>762</v>
      </c>
    </row>
    <row r="2" spans="1:24" x14ac:dyDescent="0.25">
      <c r="A2" t="s">
        <v>693</v>
      </c>
      <c r="B2" t="s">
        <v>106</v>
      </c>
      <c r="C2" t="s">
        <v>694</v>
      </c>
      <c r="D2" t="s">
        <v>557</v>
      </c>
      <c r="E2" t="s">
        <v>763</v>
      </c>
      <c r="F2" t="s">
        <v>764</v>
      </c>
      <c r="G2" t="s">
        <v>693</v>
      </c>
      <c r="H2" t="s">
        <v>106</v>
      </c>
      <c r="I2" t="s">
        <v>694</v>
      </c>
      <c r="J2" t="s">
        <v>557</v>
      </c>
      <c r="K2" t="s">
        <v>763</v>
      </c>
      <c r="L2" t="s">
        <v>764</v>
      </c>
      <c r="M2" t="s">
        <v>693</v>
      </c>
      <c r="N2" t="s">
        <v>106</v>
      </c>
      <c r="O2" t="s">
        <v>694</v>
      </c>
      <c r="P2" t="s">
        <v>557</v>
      </c>
      <c r="Q2" t="s">
        <v>763</v>
      </c>
      <c r="R2" t="s">
        <v>764</v>
      </c>
      <c r="S2" t="s">
        <v>693</v>
      </c>
      <c r="T2" t="s">
        <v>106</v>
      </c>
      <c r="U2" t="s">
        <v>694</v>
      </c>
      <c r="V2" t="s">
        <v>557</v>
      </c>
      <c r="W2" t="s">
        <v>763</v>
      </c>
      <c r="X2" t="s">
        <v>764</v>
      </c>
    </row>
    <row r="3" spans="1:24" x14ac:dyDescent="0.25">
      <c r="A3" s="139">
        <v>100</v>
      </c>
      <c r="B3" t="s">
        <v>765</v>
      </c>
      <c r="C3">
        <v>1</v>
      </c>
      <c r="D3" t="s">
        <v>695</v>
      </c>
      <c r="E3">
        <v>647.29093731723003</v>
      </c>
      <c r="F3">
        <v>0</v>
      </c>
      <c r="G3" s="139">
        <v>100</v>
      </c>
      <c r="H3" t="s">
        <v>766</v>
      </c>
      <c r="I3">
        <v>1</v>
      </c>
      <c r="J3" t="s">
        <v>695</v>
      </c>
      <c r="K3">
        <v>397.43065159448997</v>
      </c>
      <c r="L3">
        <v>0</v>
      </c>
      <c r="M3" s="139">
        <v>100</v>
      </c>
      <c r="N3" t="s">
        <v>767</v>
      </c>
      <c r="O3">
        <v>1</v>
      </c>
      <c r="P3" t="s">
        <v>695</v>
      </c>
      <c r="Q3">
        <v>521.32856426239198</v>
      </c>
      <c r="R3">
        <v>0</v>
      </c>
      <c r="S3" s="139">
        <v>100</v>
      </c>
      <c r="T3" t="s">
        <v>768</v>
      </c>
      <c r="U3">
        <v>1</v>
      </c>
      <c r="V3" t="s">
        <v>695</v>
      </c>
      <c r="W3">
        <v>505.05565507938798</v>
      </c>
      <c r="X3">
        <v>0</v>
      </c>
    </row>
    <row r="4" spans="1:24" x14ac:dyDescent="0.25">
      <c r="A4" s="139">
        <v>99.1</v>
      </c>
      <c r="B4" t="s">
        <v>769</v>
      </c>
      <c r="C4">
        <v>1</v>
      </c>
      <c r="D4" t="s">
        <v>695</v>
      </c>
      <c r="E4">
        <v>641.68676417672702</v>
      </c>
      <c r="F4">
        <v>0</v>
      </c>
      <c r="G4" s="139">
        <v>98.6</v>
      </c>
      <c r="H4" t="s">
        <v>770</v>
      </c>
      <c r="I4">
        <v>1</v>
      </c>
      <c r="J4" t="s">
        <v>695</v>
      </c>
      <c r="K4">
        <v>391.826478483914</v>
      </c>
      <c r="L4">
        <v>0</v>
      </c>
      <c r="M4" s="139">
        <v>98.9</v>
      </c>
      <c r="N4" t="s">
        <v>771</v>
      </c>
      <c r="O4">
        <v>1</v>
      </c>
      <c r="P4" t="s">
        <v>695</v>
      </c>
      <c r="Q4">
        <v>515.72439114209305</v>
      </c>
      <c r="R4">
        <v>0</v>
      </c>
      <c r="S4" s="139">
        <v>98.9</v>
      </c>
      <c r="T4" t="s">
        <v>772</v>
      </c>
      <c r="U4">
        <v>1</v>
      </c>
      <c r="V4" t="s">
        <v>695</v>
      </c>
      <c r="W4">
        <v>499.451481938158</v>
      </c>
      <c r="X4">
        <v>0</v>
      </c>
    </row>
    <row r="5" spans="1:24" x14ac:dyDescent="0.25">
      <c r="A5" s="139">
        <v>83.9</v>
      </c>
      <c r="B5" t="s">
        <v>773</v>
      </c>
      <c r="C5">
        <v>4.5</v>
      </c>
      <c r="D5" t="s">
        <v>695</v>
      </c>
      <c r="E5">
        <v>543.30324495874299</v>
      </c>
      <c r="F5">
        <v>0</v>
      </c>
      <c r="G5" s="139">
        <v>73.8</v>
      </c>
      <c r="H5" t="s">
        <v>774</v>
      </c>
      <c r="I5">
        <v>4.5</v>
      </c>
      <c r="J5" t="s">
        <v>695</v>
      </c>
      <c r="K5">
        <v>293.442959232411</v>
      </c>
      <c r="L5">
        <v>0</v>
      </c>
      <c r="M5" s="139">
        <v>80.099999999999994</v>
      </c>
      <c r="N5" t="s">
        <v>775</v>
      </c>
      <c r="O5">
        <v>4.5</v>
      </c>
      <c r="P5" t="s">
        <v>695</v>
      </c>
      <c r="Q5">
        <v>417.34087189558602</v>
      </c>
      <c r="R5">
        <v>0</v>
      </c>
      <c r="S5" s="139">
        <v>79.400000000000006</v>
      </c>
      <c r="T5" t="s">
        <v>776</v>
      </c>
      <c r="U5">
        <v>4.5</v>
      </c>
      <c r="V5" t="s">
        <v>695</v>
      </c>
      <c r="W5">
        <v>401.06796265344099</v>
      </c>
      <c r="X5">
        <v>0</v>
      </c>
    </row>
    <row r="6" spans="1:24" x14ac:dyDescent="0.25">
      <c r="A6" s="139">
        <v>81</v>
      </c>
      <c r="B6" t="s">
        <v>777</v>
      </c>
      <c r="C6">
        <v>1</v>
      </c>
      <c r="D6" t="s">
        <v>695</v>
      </c>
      <c r="E6">
        <v>524.00315489542697</v>
      </c>
      <c r="F6">
        <v>0</v>
      </c>
      <c r="G6" s="139">
        <v>69</v>
      </c>
      <c r="H6" t="s">
        <v>778</v>
      </c>
      <c r="I6">
        <v>1</v>
      </c>
      <c r="J6" t="s">
        <v>695</v>
      </c>
      <c r="K6">
        <v>274.14286912017002</v>
      </c>
      <c r="L6">
        <v>0</v>
      </c>
      <c r="M6" s="139">
        <v>76.400000000000006</v>
      </c>
      <c r="N6" t="s">
        <v>779</v>
      </c>
      <c r="O6">
        <v>1</v>
      </c>
      <c r="P6" t="s">
        <v>695</v>
      </c>
      <c r="Q6">
        <v>398.040781859405</v>
      </c>
      <c r="R6">
        <v>0</v>
      </c>
      <c r="S6" s="139">
        <v>75.599999999999994</v>
      </c>
      <c r="T6" t="s">
        <v>780</v>
      </c>
      <c r="U6">
        <v>1</v>
      </c>
      <c r="V6" t="s">
        <v>695</v>
      </c>
      <c r="W6">
        <v>381.767872600722</v>
      </c>
      <c r="X6">
        <v>0</v>
      </c>
    </row>
    <row r="7" spans="1:24" x14ac:dyDescent="0.25">
      <c r="A7" s="139">
        <v>53.5</v>
      </c>
      <c r="B7" t="s">
        <v>562</v>
      </c>
      <c r="C7">
        <v>4888.0605679999999</v>
      </c>
      <c r="D7" t="s">
        <v>696</v>
      </c>
      <c r="E7">
        <v>345.98543294783201</v>
      </c>
      <c r="F7">
        <v>269.21003354381099</v>
      </c>
      <c r="G7" s="139">
        <v>65.5</v>
      </c>
      <c r="H7" t="s">
        <v>562</v>
      </c>
      <c r="I7">
        <v>3677.1139790000002</v>
      </c>
      <c r="J7" t="s">
        <v>696</v>
      </c>
      <c r="K7">
        <v>260.272525612783</v>
      </c>
      <c r="L7">
        <v>202.517125935704</v>
      </c>
      <c r="M7" s="139">
        <v>74.2</v>
      </c>
      <c r="N7" t="s">
        <v>562</v>
      </c>
      <c r="O7">
        <v>5462.9762719999999</v>
      </c>
      <c r="P7" t="s">
        <v>696</v>
      </c>
      <c r="Q7">
        <v>386.67896470648702</v>
      </c>
      <c r="R7">
        <v>300.873527439925</v>
      </c>
      <c r="S7" s="139">
        <v>57.7</v>
      </c>
      <c r="T7" t="s">
        <v>562</v>
      </c>
      <c r="U7">
        <v>4120.6686920000002</v>
      </c>
      <c r="V7" t="s">
        <v>696</v>
      </c>
      <c r="W7">
        <v>291.66809803792199</v>
      </c>
      <c r="X7">
        <v>226.945910625273</v>
      </c>
    </row>
    <row r="8" spans="1:24" x14ac:dyDescent="0.25">
      <c r="A8" s="139">
        <v>27.5</v>
      </c>
      <c r="B8" t="s">
        <v>600</v>
      </c>
      <c r="C8">
        <v>808.02402768000002</v>
      </c>
      <c r="D8" t="s">
        <v>696</v>
      </c>
      <c r="E8">
        <v>178.017723656182</v>
      </c>
      <c r="F8">
        <v>0</v>
      </c>
      <c r="G8">
        <v>3.49</v>
      </c>
      <c r="H8" t="s">
        <v>563</v>
      </c>
      <c r="I8">
        <v>814.56079409999995</v>
      </c>
      <c r="J8" t="s">
        <v>696</v>
      </c>
      <c r="K8">
        <v>13.870344319332</v>
      </c>
      <c r="L8">
        <v>0</v>
      </c>
      <c r="M8">
        <v>2.1800000000000002</v>
      </c>
      <c r="N8" t="s">
        <v>616</v>
      </c>
      <c r="O8">
        <v>826.00102800000002</v>
      </c>
      <c r="P8" t="s">
        <v>696</v>
      </c>
      <c r="Q8">
        <v>11.361817149884301</v>
      </c>
      <c r="R8">
        <v>0</v>
      </c>
      <c r="S8" s="139">
        <v>17.8</v>
      </c>
      <c r="T8" t="s">
        <v>621</v>
      </c>
      <c r="U8">
        <v>888.7431024</v>
      </c>
      <c r="V8" t="s">
        <v>696</v>
      </c>
      <c r="W8">
        <v>90.099774459204099</v>
      </c>
      <c r="X8">
        <v>0</v>
      </c>
    </row>
    <row r="9" spans="1:24" x14ac:dyDescent="0.25">
      <c r="A9">
        <v>1.19</v>
      </c>
      <c r="B9" t="s">
        <v>565</v>
      </c>
      <c r="C9">
        <v>6.0360003000000002E-2</v>
      </c>
      <c r="D9" t="s">
        <v>697</v>
      </c>
      <c r="E9">
        <v>7.6790446542408803</v>
      </c>
      <c r="F9">
        <v>7.5672981173167697</v>
      </c>
      <c r="G9">
        <v>1.93</v>
      </c>
      <c r="H9" t="s">
        <v>565</v>
      </c>
      <c r="I9">
        <v>6.0360003000000002E-2</v>
      </c>
      <c r="J9" t="s">
        <v>697</v>
      </c>
      <c r="K9">
        <v>7.6790446539317196</v>
      </c>
      <c r="L9">
        <v>7.5672981173167697</v>
      </c>
      <c r="M9">
        <v>1.47</v>
      </c>
      <c r="N9" t="s">
        <v>565</v>
      </c>
      <c r="O9">
        <v>6.0360003000000002E-2</v>
      </c>
      <c r="P9" t="s">
        <v>697</v>
      </c>
      <c r="Q9">
        <v>7.6790446540188704</v>
      </c>
      <c r="R9">
        <v>7.5672981173167697</v>
      </c>
      <c r="S9">
        <v>1.52</v>
      </c>
      <c r="T9" t="s">
        <v>565</v>
      </c>
      <c r="U9">
        <v>6.0360003000000002E-2</v>
      </c>
      <c r="V9" t="s">
        <v>697</v>
      </c>
      <c r="W9">
        <v>7.6790446535209798</v>
      </c>
      <c r="X9">
        <v>7.5672981173167697</v>
      </c>
    </row>
    <row r="10" spans="1:24" x14ac:dyDescent="0.25">
      <c r="A10">
        <v>0.87</v>
      </c>
      <c r="B10" t="s">
        <v>566</v>
      </c>
      <c r="C10">
        <v>0.54955725799999999</v>
      </c>
      <c r="D10" t="s">
        <v>695</v>
      </c>
      <c r="E10">
        <v>5.61860054643072</v>
      </c>
      <c r="F10">
        <v>0.27220950355475199</v>
      </c>
      <c r="G10">
        <v>1.41</v>
      </c>
      <c r="H10" t="s">
        <v>566</v>
      </c>
      <c r="I10">
        <v>0.54955725799999999</v>
      </c>
      <c r="J10" t="s">
        <v>695</v>
      </c>
      <c r="K10">
        <v>5.6186005921403801</v>
      </c>
      <c r="L10">
        <v>0.27220950355475199</v>
      </c>
      <c r="M10">
        <v>1.08</v>
      </c>
      <c r="N10" t="s">
        <v>566</v>
      </c>
      <c r="O10">
        <v>0.54955725799999999</v>
      </c>
      <c r="P10" t="s">
        <v>695</v>
      </c>
      <c r="Q10">
        <v>5.6186005403647199</v>
      </c>
      <c r="R10">
        <v>0.27220950355475199</v>
      </c>
      <c r="S10">
        <v>1.1100000000000001</v>
      </c>
      <c r="T10" t="s">
        <v>566</v>
      </c>
      <c r="U10">
        <v>0.54955725799999999</v>
      </c>
      <c r="V10" t="s">
        <v>695</v>
      </c>
      <c r="W10">
        <v>5.6186005718845999</v>
      </c>
      <c r="X10">
        <v>0.27220950355475199</v>
      </c>
    </row>
    <row r="11" spans="1:24" x14ac:dyDescent="0.25">
      <c r="A11">
        <v>0.4</v>
      </c>
      <c r="B11" t="s">
        <v>568</v>
      </c>
      <c r="C11">
        <v>0.385207788</v>
      </c>
      <c r="D11" t="s">
        <v>695</v>
      </c>
      <c r="E11">
        <v>2.6022309550136198</v>
      </c>
      <c r="F11">
        <v>0</v>
      </c>
      <c r="G11">
        <v>0.65</v>
      </c>
      <c r="H11" t="s">
        <v>568</v>
      </c>
      <c r="I11">
        <v>0.385207788</v>
      </c>
      <c r="J11" t="s">
        <v>695</v>
      </c>
      <c r="K11">
        <v>2.6022309618189001</v>
      </c>
      <c r="L11">
        <v>0</v>
      </c>
      <c r="M11">
        <v>0.5</v>
      </c>
      <c r="N11" t="s">
        <v>568</v>
      </c>
      <c r="O11">
        <v>0.385207788</v>
      </c>
      <c r="P11" t="s">
        <v>695</v>
      </c>
      <c r="Q11">
        <v>2.6022309618966499</v>
      </c>
      <c r="R11">
        <v>0</v>
      </c>
      <c r="S11">
        <v>0.52</v>
      </c>
      <c r="T11" t="s">
        <v>568</v>
      </c>
      <c r="U11">
        <v>0.385207788</v>
      </c>
      <c r="V11" t="s">
        <v>695</v>
      </c>
      <c r="W11">
        <v>2.6022309639152699</v>
      </c>
      <c r="X11">
        <v>0</v>
      </c>
    </row>
    <row r="12" spans="1:24" x14ac:dyDescent="0.25">
      <c r="A12">
        <v>0.25</v>
      </c>
      <c r="B12" t="s">
        <v>567</v>
      </c>
      <c r="C12">
        <v>3.5146662529166601</v>
      </c>
      <c r="D12" t="s">
        <v>698</v>
      </c>
      <c r="E12">
        <v>1.6178059175335899</v>
      </c>
      <c r="F12">
        <v>0</v>
      </c>
      <c r="G12" s="139">
        <v>0.41</v>
      </c>
      <c r="H12" t="s">
        <v>567</v>
      </c>
      <c r="I12">
        <v>3.5146662529166601</v>
      </c>
      <c r="J12" t="s">
        <v>698</v>
      </c>
      <c r="K12">
        <v>1.61780592636604</v>
      </c>
      <c r="L12">
        <v>0</v>
      </c>
      <c r="M12">
        <v>0.31</v>
      </c>
      <c r="N12" t="s">
        <v>567</v>
      </c>
      <c r="O12">
        <v>3.5146662529166601</v>
      </c>
      <c r="P12" t="s">
        <v>698</v>
      </c>
      <c r="Q12">
        <v>1.61780590434294</v>
      </c>
      <c r="R12">
        <v>0</v>
      </c>
      <c r="S12">
        <v>0.32</v>
      </c>
      <c r="T12" t="s">
        <v>567</v>
      </c>
      <c r="U12">
        <v>3.5146662529166601</v>
      </c>
      <c r="V12" t="s">
        <v>698</v>
      </c>
      <c r="W12">
        <v>1.6178059135365199</v>
      </c>
      <c r="X12">
        <v>0</v>
      </c>
    </row>
    <row r="13" spans="1:24" x14ac:dyDescent="0.25">
      <c r="A13">
        <v>0.15</v>
      </c>
      <c r="B13" t="s">
        <v>569</v>
      </c>
      <c r="C13">
        <v>0.82779432399999997</v>
      </c>
      <c r="D13" t="s">
        <v>695</v>
      </c>
      <c r="E13">
        <v>0.96945840074948797</v>
      </c>
      <c r="F13">
        <v>0</v>
      </c>
      <c r="G13" s="139">
        <v>0.24</v>
      </c>
      <c r="H13" t="s">
        <v>569</v>
      </c>
      <c r="I13">
        <v>0.82779432399999997</v>
      </c>
      <c r="J13" t="s">
        <v>695</v>
      </c>
      <c r="K13">
        <v>0.969458402683957</v>
      </c>
      <c r="L13" s="139">
        <v>0</v>
      </c>
      <c r="M13">
        <v>0.19</v>
      </c>
      <c r="N13" t="s">
        <v>569</v>
      </c>
      <c r="O13">
        <v>0.82779432399999997</v>
      </c>
      <c r="P13" t="s">
        <v>695</v>
      </c>
      <c r="Q13">
        <v>0.96945840026548702</v>
      </c>
      <c r="R13">
        <v>0</v>
      </c>
      <c r="S13">
        <v>0.19</v>
      </c>
      <c r="T13" t="s">
        <v>569</v>
      </c>
      <c r="U13">
        <v>0.82779432399999997</v>
      </c>
      <c r="V13" t="s">
        <v>695</v>
      </c>
      <c r="W13">
        <v>0.96945840037001396</v>
      </c>
      <c r="X13">
        <v>0</v>
      </c>
    </row>
    <row r="14" spans="1:24" x14ac:dyDescent="0.25">
      <c r="A14" s="139">
        <v>5.62E-2</v>
      </c>
      <c r="B14" t="s">
        <v>673</v>
      </c>
      <c r="C14">
        <v>1</v>
      </c>
      <c r="D14" t="s">
        <v>695</v>
      </c>
      <c r="E14">
        <v>0.36350635912671297</v>
      </c>
      <c r="F14">
        <v>7.1716957735999995E-2</v>
      </c>
      <c r="G14" s="139">
        <v>9.1499999999999998E-2</v>
      </c>
      <c r="H14" t="s">
        <v>673</v>
      </c>
      <c r="I14">
        <v>1</v>
      </c>
      <c r="J14" t="s">
        <v>695</v>
      </c>
      <c r="K14">
        <v>0.36350635931084202</v>
      </c>
      <c r="L14">
        <v>7.1716957735999995E-2</v>
      </c>
      <c r="M14" s="139">
        <v>6.9699999999999998E-2</v>
      </c>
      <c r="N14" t="s">
        <v>673</v>
      </c>
      <c r="O14">
        <v>1</v>
      </c>
      <c r="P14" t="s">
        <v>695</v>
      </c>
      <c r="Q14">
        <v>0.363506359951762</v>
      </c>
      <c r="R14">
        <v>7.1716957735999995E-2</v>
      </c>
      <c r="S14" s="139">
        <v>7.1999999999999995E-2</v>
      </c>
      <c r="T14" t="s">
        <v>673</v>
      </c>
      <c r="U14">
        <v>1</v>
      </c>
      <c r="V14" t="s">
        <v>695</v>
      </c>
      <c r="W14">
        <v>0.363506358618296</v>
      </c>
      <c r="X14">
        <v>7.1716957735999995E-2</v>
      </c>
    </row>
    <row r="15" spans="1:24" x14ac:dyDescent="0.25">
      <c r="A15" s="139">
        <v>3.5900000000000001E-2</v>
      </c>
      <c r="B15" t="s">
        <v>570</v>
      </c>
      <c r="C15">
        <v>9.4932918000000005E-2</v>
      </c>
      <c r="D15" t="s">
        <v>695</v>
      </c>
      <c r="E15">
        <v>0.23212928683214001</v>
      </c>
      <c r="F15" s="139">
        <v>4.2577413723000001E-4</v>
      </c>
      <c r="G15" s="139">
        <v>5.8400000000000001E-2</v>
      </c>
      <c r="H15" t="s">
        <v>570</v>
      </c>
      <c r="I15">
        <v>9.4932918000000005E-2</v>
      </c>
      <c r="J15" t="s">
        <v>695</v>
      </c>
      <c r="K15">
        <v>0.23212928764279001</v>
      </c>
      <c r="L15" s="139">
        <v>4.2577413723000001E-4</v>
      </c>
      <c r="M15" s="139">
        <v>4.4499999999999998E-2</v>
      </c>
      <c r="N15" t="s">
        <v>570</v>
      </c>
      <c r="O15">
        <v>9.4932918000000005E-2</v>
      </c>
      <c r="P15" t="s">
        <v>695</v>
      </c>
      <c r="Q15">
        <v>0.23212928676717201</v>
      </c>
      <c r="R15" s="139">
        <v>4.2577413722999898E-4</v>
      </c>
      <c r="S15" s="139">
        <v>4.5999999999999999E-2</v>
      </c>
      <c r="T15" t="s">
        <v>570</v>
      </c>
      <c r="U15">
        <v>9.4932918000000005E-2</v>
      </c>
      <c r="V15" t="s">
        <v>695</v>
      </c>
      <c r="W15">
        <v>0.23212928671654801</v>
      </c>
      <c r="X15" s="139">
        <v>4.2577413723000001E-4</v>
      </c>
    </row>
    <row r="16" spans="1:24" x14ac:dyDescent="0.25">
      <c r="A16" s="139">
        <v>3.3599999999999998E-2</v>
      </c>
      <c r="B16" t="s">
        <v>571</v>
      </c>
      <c r="C16">
        <v>660.43460000000005</v>
      </c>
      <c r="D16" t="s">
        <v>695</v>
      </c>
      <c r="E16">
        <v>0.21731393587450801</v>
      </c>
      <c r="F16">
        <v>0</v>
      </c>
      <c r="G16" s="139">
        <v>5.4699999999999999E-2</v>
      </c>
      <c r="H16" t="s">
        <v>571</v>
      </c>
      <c r="I16">
        <v>660.43460000000005</v>
      </c>
      <c r="J16" t="s">
        <v>695</v>
      </c>
      <c r="K16">
        <v>0.21731391291456201</v>
      </c>
      <c r="L16">
        <v>0</v>
      </c>
      <c r="M16" s="139">
        <v>4.1700000000000001E-2</v>
      </c>
      <c r="N16" t="s">
        <v>571</v>
      </c>
      <c r="O16">
        <v>660.43460000000005</v>
      </c>
      <c r="P16" t="s">
        <v>695</v>
      </c>
      <c r="Q16">
        <v>0.217313935166462</v>
      </c>
      <c r="R16">
        <v>0</v>
      </c>
      <c r="S16" s="139">
        <v>4.2999999999999997E-2</v>
      </c>
      <c r="T16" t="s">
        <v>571</v>
      </c>
      <c r="U16">
        <v>660.43460000000005</v>
      </c>
      <c r="V16" t="s">
        <v>695</v>
      </c>
      <c r="W16">
        <v>0.217313920833451</v>
      </c>
      <c r="X16">
        <v>0</v>
      </c>
    </row>
    <row r="17" spans="1:24" x14ac:dyDescent="0.25">
      <c r="A17">
        <v>0</v>
      </c>
      <c r="B17" t="s">
        <v>573</v>
      </c>
      <c r="C17">
        <v>0.56209284400000004</v>
      </c>
      <c r="D17" t="s">
        <v>695</v>
      </c>
      <c r="E17">
        <v>0</v>
      </c>
      <c r="F17">
        <v>0</v>
      </c>
      <c r="G17">
        <v>0</v>
      </c>
      <c r="H17" t="s">
        <v>573</v>
      </c>
      <c r="I17">
        <v>0.56209284400000004</v>
      </c>
      <c r="J17" t="s">
        <v>695</v>
      </c>
      <c r="K17">
        <v>0</v>
      </c>
      <c r="L17">
        <v>0</v>
      </c>
      <c r="M17">
        <v>0</v>
      </c>
      <c r="N17" t="s">
        <v>573</v>
      </c>
      <c r="O17">
        <v>0.56209284400000004</v>
      </c>
      <c r="P17" t="s">
        <v>695</v>
      </c>
      <c r="Q17">
        <v>0</v>
      </c>
      <c r="R17">
        <v>0</v>
      </c>
      <c r="S17">
        <v>0</v>
      </c>
      <c r="T17" t="s">
        <v>573</v>
      </c>
      <c r="U17">
        <v>0.56209284400000004</v>
      </c>
      <c r="V17" t="s">
        <v>695</v>
      </c>
      <c r="W17">
        <v>0</v>
      </c>
      <c r="X17">
        <v>0</v>
      </c>
    </row>
    <row r="18" spans="1:24" x14ac:dyDescent="0.25">
      <c r="A18" s="139">
        <v>20.2</v>
      </c>
      <c r="B18" t="s">
        <v>699</v>
      </c>
      <c r="C18">
        <v>5.2176314680000004</v>
      </c>
      <c r="D18" t="s">
        <v>695</v>
      </c>
      <c r="E18">
        <v>130.44078669999999</v>
      </c>
      <c r="F18">
        <v>130.44078669999999</v>
      </c>
      <c r="G18" s="139">
        <v>32.799999999999997</v>
      </c>
      <c r="H18" t="s">
        <v>699</v>
      </c>
      <c r="I18">
        <v>5.2176314680000004</v>
      </c>
      <c r="J18" t="s">
        <v>695</v>
      </c>
      <c r="K18">
        <v>130.44078669999999</v>
      </c>
      <c r="L18">
        <v>130.44078669999999</v>
      </c>
      <c r="M18" s="139">
        <v>25</v>
      </c>
      <c r="N18" t="s">
        <v>699</v>
      </c>
      <c r="O18">
        <v>5.2176314680000004</v>
      </c>
      <c r="P18" t="s">
        <v>695</v>
      </c>
      <c r="Q18">
        <v>130.44078669999999</v>
      </c>
      <c r="R18">
        <v>130.44078669999999</v>
      </c>
      <c r="S18" s="139">
        <v>25.8</v>
      </c>
      <c r="T18" t="s">
        <v>699</v>
      </c>
      <c r="U18">
        <v>5.2176314680000004</v>
      </c>
      <c r="V18" t="s">
        <v>695</v>
      </c>
      <c r="W18">
        <v>130.44078669999999</v>
      </c>
      <c r="X18">
        <v>130.44078669999999</v>
      </c>
    </row>
    <row r="19" spans="1:24" x14ac:dyDescent="0.25">
      <c r="A19">
        <v>0.76</v>
      </c>
      <c r="B19" t="s">
        <v>700</v>
      </c>
      <c r="C19">
        <v>4.9277630529999996</v>
      </c>
      <c r="D19" t="s">
        <v>695</v>
      </c>
      <c r="E19">
        <v>4.9277635708662002</v>
      </c>
      <c r="F19">
        <v>4.9277635708662002</v>
      </c>
      <c r="G19">
        <v>1.24</v>
      </c>
      <c r="H19" t="s">
        <v>700</v>
      </c>
      <c r="I19">
        <v>4.9277630529999996</v>
      </c>
      <c r="J19" t="s">
        <v>695</v>
      </c>
      <c r="K19">
        <v>4.9277635708662002</v>
      </c>
      <c r="L19">
        <v>4.9277635708662002</v>
      </c>
      <c r="M19">
        <v>0.95</v>
      </c>
      <c r="N19" t="s">
        <v>700</v>
      </c>
      <c r="O19">
        <v>4.9277630529999996</v>
      </c>
      <c r="P19" t="s">
        <v>695</v>
      </c>
      <c r="Q19">
        <v>4.9277635708662002</v>
      </c>
      <c r="R19">
        <v>4.9277635708662002</v>
      </c>
      <c r="S19">
        <v>0.98</v>
      </c>
      <c r="T19" t="s">
        <v>700</v>
      </c>
      <c r="U19">
        <v>4.9277630529999996</v>
      </c>
      <c r="V19" t="s">
        <v>695</v>
      </c>
      <c r="W19">
        <v>4.9277635708662002</v>
      </c>
      <c r="X19">
        <v>4.9277635708662002</v>
      </c>
    </row>
    <row r="20" spans="1:24" x14ac:dyDescent="0.25">
      <c r="A20">
        <v>-5.71</v>
      </c>
      <c r="B20" t="s">
        <v>701</v>
      </c>
      <c r="C20">
        <v>36.984725920000002</v>
      </c>
      <c r="D20" t="s">
        <v>695</v>
      </c>
      <c r="E20">
        <v>-36.985031022025098</v>
      </c>
      <c r="F20">
        <v>-36.985031022025098</v>
      </c>
      <c r="G20">
        <v>-9.31</v>
      </c>
      <c r="H20" t="s">
        <v>701</v>
      </c>
      <c r="I20">
        <v>36.984725920000002</v>
      </c>
      <c r="J20" t="s">
        <v>695</v>
      </c>
      <c r="K20">
        <v>-36.985031022025098</v>
      </c>
      <c r="L20">
        <v>-36.985031022025098</v>
      </c>
      <c r="M20">
        <v>-7.09</v>
      </c>
      <c r="N20" t="s">
        <v>701</v>
      </c>
      <c r="O20">
        <v>36.984725920000002</v>
      </c>
      <c r="P20" t="s">
        <v>695</v>
      </c>
      <c r="Q20">
        <v>-36.985031022025098</v>
      </c>
      <c r="R20">
        <v>-36.985031022025098</v>
      </c>
      <c r="S20">
        <v>-7.32</v>
      </c>
      <c r="T20" t="s">
        <v>701</v>
      </c>
      <c r="U20">
        <v>36.984725920000002</v>
      </c>
      <c r="V20" t="s">
        <v>695</v>
      </c>
      <c r="W20">
        <v>-36.985031022025098</v>
      </c>
      <c r="X20">
        <v>-36.985031022025098</v>
      </c>
    </row>
    <row r="21" spans="1:24" x14ac:dyDescent="0.25">
      <c r="A21">
        <v>0.87</v>
      </c>
      <c r="B21" t="s">
        <v>674</v>
      </c>
      <c r="C21">
        <v>1</v>
      </c>
      <c r="D21" t="s">
        <v>695</v>
      </c>
      <c r="E21">
        <v>5.6041731299205502</v>
      </c>
      <c r="F21">
        <v>0</v>
      </c>
      <c r="G21">
        <v>1.41</v>
      </c>
      <c r="H21" t="s">
        <v>674</v>
      </c>
      <c r="I21">
        <v>1</v>
      </c>
      <c r="J21" t="s">
        <v>695</v>
      </c>
      <c r="K21">
        <v>5.6041731125868504</v>
      </c>
      <c r="L21">
        <v>0</v>
      </c>
      <c r="M21">
        <v>1.07</v>
      </c>
      <c r="N21" t="s">
        <v>674</v>
      </c>
      <c r="O21">
        <v>1</v>
      </c>
      <c r="P21" t="s">
        <v>695</v>
      </c>
      <c r="Q21">
        <v>5.6041731131072199</v>
      </c>
      <c r="R21">
        <v>0</v>
      </c>
      <c r="S21">
        <v>1.1100000000000001</v>
      </c>
      <c r="T21" t="s">
        <v>674</v>
      </c>
      <c r="U21">
        <v>1</v>
      </c>
      <c r="V21" t="s">
        <v>695</v>
      </c>
      <c r="W21">
        <v>5.6041731540222699</v>
      </c>
      <c r="X21">
        <v>0</v>
      </c>
    </row>
    <row r="22" spans="1:24" x14ac:dyDescent="0.25">
      <c r="A22" t="s">
        <v>781</v>
      </c>
      <c r="G22" t="s">
        <v>782</v>
      </c>
      <c r="M22" t="s">
        <v>783</v>
      </c>
      <c r="S22" t="s">
        <v>784</v>
      </c>
    </row>
    <row r="23" spans="1:24" x14ac:dyDescent="0.25">
      <c r="A23" t="s">
        <v>693</v>
      </c>
      <c r="B23" t="s">
        <v>106</v>
      </c>
      <c r="C23" t="s">
        <v>694</v>
      </c>
      <c r="D23" t="s">
        <v>557</v>
      </c>
      <c r="E23" t="s">
        <v>763</v>
      </c>
      <c r="F23" t="s">
        <v>764</v>
      </c>
      <c r="G23" t="s">
        <v>693</v>
      </c>
      <c r="H23" t="s">
        <v>106</v>
      </c>
      <c r="I23" t="s">
        <v>694</v>
      </c>
      <c r="J23" t="s">
        <v>557</v>
      </c>
      <c r="K23" t="s">
        <v>763</v>
      </c>
      <c r="L23" t="s">
        <v>764</v>
      </c>
      <c r="M23" t="s">
        <v>693</v>
      </c>
      <c r="N23" t="s">
        <v>106</v>
      </c>
      <c r="O23" t="s">
        <v>694</v>
      </c>
      <c r="P23" t="s">
        <v>557</v>
      </c>
      <c r="Q23" t="s">
        <v>763</v>
      </c>
      <c r="R23" t="s">
        <v>764</v>
      </c>
      <c r="S23" t="s">
        <v>693</v>
      </c>
      <c r="T23" t="s">
        <v>106</v>
      </c>
      <c r="U23" t="s">
        <v>694</v>
      </c>
      <c r="V23" t="s">
        <v>557</v>
      </c>
      <c r="W23" t="s">
        <v>763</v>
      </c>
      <c r="X23" t="s">
        <v>764</v>
      </c>
    </row>
    <row r="24" spans="1:24" x14ac:dyDescent="0.25">
      <c r="A24" s="139">
        <v>100</v>
      </c>
      <c r="B24" t="s">
        <v>785</v>
      </c>
      <c r="C24">
        <v>1</v>
      </c>
      <c r="D24" t="s">
        <v>695</v>
      </c>
      <c r="E24">
        <v>528.04168580102305</v>
      </c>
      <c r="F24">
        <v>0</v>
      </c>
      <c r="G24" s="139">
        <v>100</v>
      </c>
      <c r="H24" t="s">
        <v>786</v>
      </c>
      <c r="I24">
        <v>1</v>
      </c>
      <c r="J24" t="s">
        <v>695</v>
      </c>
      <c r="K24">
        <v>614.07456145580295</v>
      </c>
      <c r="L24">
        <v>0</v>
      </c>
      <c r="M24" s="139">
        <v>100</v>
      </c>
      <c r="N24" t="s">
        <v>787</v>
      </c>
      <c r="O24">
        <v>1</v>
      </c>
      <c r="P24" t="s">
        <v>695</v>
      </c>
      <c r="Q24">
        <v>442.94192825417599</v>
      </c>
      <c r="R24">
        <v>0</v>
      </c>
      <c r="S24" s="139">
        <v>100</v>
      </c>
      <c r="T24" t="s">
        <v>788</v>
      </c>
      <c r="U24">
        <v>1</v>
      </c>
      <c r="V24" t="s">
        <v>695</v>
      </c>
      <c r="W24">
        <v>412.22228155559998</v>
      </c>
      <c r="X24">
        <v>0</v>
      </c>
    </row>
    <row r="25" spans="1:24" x14ac:dyDescent="0.25">
      <c r="A25" s="139">
        <v>98.9</v>
      </c>
      <c r="B25" t="s">
        <v>789</v>
      </c>
      <c r="C25">
        <v>1</v>
      </c>
      <c r="D25" t="s">
        <v>695</v>
      </c>
      <c r="E25">
        <v>522.43751273049202</v>
      </c>
      <c r="F25">
        <v>0</v>
      </c>
      <c r="G25" s="139">
        <v>99.1</v>
      </c>
      <c r="H25" t="s">
        <v>790</v>
      </c>
      <c r="I25">
        <v>1</v>
      </c>
      <c r="J25" t="s">
        <v>695</v>
      </c>
      <c r="K25">
        <v>608.47038840603102</v>
      </c>
      <c r="L25">
        <v>0</v>
      </c>
      <c r="M25" s="139">
        <v>98.7</v>
      </c>
      <c r="N25" t="s">
        <v>791</v>
      </c>
      <c r="O25">
        <v>1</v>
      </c>
      <c r="P25" t="s">
        <v>695</v>
      </c>
      <c r="Q25">
        <v>437.33775510246699</v>
      </c>
      <c r="R25">
        <v>0</v>
      </c>
      <c r="S25" s="139">
        <v>98.6</v>
      </c>
      <c r="T25" t="s">
        <v>792</v>
      </c>
      <c r="U25">
        <v>1</v>
      </c>
      <c r="V25" t="s">
        <v>695</v>
      </c>
      <c r="W25">
        <v>406.61810845065099</v>
      </c>
      <c r="X25">
        <v>0</v>
      </c>
    </row>
    <row r="26" spans="1:24" x14ac:dyDescent="0.25">
      <c r="A26" s="139">
        <v>80.3</v>
      </c>
      <c r="B26" t="s">
        <v>793</v>
      </c>
      <c r="C26">
        <v>4.5</v>
      </c>
      <c r="D26" t="s">
        <v>695</v>
      </c>
      <c r="E26">
        <v>424.05399347882297</v>
      </c>
      <c r="F26">
        <v>0</v>
      </c>
      <c r="G26" s="139">
        <v>83.1</v>
      </c>
      <c r="H26" t="s">
        <v>794</v>
      </c>
      <c r="I26">
        <v>4.5</v>
      </c>
      <c r="J26" t="s">
        <v>695</v>
      </c>
      <c r="K26">
        <v>510.086869154878</v>
      </c>
      <c r="L26">
        <v>0</v>
      </c>
      <c r="M26" s="139">
        <v>76.5</v>
      </c>
      <c r="N26" t="s">
        <v>795</v>
      </c>
      <c r="O26">
        <v>4.5</v>
      </c>
      <c r="P26" t="s">
        <v>695</v>
      </c>
      <c r="Q26">
        <v>338.954235864412</v>
      </c>
      <c r="R26">
        <v>0</v>
      </c>
      <c r="S26" s="139">
        <v>74.8</v>
      </c>
      <c r="T26" t="s">
        <v>796</v>
      </c>
      <c r="U26">
        <v>4.5</v>
      </c>
      <c r="V26" t="s">
        <v>695</v>
      </c>
      <c r="W26">
        <v>308.23458922793202</v>
      </c>
      <c r="X26">
        <v>0</v>
      </c>
    </row>
    <row r="27" spans="1:24" x14ac:dyDescent="0.25">
      <c r="A27" s="139">
        <v>76.7</v>
      </c>
      <c r="B27" t="s">
        <v>797</v>
      </c>
      <c r="C27">
        <v>1</v>
      </c>
      <c r="D27" t="s">
        <v>695</v>
      </c>
      <c r="E27">
        <v>404.75390344922403</v>
      </c>
      <c r="F27">
        <v>0</v>
      </c>
      <c r="G27" s="139">
        <v>79.900000000000006</v>
      </c>
      <c r="H27" t="s">
        <v>798</v>
      </c>
      <c r="I27">
        <v>1</v>
      </c>
      <c r="J27" t="s">
        <v>695</v>
      </c>
      <c r="K27">
        <v>490.786779081867</v>
      </c>
      <c r="L27">
        <v>0</v>
      </c>
      <c r="M27" s="139">
        <v>72.2</v>
      </c>
      <c r="N27" t="s">
        <v>799</v>
      </c>
      <c r="O27">
        <v>1</v>
      </c>
      <c r="P27" t="s">
        <v>695</v>
      </c>
      <c r="Q27">
        <v>319.65414577666502</v>
      </c>
      <c r="R27">
        <v>0</v>
      </c>
      <c r="S27" s="139">
        <v>70.099999999999994</v>
      </c>
      <c r="T27" t="s">
        <v>800</v>
      </c>
      <c r="U27">
        <v>1</v>
      </c>
      <c r="V27" t="s">
        <v>695</v>
      </c>
      <c r="W27">
        <v>288.934499168961</v>
      </c>
      <c r="X27">
        <v>0</v>
      </c>
    </row>
    <row r="28" spans="1:24" x14ac:dyDescent="0.25">
      <c r="A28" s="139">
        <v>63.9</v>
      </c>
      <c r="B28" t="s">
        <v>562</v>
      </c>
      <c r="C28">
        <v>4764.3106889999999</v>
      </c>
      <c r="D28" t="s">
        <v>696</v>
      </c>
      <c r="E28">
        <v>337.22619987682498</v>
      </c>
      <c r="F28">
        <v>262.394506482888</v>
      </c>
      <c r="G28" s="139">
        <v>42.4</v>
      </c>
      <c r="H28" t="s">
        <v>562</v>
      </c>
      <c r="I28">
        <v>3675.277709</v>
      </c>
      <c r="J28" t="s">
        <v>696</v>
      </c>
      <c r="K28">
        <v>260.142550572044</v>
      </c>
      <c r="L28">
        <v>202.415993328729</v>
      </c>
      <c r="M28" s="139">
        <v>68.5</v>
      </c>
      <c r="N28" t="s">
        <v>562</v>
      </c>
      <c r="O28">
        <v>4288.6403170000003</v>
      </c>
      <c r="P28" t="s">
        <v>696</v>
      </c>
      <c r="Q28">
        <v>303.55742367361103</v>
      </c>
      <c r="R28">
        <v>236.19695123158101</v>
      </c>
      <c r="S28" s="139">
        <v>69</v>
      </c>
      <c r="T28" t="s">
        <v>562</v>
      </c>
      <c r="U28">
        <v>4019.1006600000001</v>
      </c>
      <c r="V28" t="s">
        <v>696</v>
      </c>
      <c r="W28">
        <v>284.47893647132003</v>
      </c>
      <c r="X28">
        <v>221.35204923151301</v>
      </c>
    </row>
    <row r="29" spans="1:24" x14ac:dyDescent="0.25">
      <c r="A29" s="139">
        <v>12.8</v>
      </c>
      <c r="B29" t="s">
        <v>801</v>
      </c>
      <c r="C29">
        <v>824.51259565199996</v>
      </c>
      <c r="D29" t="s">
        <v>696</v>
      </c>
      <c r="E29">
        <v>67.527703627368695</v>
      </c>
      <c r="F29">
        <v>0</v>
      </c>
      <c r="G29" s="139">
        <v>37.6</v>
      </c>
      <c r="H29" t="s">
        <v>802</v>
      </c>
      <c r="I29">
        <v>902.78671392000001</v>
      </c>
      <c r="J29" t="s">
        <v>696</v>
      </c>
      <c r="K29">
        <v>230.64422772442501</v>
      </c>
      <c r="L29">
        <v>0</v>
      </c>
      <c r="M29">
        <v>3.63</v>
      </c>
      <c r="N29" t="s">
        <v>626</v>
      </c>
      <c r="O29">
        <v>896.97699</v>
      </c>
      <c r="P29" t="s">
        <v>696</v>
      </c>
      <c r="Q29">
        <v>16.096722092335401</v>
      </c>
      <c r="R29">
        <v>0</v>
      </c>
      <c r="S29">
        <v>1.08</v>
      </c>
      <c r="T29" t="s">
        <v>631</v>
      </c>
      <c r="U29">
        <v>894.63839040000005</v>
      </c>
      <c r="V29" t="s">
        <v>696</v>
      </c>
      <c r="W29">
        <v>4.4555627144019496</v>
      </c>
      <c r="X29">
        <v>0</v>
      </c>
    </row>
    <row r="30" spans="1:24" x14ac:dyDescent="0.25">
      <c r="A30">
        <v>1.45</v>
      </c>
      <c r="B30" t="s">
        <v>565</v>
      </c>
      <c r="C30">
        <v>6.0360003000000002E-2</v>
      </c>
      <c r="D30" t="s">
        <v>697</v>
      </c>
      <c r="E30">
        <v>7.6790446538291297</v>
      </c>
      <c r="F30">
        <v>7.5672981173167697</v>
      </c>
      <c r="G30">
        <v>1.25</v>
      </c>
      <c r="H30" t="s">
        <v>565</v>
      </c>
      <c r="I30">
        <v>6.0360003000000002E-2</v>
      </c>
      <c r="J30" t="s">
        <v>697</v>
      </c>
      <c r="K30">
        <v>7.6790446535543602</v>
      </c>
      <c r="L30">
        <v>7.5672981173167697</v>
      </c>
      <c r="M30">
        <v>1.73</v>
      </c>
      <c r="N30" t="s">
        <v>565</v>
      </c>
      <c r="O30">
        <v>6.0360003000000002E-2</v>
      </c>
      <c r="P30" t="s">
        <v>697</v>
      </c>
      <c r="Q30">
        <v>7.6790446540757404</v>
      </c>
      <c r="R30">
        <v>7.5672981173167697</v>
      </c>
      <c r="S30">
        <v>1.86</v>
      </c>
      <c r="T30" t="s">
        <v>565</v>
      </c>
      <c r="U30">
        <v>6.0360003000000002E-2</v>
      </c>
      <c r="V30" t="s">
        <v>697</v>
      </c>
      <c r="W30">
        <v>7.6790446537219399</v>
      </c>
      <c r="X30">
        <v>7.5672981173167697</v>
      </c>
    </row>
    <row r="31" spans="1:24" x14ac:dyDescent="0.25">
      <c r="A31">
        <v>1.06</v>
      </c>
      <c r="B31" t="s">
        <v>566</v>
      </c>
      <c r="C31">
        <v>0.54955725799999999</v>
      </c>
      <c r="D31" t="s">
        <v>695</v>
      </c>
      <c r="E31">
        <v>5.6186005482218304</v>
      </c>
      <c r="F31">
        <v>0.27220950355475199</v>
      </c>
      <c r="G31">
        <v>0.91</v>
      </c>
      <c r="H31" t="s">
        <v>566</v>
      </c>
      <c r="I31">
        <v>0.54955725799999999</v>
      </c>
      <c r="J31" t="s">
        <v>695</v>
      </c>
      <c r="K31">
        <v>5.6186005591793702</v>
      </c>
      <c r="L31">
        <v>0.27220950355475199</v>
      </c>
      <c r="M31">
        <v>1.27</v>
      </c>
      <c r="N31" t="s">
        <v>566</v>
      </c>
      <c r="O31">
        <v>0.54955725799999999</v>
      </c>
      <c r="P31" t="s">
        <v>695</v>
      </c>
      <c r="Q31">
        <v>5.6186005916272403</v>
      </c>
      <c r="R31">
        <v>0.27220950355475199</v>
      </c>
      <c r="S31">
        <v>1.36</v>
      </c>
      <c r="T31" t="s">
        <v>566</v>
      </c>
      <c r="U31">
        <v>0.54955725799999999</v>
      </c>
      <c r="V31" t="s">
        <v>695</v>
      </c>
      <c r="W31">
        <v>5.6186005674135204</v>
      </c>
      <c r="X31">
        <v>0.27220950355475199</v>
      </c>
    </row>
    <row r="32" spans="1:24" x14ac:dyDescent="0.25">
      <c r="A32">
        <v>0.49</v>
      </c>
      <c r="B32" t="s">
        <v>568</v>
      </c>
      <c r="C32">
        <v>0.385207788</v>
      </c>
      <c r="D32" t="s">
        <v>695</v>
      </c>
      <c r="E32">
        <v>2.6022309543551798</v>
      </c>
      <c r="F32">
        <v>0</v>
      </c>
      <c r="G32">
        <v>0.42</v>
      </c>
      <c r="H32" t="s">
        <v>568</v>
      </c>
      <c r="I32">
        <v>0.385207788</v>
      </c>
      <c r="J32" t="s">
        <v>695</v>
      </c>
      <c r="K32">
        <v>2.6022309651028399</v>
      </c>
      <c r="L32">
        <v>0</v>
      </c>
      <c r="M32">
        <v>0.59</v>
      </c>
      <c r="N32" t="s">
        <v>568</v>
      </c>
      <c r="O32">
        <v>0.385207788</v>
      </c>
      <c r="P32" t="s">
        <v>695</v>
      </c>
      <c r="Q32">
        <v>2.6022309572931799</v>
      </c>
      <c r="R32">
        <v>0</v>
      </c>
      <c r="S32">
        <v>0.63</v>
      </c>
      <c r="T32" t="s">
        <v>568</v>
      </c>
      <c r="U32">
        <v>0.385207788</v>
      </c>
      <c r="V32" t="s">
        <v>695</v>
      </c>
      <c r="W32">
        <v>2.6022309594383102</v>
      </c>
      <c r="X32">
        <v>0</v>
      </c>
    </row>
    <row r="33" spans="1:24" x14ac:dyDescent="0.25">
      <c r="A33">
        <v>0.31</v>
      </c>
      <c r="B33" t="s">
        <v>567</v>
      </c>
      <c r="C33">
        <v>3.5146662529166601</v>
      </c>
      <c r="D33" t="s">
        <v>698</v>
      </c>
      <c r="E33">
        <v>1.6178059081390199</v>
      </c>
      <c r="F33">
        <v>0</v>
      </c>
      <c r="G33">
        <v>0.26</v>
      </c>
      <c r="H33" t="s">
        <v>567</v>
      </c>
      <c r="I33">
        <v>3.5146662529166601</v>
      </c>
      <c r="J33" t="s">
        <v>698</v>
      </c>
      <c r="K33">
        <v>1.6178059170560199</v>
      </c>
      <c r="L33">
        <v>0</v>
      </c>
      <c r="M33">
        <v>0.37</v>
      </c>
      <c r="N33" t="s">
        <v>567</v>
      </c>
      <c r="O33">
        <v>3.5146662529166601</v>
      </c>
      <c r="P33" t="s">
        <v>698</v>
      </c>
      <c r="Q33">
        <v>1.61780592005318</v>
      </c>
      <c r="R33">
        <v>0</v>
      </c>
      <c r="S33">
        <v>0.39</v>
      </c>
      <c r="T33" t="s">
        <v>567</v>
      </c>
      <c r="U33">
        <v>3.5146662529166601</v>
      </c>
      <c r="V33" t="s">
        <v>698</v>
      </c>
      <c r="W33">
        <v>1.6178059090582999</v>
      </c>
      <c r="X33">
        <v>0</v>
      </c>
    </row>
    <row r="34" spans="1:24" x14ac:dyDescent="0.25">
      <c r="A34">
        <v>0.18</v>
      </c>
      <c r="B34" t="s">
        <v>569</v>
      </c>
      <c r="C34">
        <v>0.82779432399999997</v>
      </c>
      <c r="D34" t="s">
        <v>695</v>
      </c>
      <c r="E34">
        <v>0.96945840129247196</v>
      </c>
      <c r="F34">
        <v>0</v>
      </c>
      <c r="G34">
        <v>0.16</v>
      </c>
      <c r="H34" t="s">
        <v>569</v>
      </c>
      <c r="I34">
        <v>0.82779432399999997</v>
      </c>
      <c r="J34" t="s">
        <v>695</v>
      </c>
      <c r="K34">
        <v>0.96945840234974501</v>
      </c>
      <c r="L34">
        <v>0</v>
      </c>
      <c r="M34">
        <v>0.22</v>
      </c>
      <c r="N34" t="s">
        <v>569</v>
      </c>
      <c r="O34">
        <v>0.82779432399999997</v>
      </c>
      <c r="P34" t="s">
        <v>695</v>
      </c>
      <c r="Q34">
        <v>0.96945840253539695</v>
      </c>
      <c r="R34">
        <v>0</v>
      </c>
      <c r="S34">
        <v>0.24</v>
      </c>
      <c r="T34" t="s">
        <v>569</v>
      </c>
      <c r="U34">
        <v>0.82779432399999997</v>
      </c>
      <c r="V34" t="s">
        <v>695</v>
      </c>
      <c r="W34">
        <v>0.96945840027835595</v>
      </c>
      <c r="X34">
        <v>0</v>
      </c>
    </row>
    <row r="35" spans="1:24" x14ac:dyDescent="0.25">
      <c r="A35" s="139">
        <v>6.88E-2</v>
      </c>
      <c r="B35" t="s">
        <v>673</v>
      </c>
      <c r="C35">
        <v>1</v>
      </c>
      <c r="D35" t="s">
        <v>695</v>
      </c>
      <c r="E35">
        <v>0.36350635853583801</v>
      </c>
      <c r="F35">
        <v>7.1716957735999995E-2</v>
      </c>
      <c r="G35" s="139">
        <v>5.9200000000000003E-2</v>
      </c>
      <c r="H35" t="s">
        <v>673</v>
      </c>
      <c r="I35">
        <v>1</v>
      </c>
      <c r="J35" t="s">
        <v>695</v>
      </c>
      <c r="K35">
        <v>0.36350636063373798</v>
      </c>
      <c r="L35">
        <v>7.1716957735999995E-2</v>
      </c>
      <c r="M35" s="139">
        <v>8.2100000000000006E-2</v>
      </c>
      <c r="N35" t="s">
        <v>673</v>
      </c>
      <c r="O35">
        <v>1</v>
      </c>
      <c r="P35" t="s">
        <v>695</v>
      </c>
      <c r="Q35">
        <v>0.36350635886348898</v>
      </c>
      <c r="R35">
        <v>7.1716957735999995E-2</v>
      </c>
      <c r="S35" s="139">
        <v>8.8200000000000001E-2</v>
      </c>
      <c r="T35" t="s">
        <v>673</v>
      </c>
      <c r="U35">
        <v>1</v>
      </c>
      <c r="V35" t="s">
        <v>695</v>
      </c>
      <c r="W35">
        <v>0.36350635859703101</v>
      </c>
      <c r="X35">
        <v>7.1716957735999995E-2</v>
      </c>
    </row>
    <row r="36" spans="1:24" x14ac:dyDescent="0.25">
      <c r="A36" s="139">
        <v>4.3999999999999997E-2</v>
      </c>
      <c r="B36" t="s">
        <v>570</v>
      </c>
      <c r="C36">
        <v>9.4932918000000005E-2</v>
      </c>
      <c r="D36" t="s">
        <v>695</v>
      </c>
      <c r="E36">
        <v>0.23212928716852901</v>
      </c>
      <c r="F36" s="139">
        <v>4.2577413723000001E-4</v>
      </c>
      <c r="G36" s="139">
        <v>3.78E-2</v>
      </c>
      <c r="H36" t="s">
        <v>570</v>
      </c>
      <c r="I36">
        <v>9.4932918000000005E-2</v>
      </c>
      <c r="J36" t="s">
        <v>695</v>
      </c>
      <c r="K36">
        <v>0.23212928651419301</v>
      </c>
      <c r="L36" s="139">
        <v>4.2577413722999898E-4</v>
      </c>
      <c r="M36" s="139">
        <v>5.2400000000000002E-2</v>
      </c>
      <c r="N36" t="s">
        <v>570</v>
      </c>
      <c r="O36">
        <v>9.4932918000000005E-2</v>
      </c>
      <c r="P36" t="s">
        <v>695</v>
      </c>
      <c r="Q36">
        <v>0.232129287309392</v>
      </c>
      <c r="R36" s="139">
        <v>4.2577413723000001E-4</v>
      </c>
      <c r="S36" s="139">
        <v>5.6300000000000003E-2</v>
      </c>
      <c r="T36" t="s">
        <v>570</v>
      </c>
      <c r="U36">
        <v>9.4932918000000005E-2</v>
      </c>
      <c r="V36" t="s">
        <v>695</v>
      </c>
      <c r="W36">
        <v>0.232129287120803</v>
      </c>
      <c r="X36" s="139">
        <v>4.2577413722999898E-4</v>
      </c>
    </row>
    <row r="37" spans="1:24" x14ac:dyDescent="0.25">
      <c r="A37" s="139">
        <v>4.1200000000000001E-2</v>
      </c>
      <c r="B37" t="s">
        <v>571</v>
      </c>
      <c r="C37">
        <v>660.43460000000005</v>
      </c>
      <c r="D37" t="s">
        <v>695</v>
      </c>
      <c r="E37">
        <v>0.21731391358253899</v>
      </c>
      <c r="F37">
        <v>0</v>
      </c>
      <c r="G37" s="139">
        <v>3.5400000000000001E-2</v>
      </c>
      <c r="H37" t="s">
        <v>571</v>
      </c>
      <c r="I37">
        <v>660.43460000000005</v>
      </c>
      <c r="J37" t="s">
        <v>695</v>
      </c>
      <c r="K37">
        <v>0.217313937022484</v>
      </c>
      <c r="L37">
        <v>0</v>
      </c>
      <c r="M37" s="139">
        <v>4.9099999999999998E-2</v>
      </c>
      <c r="N37" t="s">
        <v>571</v>
      </c>
      <c r="O37">
        <v>660.43460000000005</v>
      </c>
      <c r="P37" t="s">
        <v>695</v>
      </c>
      <c r="Q37">
        <v>0.21731391876704501</v>
      </c>
      <c r="R37">
        <v>0</v>
      </c>
      <c r="S37" s="139">
        <v>5.2699999999999997E-2</v>
      </c>
      <c r="T37" t="s">
        <v>571</v>
      </c>
      <c r="U37">
        <v>660.43460000000005</v>
      </c>
      <c r="V37" t="s">
        <v>695</v>
      </c>
      <c r="W37">
        <v>0.21731391659593</v>
      </c>
      <c r="X37">
        <v>0</v>
      </c>
    </row>
    <row r="38" spans="1:24" x14ac:dyDescent="0.25">
      <c r="A38">
        <v>0</v>
      </c>
      <c r="B38" t="s">
        <v>573</v>
      </c>
      <c r="C38">
        <v>0.56209284400000004</v>
      </c>
      <c r="D38" t="s">
        <v>695</v>
      </c>
      <c r="E38">
        <v>0</v>
      </c>
      <c r="F38">
        <v>0</v>
      </c>
      <c r="G38">
        <v>0</v>
      </c>
      <c r="H38" t="s">
        <v>573</v>
      </c>
      <c r="I38">
        <v>0.56209284400000004</v>
      </c>
      <c r="J38" t="s">
        <v>695</v>
      </c>
      <c r="K38">
        <v>0</v>
      </c>
      <c r="L38">
        <v>0</v>
      </c>
      <c r="M38">
        <v>0</v>
      </c>
      <c r="N38" t="s">
        <v>573</v>
      </c>
      <c r="O38">
        <v>0.56209284400000004</v>
      </c>
      <c r="P38" t="s">
        <v>695</v>
      </c>
      <c r="Q38">
        <v>0</v>
      </c>
      <c r="R38">
        <v>0</v>
      </c>
      <c r="S38">
        <v>0</v>
      </c>
      <c r="T38" t="s">
        <v>573</v>
      </c>
      <c r="U38">
        <v>0.56209284400000004</v>
      </c>
      <c r="V38" t="s">
        <v>695</v>
      </c>
      <c r="W38">
        <v>0</v>
      </c>
      <c r="X38">
        <v>0</v>
      </c>
    </row>
    <row r="39" spans="1:24" x14ac:dyDescent="0.25">
      <c r="A39" s="139">
        <v>24.7</v>
      </c>
      <c r="B39" t="s">
        <v>699</v>
      </c>
      <c r="C39">
        <v>5.2176314680000004</v>
      </c>
      <c r="D39" t="s">
        <v>695</v>
      </c>
      <c r="E39">
        <v>130.44078669999999</v>
      </c>
      <c r="F39">
        <v>130.44078669999999</v>
      </c>
      <c r="G39" s="139">
        <v>21.2</v>
      </c>
      <c r="H39" t="s">
        <v>699</v>
      </c>
      <c r="I39">
        <v>5.2176314680000004</v>
      </c>
      <c r="J39" t="s">
        <v>695</v>
      </c>
      <c r="K39">
        <v>130.44078669999999</v>
      </c>
      <c r="L39">
        <v>130.44078669999999</v>
      </c>
      <c r="M39" s="139">
        <v>29.4</v>
      </c>
      <c r="N39" t="s">
        <v>699</v>
      </c>
      <c r="O39">
        <v>5.2176314680000004</v>
      </c>
      <c r="P39" t="s">
        <v>695</v>
      </c>
      <c r="Q39">
        <v>130.44078669999999</v>
      </c>
      <c r="R39">
        <v>130.44078669999999</v>
      </c>
      <c r="S39" s="139">
        <v>31.6</v>
      </c>
      <c r="T39" t="s">
        <v>699</v>
      </c>
      <c r="U39">
        <v>5.2176314680000004</v>
      </c>
      <c r="V39" t="s">
        <v>695</v>
      </c>
      <c r="W39">
        <v>130.44078669999999</v>
      </c>
      <c r="X39">
        <v>130.44078669999999</v>
      </c>
    </row>
    <row r="40" spans="1:24" x14ac:dyDescent="0.25">
      <c r="A40">
        <v>0.93</v>
      </c>
      <c r="B40" t="s">
        <v>700</v>
      </c>
      <c r="C40">
        <v>4.9277630529999996</v>
      </c>
      <c r="D40" t="s">
        <v>695</v>
      </c>
      <c r="E40">
        <v>4.9277635708662002</v>
      </c>
      <c r="F40">
        <v>4.9277635708662002</v>
      </c>
      <c r="G40">
        <v>0.8</v>
      </c>
      <c r="H40" t="s">
        <v>700</v>
      </c>
      <c r="I40">
        <v>4.9277630529999996</v>
      </c>
      <c r="J40" t="s">
        <v>695</v>
      </c>
      <c r="K40">
        <v>4.9277635708662002</v>
      </c>
      <c r="L40">
        <v>4.9277635708662002</v>
      </c>
      <c r="M40">
        <v>1.1100000000000001</v>
      </c>
      <c r="N40" t="s">
        <v>700</v>
      </c>
      <c r="O40">
        <v>4.9277630529999996</v>
      </c>
      <c r="P40" t="s">
        <v>695</v>
      </c>
      <c r="Q40">
        <v>4.9277635708662002</v>
      </c>
      <c r="R40">
        <v>4.9277635708662002</v>
      </c>
      <c r="S40">
        <v>1.2</v>
      </c>
      <c r="T40" t="s">
        <v>700</v>
      </c>
      <c r="U40">
        <v>4.9277630529999996</v>
      </c>
      <c r="V40" t="s">
        <v>695</v>
      </c>
      <c r="W40">
        <v>4.9277635708662002</v>
      </c>
      <c r="X40">
        <v>4.9277635708662002</v>
      </c>
    </row>
    <row r="41" spans="1:24" x14ac:dyDescent="0.25">
      <c r="A41">
        <v>-7</v>
      </c>
      <c r="B41" t="s">
        <v>701</v>
      </c>
      <c r="C41">
        <v>36.984725920000002</v>
      </c>
      <c r="D41" t="s">
        <v>695</v>
      </c>
      <c r="E41">
        <v>-36.985031022025098</v>
      </c>
      <c r="F41">
        <v>-36.985031022025098</v>
      </c>
      <c r="G41">
        <v>-6.02</v>
      </c>
      <c r="H41" t="s">
        <v>701</v>
      </c>
      <c r="I41">
        <v>36.984725920000002</v>
      </c>
      <c r="J41" t="s">
        <v>695</v>
      </c>
      <c r="K41">
        <v>-36.985031022025098</v>
      </c>
      <c r="L41">
        <v>-36.985031022025098</v>
      </c>
      <c r="M41">
        <v>-8.35</v>
      </c>
      <c r="N41" t="s">
        <v>701</v>
      </c>
      <c r="O41">
        <v>36.984725920000002</v>
      </c>
      <c r="P41" t="s">
        <v>695</v>
      </c>
      <c r="Q41">
        <v>-36.985031022025098</v>
      </c>
      <c r="R41">
        <v>-36.985031022025098</v>
      </c>
      <c r="S41">
        <v>-8.9700000000000006</v>
      </c>
      <c r="T41" t="s">
        <v>701</v>
      </c>
      <c r="U41">
        <v>36.984725920000002</v>
      </c>
      <c r="V41" t="s">
        <v>695</v>
      </c>
      <c r="W41">
        <v>-36.985031022025098</v>
      </c>
      <c r="X41">
        <v>-36.985031022025098</v>
      </c>
    </row>
    <row r="42" spans="1:24" x14ac:dyDescent="0.25">
      <c r="A42">
        <v>1.06</v>
      </c>
      <c r="B42" t="s">
        <v>674</v>
      </c>
      <c r="C42">
        <v>1</v>
      </c>
      <c r="D42" t="s">
        <v>695</v>
      </c>
      <c r="E42">
        <v>5.6041730867541899</v>
      </c>
      <c r="F42">
        <v>0</v>
      </c>
      <c r="G42">
        <v>0.91</v>
      </c>
      <c r="H42" t="s">
        <v>674</v>
      </c>
      <c r="I42">
        <v>1</v>
      </c>
      <c r="J42" t="s">
        <v>695</v>
      </c>
      <c r="K42">
        <v>5.6041730437703201</v>
      </c>
      <c r="L42">
        <v>0</v>
      </c>
      <c r="M42">
        <v>1.27</v>
      </c>
      <c r="N42" t="s">
        <v>674</v>
      </c>
      <c r="O42">
        <v>1</v>
      </c>
      <c r="P42" t="s">
        <v>695</v>
      </c>
      <c r="Q42">
        <v>5.6041731515020103</v>
      </c>
      <c r="R42">
        <v>0</v>
      </c>
      <c r="S42">
        <v>1.36</v>
      </c>
      <c r="T42" t="s">
        <v>674</v>
      </c>
      <c r="U42">
        <v>1</v>
      </c>
      <c r="V42" t="s">
        <v>695</v>
      </c>
      <c r="W42">
        <v>5.6041730682469799</v>
      </c>
      <c r="X42">
        <v>0</v>
      </c>
    </row>
    <row r="43" spans="1:24" x14ac:dyDescent="0.25">
      <c r="A43" t="s">
        <v>803</v>
      </c>
      <c r="G43" t="s">
        <v>804</v>
      </c>
      <c r="M43" t="s">
        <v>805</v>
      </c>
    </row>
    <row r="44" spans="1:24" x14ac:dyDescent="0.25">
      <c r="A44" t="s">
        <v>693</v>
      </c>
      <c r="B44" t="s">
        <v>106</v>
      </c>
      <c r="C44" t="s">
        <v>694</v>
      </c>
      <c r="D44" t="s">
        <v>557</v>
      </c>
      <c r="E44" t="s">
        <v>763</v>
      </c>
      <c r="F44" t="s">
        <v>764</v>
      </c>
      <c r="G44" t="s">
        <v>693</v>
      </c>
      <c r="H44" t="s">
        <v>106</v>
      </c>
      <c r="I44" t="s">
        <v>694</v>
      </c>
      <c r="J44" t="s">
        <v>557</v>
      </c>
      <c r="K44" t="s">
        <v>763</v>
      </c>
      <c r="L44" t="s">
        <v>764</v>
      </c>
      <c r="M44" t="s">
        <v>693</v>
      </c>
      <c r="N44" t="s">
        <v>106</v>
      </c>
      <c r="O44" t="s">
        <v>694</v>
      </c>
      <c r="P44" t="s">
        <v>557</v>
      </c>
      <c r="Q44" t="s">
        <v>763</v>
      </c>
      <c r="R44" t="s">
        <v>764</v>
      </c>
    </row>
    <row r="45" spans="1:24" x14ac:dyDescent="0.25">
      <c r="A45" s="139">
        <v>100</v>
      </c>
      <c r="B45" t="s">
        <v>755</v>
      </c>
      <c r="C45">
        <v>1</v>
      </c>
      <c r="D45" t="s">
        <v>695</v>
      </c>
      <c r="E45">
        <v>469.01780281970798</v>
      </c>
      <c r="F45">
        <v>0</v>
      </c>
      <c r="G45" s="139">
        <v>100</v>
      </c>
      <c r="H45" t="s">
        <v>806</v>
      </c>
      <c r="I45">
        <v>1</v>
      </c>
      <c r="J45" t="s">
        <v>695</v>
      </c>
      <c r="K45">
        <v>642.99686688071904</v>
      </c>
      <c r="L45">
        <v>0</v>
      </c>
      <c r="M45" s="139">
        <v>100</v>
      </c>
      <c r="N45" t="s">
        <v>807</v>
      </c>
      <c r="O45">
        <v>1</v>
      </c>
      <c r="P45" t="s">
        <v>695</v>
      </c>
      <c r="Q45">
        <v>542.81959925966703</v>
      </c>
      <c r="R45">
        <v>0</v>
      </c>
    </row>
    <row r="46" spans="1:24" x14ac:dyDescent="0.25">
      <c r="A46" s="139">
        <v>98.8</v>
      </c>
      <c r="B46" t="s">
        <v>756</v>
      </c>
      <c r="C46">
        <v>1</v>
      </c>
      <c r="D46" t="s">
        <v>695</v>
      </c>
      <c r="E46">
        <v>463.413629573984</v>
      </c>
      <c r="F46">
        <v>0</v>
      </c>
      <c r="G46" s="139">
        <v>99.1</v>
      </c>
      <c r="H46" t="s">
        <v>808</v>
      </c>
      <c r="I46">
        <v>1</v>
      </c>
      <c r="J46" t="s">
        <v>695</v>
      </c>
      <c r="K46">
        <v>637.39269382157295</v>
      </c>
      <c r="L46">
        <v>0</v>
      </c>
      <c r="M46" s="139">
        <v>99</v>
      </c>
      <c r="N46" t="s">
        <v>809</v>
      </c>
      <c r="O46">
        <v>1</v>
      </c>
      <c r="P46" t="s">
        <v>695</v>
      </c>
      <c r="Q46">
        <v>537.21542616858403</v>
      </c>
      <c r="R46">
        <v>0</v>
      </c>
    </row>
    <row r="47" spans="1:24" x14ac:dyDescent="0.25">
      <c r="A47" s="139">
        <v>77.8</v>
      </c>
      <c r="B47" t="s">
        <v>757</v>
      </c>
      <c r="C47">
        <v>4.5</v>
      </c>
      <c r="D47" t="s">
        <v>695</v>
      </c>
      <c r="E47">
        <v>365.03011034306502</v>
      </c>
      <c r="F47">
        <v>0</v>
      </c>
      <c r="G47" s="139">
        <v>83.8</v>
      </c>
      <c r="H47" t="s">
        <v>810</v>
      </c>
      <c r="I47">
        <v>4.5</v>
      </c>
      <c r="J47" t="s">
        <v>695</v>
      </c>
      <c r="K47">
        <v>539.00917457924595</v>
      </c>
      <c r="L47">
        <v>0</v>
      </c>
      <c r="M47" s="139">
        <v>80.8</v>
      </c>
      <c r="N47" t="s">
        <v>811</v>
      </c>
      <c r="O47">
        <v>4.5</v>
      </c>
      <c r="P47" t="s">
        <v>695</v>
      </c>
      <c r="Q47">
        <v>438.83190691836302</v>
      </c>
      <c r="R47">
        <v>0</v>
      </c>
    </row>
    <row r="48" spans="1:24" x14ac:dyDescent="0.25">
      <c r="A48" s="139">
        <v>73.7</v>
      </c>
      <c r="B48" t="s">
        <v>758</v>
      </c>
      <c r="C48">
        <v>1</v>
      </c>
      <c r="D48" t="s">
        <v>695</v>
      </c>
      <c r="E48">
        <v>345.730020284435</v>
      </c>
      <c r="F48">
        <v>0</v>
      </c>
      <c r="G48" s="139">
        <v>80.8</v>
      </c>
      <c r="H48" t="s">
        <v>812</v>
      </c>
      <c r="I48">
        <v>1</v>
      </c>
      <c r="J48" t="s">
        <v>695</v>
      </c>
      <c r="K48">
        <v>519.70908450059403</v>
      </c>
      <c r="L48">
        <v>0</v>
      </c>
      <c r="M48" s="139">
        <v>77.3</v>
      </c>
      <c r="N48" t="s">
        <v>813</v>
      </c>
      <c r="O48">
        <v>1</v>
      </c>
      <c r="P48" t="s">
        <v>695</v>
      </c>
      <c r="Q48">
        <v>419.53181686601602</v>
      </c>
      <c r="R48">
        <v>0</v>
      </c>
    </row>
    <row r="49" spans="1:18" x14ac:dyDescent="0.25">
      <c r="A49" s="139">
        <v>73</v>
      </c>
      <c r="B49" t="s">
        <v>562</v>
      </c>
      <c r="C49">
        <v>4835.0181119999997</v>
      </c>
      <c r="D49" t="s">
        <v>696</v>
      </c>
      <c r="E49">
        <v>342.23099478510801</v>
      </c>
      <c r="F49">
        <v>266.28871921876203</v>
      </c>
      <c r="G49" s="139">
        <v>55.1</v>
      </c>
      <c r="H49" t="s">
        <v>562</v>
      </c>
      <c r="I49">
        <v>5002.8700580000004</v>
      </c>
      <c r="J49" t="s">
        <v>696</v>
      </c>
      <c r="K49">
        <v>354.111846062035</v>
      </c>
      <c r="L49">
        <v>275.53316850175099</v>
      </c>
      <c r="M49" s="139">
        <v>71.3</v>
      </c>
      <c r="N49" t="s">
        <v>562</v>
      </c>
      <c r="O49">
        <v>5471.361304</v>
      </c>
      <c r="P49" t="s">
        <v>696</v>
      </c>
      <c r="Q49">
        <v>387.272470452042</v>
      </c>
      <c r="R49">
        <v>301.33533324502599</v>
      </c>
    </row>
    <row r="50" spans="1:18" x14ac:dyDescent="0.25">
      <c r="A50">
        <v>0.75</v>
      </c>
      <c r="B50" t="s">
        <v>636</v>
      </c>
      <c r="C50">
        <v>848.98500479999996</v>
      </c>
      <c r="D50" t="s">
        <v>696</v>
      </c>
      <c r="E50">
        <v>3.4990254914823402</v>
      </c>
      <c r="F50">
        <v>0</v>
      </c>
      <c r="G50" s="139">
        <v>25.8</v>
      </c>
      <c r="H50" t="s">
        <v>641</v>
      </c>
      <c r="I50">
        <v>831.18185856000002</v>
      </c>
      <c r="J50" t="s">
        <v>696</v>
      </c>
      <c r="K50">
        <v>165.59723866571801</v>
      </c>
      <c r="L50">
        <v>0</v>
      </c>
      <c r="M50">
        <v>5.94</v>
      </c>
      <c r="N50" t="s">
        <v>646</v>
      </c>
      <c r="O50">
        <v>797.86146240000005</v>
      </c>
      <c r="P50" t="s">
        <v>696</v>
      </c>
      <c r="Q50">
        <v>32.259346401442201</v>
      </c>
      <c r="R50">
        <v>0</v>
      </c>
    </row>
    <row r="51" spans="1:18" x14ac:dyDescent="0.25">
      <c r="A51">
        <v>1.64</v>
      </c>
      <c r="B51" t="s">
        <v>565</v>
      </c>
      <c r="C51">
        <v>6.0360003000000002E-2</v>
      </c>
      <c r="D51" t="s">
        <v>697</v>
      </c>
      <c r="E51">
        <v>7.6790446539017596</v>
      </c>
      <c r="F51">
        <v>7.5672981173167697</v>
      </c>
      <c r="G51">
        <v>1.19</v>
      </c>
      <c r="H51" t="s">
        <v>565</v>
      </c>
      <c r="I51">
        <v>6.0360003000000002E-2</v>
      </c>
      <c r="J51" t="s">
        <v>697</v>
      </c>
      <c r="K51">
        <v>7.6790446542363098</v>
      </c>
      <c r="L51">
        <v>7.5672981173167697</v>
      </c>
      <c r="M51">
        <v>1.41</v>
      </c>
      <c r="N51" t="s">
        <v>565</v>
      </c>
      <c r="O51">
        <v>6.0360003000000002E-2</v>
      </c>
      <c r="P51" t="s">
        <v>697</v>
      </c>
      <c r="Q51">
        <v>7.6790446532603003</v>
      </c>
      <c r="R51">
        <v>7.5672981173167697</v>
      </c>
    </row>
    <row r="52" spans="1:18" x14ac:dyDescent="0.25">
      <c r="A52">
        <v>1.2</v>
      </c>
      <c r="B52" t="s">
        <v>566</v>
      </c>
      <c r="C52">
        <v>0.54955725799999999</v>
      </c>
      <c r="D52" t="s">
        <v>695</v>
      </c>
      <c r="E52">
        <v>5.6186005550937903</v>
      </c>
      <c r="F52">
        <v>0.27220950355475199</v>
      </c>
      <c r="G52">
        <v>0.87</v>
      </c>
      <c r="H52" t="s">
        <v>566</v>
      </c>
      <c r="I52">
        <v>0.54955725799999999</v>
      </c>
      <c r="J52" t="s">
        <v>695</v>
      </c>
      <c r="K52">
        <v>5.61860058401877</v>
      </c>
      <c r="L52">
        <v>0.27220950355475199</v>
      </c>
      <c r="M52">
        <v>1.04</v>
      </c>
      <c r="N52" t="s">
        <v>566</v>
      </c>
      <c r="O52">
        <v>0.54955725799999999</v>
      </c>
      <c r="P52" t="s">
        <v>695</v>
      </c>
      <c r="Q52">
        <v>5.6186005532435201</v>
      </c>
      <c r="R52">
        <v>0.27220950355475199</v>
      </c>
    </row>
    <row r="53" spans="1:18" x14ac:dyDescent="0.25">
      <c r="A53">
        <v>0.55000000000000004</v>
      </c>
      <c r="B53" t="s">
        <v>568</v>
      </c>
      <c r="C53">
        <v>0.385207788</v>
      </c>
      <c r="D53" t="s">
        <v>695</v>
      </c>
      <c r="E53">
        <v>2.6022309665354202</v>
      </c>
      <c r="F53">
        <v>0</v>
      </c>
      <c r="G53">
        <v>0.4</v>
      </c>
      <c r="H53" t="s">
        <v>568</v>
      </c>
      <c r="I53">
        <v>0.385207788</v>
      </c>
      <c r="J53" t="s">
        <v>695</v>
      </c>
      <c r="K53">
        <v>2.6022309625998599</v>
      </c>
      <c r="L53">
        <v>0</v>
      </c>
      <c r="M53">
        <v>0.48</v>
      </c>
      <c r="N53" t="s">
        <v>568</v>
      </c>
      <c r="O53">
        <v>0.385207788</v>
      </c>
      <c r="P53" t="s">
        <v>695</v>
      </c>
      <c r="Q53">
        <v>2.6022309669204802</v>
      </c>
      <c r="R53">
        <v>0</v>
      </c>
    </row>
    <row r="54" spans="1:18" x14ac:dyDescent="0.25">
      <c r="A54">
        <v>0.34</v>
      </c>
      <c r="B54" t="s">
        <v>567</v>
      </c>
      <c r="C54">
        <v>3.5146662529166601</v>
      </c>
      <c r="D54" t="s">
        <v>698</v>
      </c>
      <c r="E54">
        <v>1.61780591694119</v>
      </c>
      <c r="F54">
        <v>0</v>
      </c>
      <c r="G54">
        <v>0.25</v>
      </c>
      <c r="H54" t="s">
        <v>567</v>
      </c>
      <c r="I54">
        <v>3.5146662529166601</v>
      </c>
      <c r="J54" t="s">
        <v>698</v>
      </c>
      <c r="K54">
        <v>1.6178059187860101</v>
      </c>
      <c r="L54">
        <v>0</v>
      </c>
      <c r="M54">
        <v>0.3</v>
      </c>
      <c r="N54" t="s">
        <v>567</v>
      </c>
      <c r="O54">
        <v>3.5146662529166601</v>
      </c>
      <c r="P54" t="s">
        <v>698</v>
      </c>
      <c r="Q54">
        <v>1.61780590782306</v>
      </c>
      <c r="R54">
        <v>0</v>
      </c>
    </row>
    <row r="55" spans="1:18" x14ac:dyDescent="0.25">
      <c r="A55">
        <v>0.21</v>
      </c>
      <c r="B55" t="s">
        <v>569</v>
      </c>
      <c r="C55">
        <v>0.82779432399999997</v>
      </c>
      <c r="D55" t="s">
        <v>695</v>
      </c>
      <c r="E55">
        <v>0.96945840141796902</v>
      </c>
      <c r="F55">
        <v>0</v>
      </c>
      <c r="G55">
        <v>0.15</v>
      </c>
      <c r="H55" t="s">
        <v>569</v>
      </c>
      <c r="I55">
        <v>0.82779432399999997</v>
      </c>
      <c r="J55" t="s">
        <v>695</v>
      </c>
      <c r="K55">
        <v>0.96945840259222804</v>
      </c>
      <c r="L55">
        <v>0</v>
      </c>
      <c r="M55">
        <v>0.18</v>
      </c>
      <c r="N55" t="s">
        <v>569</v>
      </c>
      <c r="O55">
        <v>0.82779432399999997</v>
      </c>
      <c r="P55" t="s">
        <v>695</v>
      </c>
      <c r="Q55">
        <v>0.96945840124001004</v>
      </c>
      <c r="R55">
        <v>0</v>
      </c>
    </row>
    <row r="56" spans="1:18" x14ac:dyDescent="0.25">
      <c r="A56" s="139">
        <v>7.7499999999999999E-2</v>
      </c>
      <c r="B56" t="s">
        <v>673</v>
      </c>
      <c r="C56">
        <v>1</v>
      </c>
      <c r="D56" t="s">
        <v>695</v>
      </c>
      <c r="E56">
        <v>0.363506360491126</v>
      </c>
      <c r="F56">
        <v>7.1716957735999995E-2</v>
      </c>
      <c r="G56" s="139">
        <v>5.6500000000000002E-2</v>
      </c>
      <c r="H56" t="s">
        <v>673</v>
      </c>
      <c r="I56">
        <v>1</v>
      </c>
      <c r="J56" t="s">
        <v>695</v>
      </c>
      <c r="K56">
        <v>0.36350636090545302</v>
      </c>
      <c r="L56">
        <v>7.1716957735999995E-2</v>
      </c>
      <c r="M56" s="139">
        <v>6.7000000000000004E-2</v>
      </c>
      <c r="N56" t="s">
        <v>673</v>
      </c>
      <c r="O56">
        <v>1</v>
      </c>
      <c r="P56" t="s">
        <v>695</v>
      </c>
      <c r="Q56">
        <v>0.36350635770710898</v>
      </c>
      <c r="R56">
        <v>7.1716957735999995E-2</v>
      </c>
    </row>
    <row r="57" spans="1:18" x14ac:dyDescent="0.25">
      <c r="A57" s="139">
        <v>4.9500000000000002E-2</v>
      </c>
      <c r="B57" t="s">
        <v>570</v>
      </c>
      <c r="C57">
        <v>9.4932918000000005E-2</v>
      </c>
      <c r="D57" t="s">
        <v>695</v>
      </c>
      <c r="E57">
        <v>0.232129286934943</v>
      </c>
      <c r="F57" s="139">
        <v>4.2577413723000001E-4</v>
      </c>
      <c r="G57" s="139">
        <v>3.61E-2</v>
      </c>
      <c r="H57" t="s">
        <v>570</v>
      </c>
      <c r="I57">
        <v>9.4932918000000005E-2</v>
      </c>
      <c r="J57" t="s">
        <v>695</v>
      </c>
      <c r="K57">
        <v>0.232129287409231</v>
      </c>
      <c r="L57" s="139">
        <v>4.2577413722999898E-4</v>
      </c>
      <c r="M57" s="139">
        <v>4.2799999999999998E-2</v>
      </c>
      <c r="N57" t="s">
        <v>570</v>
      </c>
      <c r="O57">
        <v>9.4932918000000005E-2</v>
      </c>
      <c r="P57" t="s">
        <v>695</v>
      </c>
      <c r="Q57">
        <v>0.23212928730770399</v>
      </c>
      <c r="R57" s="139">
        <v>4.2577413723000001E-4</v>
      </c>
    </row>
    <row r="58" spans="1:18" x14ac:dyDescent="0.25">
      <c r="A58" s="139">
        <v>4.6300000000000001E-2</v>
      </c>
      <c r="B58" t="s">
        <v>571</v>
      </c>
      <c r="C58">
        <v>660.43460000000005</v>
      </c>
      <c r="D58" t="s">
        <v>695</v>
      </c>
      <c r="E58">
        <v>0.21731392111308501</v>
      </c>
      <c r="F58">
        <v>0</v>
      </c>
      <c r="G58" s="139">
        <v>3.3799999999999997E-2</v>
      </c>
      <c r="H58" t="s">
        <v>571</v>
      </c>
      <c r="I58">
        <v>660.43460000000005</v>
      </c>
      <c r="J58" t="s">
        <v>695</v>
      </c>
      <c r="K58">
        <v>0.217313930069751</v>
      </c>
      <c r="L58">
        <v>0</v>
      </c>
      <c r="M58" s="139">
        <v>0.04</v>
      </c>
      <c r="N58" t="s">
        <v>571</v>
      </c>
      <c r="O58">
        <v>660.43460000000005</v>
      </c>
      <c r="P58" t="s">
        <v>695</v>
      </c>
      <c r="Q58">
        <v>0.21731391572471501</v>
      </c>
      <c r="R58">
        <v>0</v>
      </c>
    </row>
    <row r="59" spans="1:18" x14ac:dyDescent="0.25">
      <c r="A59">
        <v>0</v>
      </c>
      <c r="B59" t="s">
        <v>573</v>
      </c>
      <c r="C59">
        <v>0.56209284400000004</v>
      </c>
      <c r="D59" t="s">
        <v>695</v>
      </c>
      <c r="E59">
        <v>0</v>
      </c>
      <c r="F59">
        <v>0</v>
      </c>
      <c r="G59">
        <v>0</v>
      </c>
      <c r="H59" t="s">
        <v>573</v>
      </c>
      <c r="I59">
        <v>0.56209284400000004</v>
      </c>
      <c r="J59" t="s">
        <v>695</v>
      </c>
      <c r="K59">
        <v>0</v>
      </c>
      <c r="L59">
        <v>0</v>
      </c>
      <c r="M59">
        <v>0</v>
      </c>
      <c r="N59" t="s">
        <v>573</v>
      </c>
      <c r="O59">
        <v>0.56209284400000004</v>
      </c>
      <c r="P59" t="s">
        <v>695</v>
      </c>
      <c r="Q59">
        <v>0</v>
      </c>
      <c r="R59">
        <v>0</v>
      </c>
    </row>
    <row r="60" spans="1:18" x14ac:dyDescent="0.25">
      <c r="A60" s="139">
        <v>27.8</v>
      </c>
      <c r="B60" t="s">
        <v>699</v>
      </c>
      <c r="C60">
        <v>5.2176314680000004</v>
      </c>
      <c r="D60" t="s">
        <v>695</v>
      </c>
      <c r="E60">
        <v>130.44078669999999</v>
      </c>
      <c r="F60">
        <v>130.44078669999999</v>
      </c>
      <c r="G60" s="139">
        <v>20.3</v>
      </c>
      <c r="H60" t="s">
        <v>699</v>
      </c>
      <c r="I60">
        <v>5.2176314680000004</v>
      </c>
      <c r="J60" t="s">
        <v>695</v>
      </c>
      <c r="K60">
        <v>130.44078669999999</v>
      </c>
      <c r="L60">
        <v>130.44078669999999</v>
      </c>
      <c r="M60" s="139">
        <v>24</v>
      </c>
      <c r="N60" t="s">
        <v>699</v>
      </c>
      <c r="O60">
        <v>5.2176314680000004</v>
      </c>
      <c r="P60" t="s">
        <v>695</v>
      </c>
      <c r="Q60">
        <v>130.44078669999999</v>
      </c>
      <c r="R60">
        <v>130.44078669999999</v>
      </c>
    </row>
    <row r="61" spans="1:18" x14ac:dyDescent="0.25">
      <c r="A61">
        <v>1.05</v>
      </c>
      <c r="B61" t="s">
        <v>700</v>
      </c>
      <c r="C61">
        <v>4.9277630529999996</v>
      </c>
      <c r="D61" t="s">
        <v>695</v>
      </c>
      <c r="E61">
        <v>4.9277635708662002</v>
      </c>
      <c r="F61">
        <v>4.9277635708662002</v>
      </c>
      <c r="G61">
        <v>0.77</v>
      </c>
      <c r="H61" t="s">
        <v>700</v>
      </c>
      <c r="I61">
        <v>4.9277630529999996</v>
      </c>
      <c r="J61" t="s">
        <v>695</v>
      </c>
      <c r="K61">
        <v>4.9277635708662002</v>
      </c>
      <c r="L61">
        <v>4.9277635708662002</v>
      </c>
      <c r="M61">
        <v>0.91</v>
      </c>
      <c r="N61" t="s">
        <v>700</v>
      </c>
      <c r="O61">
        <v>4.9277630529999996</v>
      </c>
      <c r="P61" t="s">
        <v>695</v>
      </c>
      <c r="Q61">
        <v>4.9277635708662002</v>
      </c>
      <c r="R61">
        <v>4.9277635708662002</v>
      </c>
    </row>
    <row r="62" spans="1:18" x14ac:dyDescent="0.25">
      <c r="A62">
        <v>-7.89</v>
      </c>
      <c r="B62" t="s">
        <v>701</v>
      </c>
      <c r="C62">
        <v>36.984725920000002</v>
      </c>
      <c r="D62" t="s">
        <v>695</v>
      </c>
      <c r="E62">
        <v>-36.985031022025098</v>
      </c>
      <c r="F62">
        <v>-36.985031022025098</v>
      </c>
      <c r="G62">
        <v>-5.75</v>
      </c>
      <c r="H62" t="s">
        <v>701</v>
      </c>
      <c r="I62">
        <v>36.984725920000002</v>
      </c>
      <c r="J62" t="s">
        <v>695</v>
      </c>
      <c r="K62">
        <v>-36.985031022025098</v>
      </c>
      <c r="L62">
        <v>-36.985031022025098</v>
      </c>
      <c r="M62">
        <v>-6.81</v>
      </c>
      <c r="N62" t="s">
        <v>701</v>
      </c>
      <c r="O62">
        <v>36.984725920000002</v>
      </c>
      <c r="P62" t="s">
        <v>695</v>
      </c>
      <c r="Q62">
        <v>-36.985031022025098</v>
      </c>
      <c r="R62">
        <v>-36.985031022025098</v>
      </c>
    </row>
    <row r="63" spans="1:18" x14ac:dyDescent="0.25">
      <c r="A63">
        <v>1.19</v>
      </c>
      <c r="B63" t="s">
        <v>674</v>
      </c>
      <c r="C63">
        <v>1</v>
      </c>
      <c r="D63" t="s">
        <v>695</v>
      </c>
      <c r="E63">
        <v>5.6041732328627401</v>
      </c>
      <c r="F63">
        <v>0</v>
      </c>
      <c r="G63">
        <v>0.87</v>
      </c>
      <c r="H63" t="s">
        <v>674</v>
      </c>
      <c r="I63">
        <v>1</v>
      </c>
      <c r="J63" t="s">
        <v>695</v>
      </c>
      <c r="K63">
        <v>5.6041730422958098</v>
      </c>
      <c r="L63">
        <v>0</v>
      </c>
      <c r="M63">
        <v>1.03</v>
      </c>
      <c r="N63" t="s">
        <v>674</v>
      </c>
      <c r="O63">
        <v>1</v>
      </c>
      <c r="P63" t="s">
        <v>695</v>
      </c>
      <c r="Q63">
        <v>5.6041730910632301</v>
      </c>
      <c r="R63">
        <v>0</v>
      </c>
    </row>
    <row r="65" spans="4:7" x14ac:dyDescent="0.25">
      <c r="E65" t="s">
        <v>753</v>
      </c>
      <c r="F65" t="s">
        <v>754</v>
      </c>
      <c r="G65" t="s">
        <v>816</v>
      </c>
    </row>
    <row r="66" spans="4:7" x14ac:dyDescent="0.25">
      <c r="D66" t="s">
        <v>755</v>
      </c>
      <c r="E66">
        <f>AVERAGE(E3,K3,Q3,W3,E24,K24,Q24,W24,E45,K45,Q45)</f>
        <v>520.29277584365411</v>
      </c>
      <c r="F66">
        <f>_xlfn.STDEV.S(E3,K3,Q3,W3,E24,K24,Q24,W24,E45,K45,Q45)</f>
        <v>87.273825494920956</v>
      </c>
      <c r="G66">
        <f>F66/E66*100</f>
        <v>16.773983715881226</v>
      </c>
    </row>
    <row r="67" spans="4:7" x14ac:dyDescent="0.25">
      <c r="D67" t="s">
        <v>756</v>
      </c>
      <c r="E67">
        <f t="shared" ref="E67:E84" si="0">AVERAGE(E4,K4,Q4,W4,E25,K25,Q25,W25,E46,K46,Q46)</f>
        <v>514.68860272678842</v>
      </c>
    </row>
    <row r="68" spans="4:7" x14ac:dyDescent="0.25">
      <c r="D68" t="s">
        <v>757</v>
      </c>
      <c r="E68">
        <f t="shared" si="0"/>
        <v>416.30508348244547</v>
      </c>
    </row>
    <row r="69" spans="4:7" x14ac:dyDescent="0.25">
      <c r="D69" t="s">
        <v>758</v>
      </c>
      <c r="E69">
        <f t="shared" si="0"/>
        <v>397.00499341849877</v>
      </c>
    </row>
    <row r="70" spans="4:7" x14ac:dyDescent="0.25">
      <c r="D70" t="s">
        <v>562</v>
      </c>
      <c r="E70">
        <f t="shared" si="0"/>
        <v>323.05685847254631</v>
      </c>
    </row>
    <row r="71" spans="4:7" x14ac:dyDescent="0.25">
      <c r="D71" t="s">
        <v>636</v>
      </c>
      <c r="E71">
        <f t="shared" si="0"/>
        <v>73.948135118343274</v>
      </c>
    </row>
    <row r="72" spans="4:7" x14ac:dyDescent="0.25">
      <c r="D72" t="s">
        <v>565</v>
      </c>
      <c r="E72">
        <f t="shared" si="0"/>
        <v>7.6790446538447261</v>
      </c>
    </row>
    <row r="73" spans="4:7" x14ac:dyDescent="0.25">
      <c r="D73" t="s">
        <v>566</v>
      </c>
      <c r="E73">
        <f t="shared" si="0"/>
        <v>5.6186005645107704</v>
      </c>
    </row>
    <row r="74" spans="4:7" x14ac:dyDescent="0.25">
      <c r="D74" t="s">
        <v>568</v>
      </c>
      <c r="E74">
        <f t="shared" si="0"/>
        <v>2.6022309613536097</v>
      </c>
    </row>
    <row r="75" spans="4:7" x14ac:dyDescent="0.25">
      <c r="D75" t="s">
        <v>567</v>
      </c>
      <c r="E75">
        <f t="shared" si="0"/>
        <v>1.6178059145123513</v>
      </c>
    </row>
    <row r="76" spans="4:7" x14ac:dyDescent="0.25">
      <c r="D76" t="s">
        <v>569</v>
      </c>
      <c r="E76">
        <f t="shared" si="0"/>
        <v>0.96945840143410189</v>
      </c>
    </row>
    <row r="77" spans="4:7" x14ac:dyDescent="0.25">
      <c r="D77" t="s">
        <v>673</v>
      </c>
      <c r="E77">
        <f t="shared" si="0"/>
        <v>0.36350635934012698</v>
      </c>
    </row>
    <row r="78" spans="4:7" x14ac:dyDescent="0.25">
      <c r="D78" t="s">
        <v>570</v>
      </c>
      <c r="E78">
        <f t="shared" si="0"/>
        <v>0.23212928706576774</v>
      </c>
    </row>
    <row r="79" spans="4:7" x14ac:dyDescent="0.25">
      <c r="D79" t="s">
        <v>571</v>
      </c>
      <c r="E79">
        <f t="shared" si="0"/>
        <v>0.21731392342404837</v>
      </c>
    </row>
    <row r="80" spans="4:7" x14ac:dyDescent="0.25">
      <c r="D80" t="s">
        <v>573</v>
      </c>
      <c r="E80">
        <f>AVERAGE(E17,K17,Q17,W17,E38,K38,Q38,W38,E59,K59,Q59)</f>
        <v>0</v>
      </c>
    </row>
    <row r="81" spans="4:5" x14ac:dyDescent="0.25">
      <c r="D81" t="s">
        <v>699</v>
      </c>
      <c r="E81">
        <f t="shared" si="0"/>
        <v>130.44078669999999</v>
      </c>
    </row>
    <row r="82" spans="4:5" x14ac:dyDescent="0.25">
      <c r="D82" t="s">
        <v>700</v>
      </c>
      <c r="E82">
        <f t="shared" si="0"/>
        <v>4.9277635708661993</v>
      </c>
    </row>
    <row r="83" spans="4:5" x14ac:dyDescent="0.25">
      <c r="D83" t="s">
        <v>701</v>
      </c>
      <c r="E83">
        <f t="shared" si="0"/>
        <v>-36.985031022025105</v>
      </c>
    </row>
    <row r="84" spans="4:5" x14ac:dyDescent="0.25">
      <c r="D84" t="s">
        <v>674</v>
      </c>
      <c r="E84">
        <f t="shared" si="0"/>
        <v>5.6041731114665616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N309"/>
  <sheetViews>
    <sheetView zoomScale="70" zoomScaleNormal="70" workbookViewId="0">
      <pane ySplit="4" topLeftCell="A32" activePane="bottomLeft" state="frozen"/>
      <selection pane="bottomLeft" activeCell="S27" sqref="I27:S63"/>
    </sheetView>
  </sheetViews>
  <sheetFormatPr defaultColWidth="9.140625" defaultRowHeight="15" x14ac:dyDescent="0.25"/>
  <cols>
    <col min="1" max="8" width="12.7109375" style="3" customWidth="1"/>
    <col min="9" max="9" width="16.28515625" customWidth="1"/>
    <col min="10" max="10" width="20.5703125" customWidth="1"/>
  </cols>
  <sheetData>
    <row r="1" spans="1:14" ht="15.75" x14ac:dyDescent="0.25">
      <c r="A1" s="303" t="s">
        <v>3</v>
      </c>
      <c r="B1" s="303"/>
      <c r="C1" s="303"/>
      <c r="D1" s="303"/>
      <c r="E1" s="303"/>
      <c r="F1" s="303"/>
      <c r="G1" s="303"/>
      <c r="H1" s="303"/>
    </row>
    <row r="2" spans="1:14" ht="18.75" x14ac:dyDescent="0.25">
      <c r="A2" s="303" t="s">
        <v>8</v>
      </c>
      <c r="B2" s="303"/>
      <c r="C2" s="303"/>
      <c r="D2" s="303"/>
      <c r="E2" s="303"/>
      <c r="F2" s="303"/>
      <c r="G2" s="303"/>
      <c r="H2" s="303"/>
    </row>
    <row r="3" spans="1:14" ht="15.75" thickBot="1" x14ac:dyDescent="0.3"/>
    <row r="4" spans="1:14" ht="57.75" x14ac:dyDescent="0.25">
      <c r="A4" s="4" t="s">
        <v>4</v>
      </c>
      <c r="B4" s="4" t="s">
        <v>10</v>
      </c>
      <c r="C4" s="4" t="s">
        <v>11</v>
      </c>
      <c r="D4" s="4" t="s">
        <v>0</v>
      </c>
      <c r="E4" s="4" t="s">
        <v>5</v>
      </c>
      <c r="F4" s="4" t="s">
        <v>1</v>
      </c>
      <c r="G4" s="24" t="s">
        <v>14</v>
      </c>
      <c r="H4" s="5" t="s">
        <v>2</v>
      </c>
      <c r="I4" s="2"/>
    </row>
    <row r="5" spans="1:14" x14ac:dyDescent="0.25">
      <c r="A5" s="10" t="s">
        <v>15</v>
      </c>
      <c r="B5" s="13">
        <v>1330209</v>
      </c>
      <c r="C5" s="13">
        <v>1401568</v>
      </c>
      <c r="D5" s="13">
        <v>195318</v>
      </c>
      <c r="E5" s="13">
        <v>592661</v>
      </c>
      <c r="F5" s="14">
        <v>3519756</v>
      </c>
      <c r="G5" s="14">
        <v>3519756</v>
      </c>
      <c r="H5" s="15">
        <v>3519756</v>
      </c>
      <c r="I5" s="1"/>
      <c r="J5" s="1"/>
      <c r="K5" s="1"/>
      <c r="L5" s="1"/>
      <c r="M5" s="1"/>
    </row>
    <row r="6" spans="1:14" x14ac:dyDescent="0.25">
      <c r="A6" s="11" t="s">
        <v>16</v>
      </c>
      <c r="B6" s="13">
        <v>1460429</v>
      </c>
      <c r="C6" s="13">
        <v>1434916</v>
      </c>
      <c r="D6" s="13">
        <v>339615</v>
      </c>
      <c r="E6" s="13">
        <v>857615</v>
      </c>
      <c r="F6" s="14">
        <v>4092575</v>
      </c>
      <c r="G6" s="14">
        <v>7612330</v>
      </c>
      <c r="H6" s="15">
        <v>7612330</v>
      </c>
      <c r="I6" s="1"/>
    </row>
    <row r="7" spans="1:14" x14ac:dyDescent="0.25">
      <c r="A7" s="12" t="s">
        <v>17</v>
      </c>
      <c r="B7" s="13">
        <v>1569405</v>
      </c>
      <c r="C7" s="13">
        <v>1898685</v>
      </c>
      <c r="D7" s="13">
        <v>609907</v>
      </c>
      <c r="E7" s="13">
        <v>902995</v>
      </c>
      <c r="F7" s="14">
        <v>4980992</v>
      </c>
      <c r="G7" s="14">
        <v>12593322</v>
      </c>
      <c r="H7" s="15">
        <v>12593322</v>
      </c>
      <c r="I7" s="1"/>
    </row>
    <row r="8" spans="1:14" x14ac:dyDescent="0.25">
      <c r="A8" s="12" t="s">
        <v>18</v>
      </c>
      <c r="B8" s="13">
        <v>1559710</v>
      </c>
      <c r="C8" s="13">
        <v>2217607</v>
      </c>
      <c r="D8" s="13">
        <v>734351</v>
      </c>
      <c r="E8" s="13">
        <v>761687</v>
      </c>
      <c r="F8" s="14">
        <v>5273355</v>
      </c>
      <c r="G8" s="14">
        <v>17866677</v>
      </c>
      <c r="H8" s="15">
        <v>17866677</v>
      </c>
      <c r="I8" s="1"/>
    </row>
    <row r="9" spans="1:14" x14ac:dyDescent="0.25">
      <c r="A9" s="12" t="s">
        <v>19</v>
      </c>
      <c r="B9" s="13">
        <v>1569454</v>
      </c>
      <c r="C9" s="13">
        <v>2070577</v>
      </c>
      <c r="D9" s="13">
        <v>1135648</v>
      </c>
      <c r="E9" s="13">
        <v>940028</v>
      </c>
      <c r="F9" s="14">
        <v>5715707</v>
      </c>
      <c r="G9" s="14">
        <v>23582384</v>
      </c>
      <c r="H9" s="15">
        <v>23582384</v>
      </c>
      <c r="I9" s="1"/>
    </row>
    <row r="10" spans="1:14" x14ac:dyDescent="0.25">
      <c r="A10" s="12" t="s">
        <v>20</v>
      </c>
      <c r="B10" s="13">
        <v>1530968</v>
      </c>
      <c r="C10" s="13">
        <v>2473627</v>
      </c>
      <c r="D10" s="13">
        <v>969637</v>
      </c>
      <c r="E10" s="13">
        <v>1547853</v>
      </c>
      <c r="F10" s="14">
        <v>6522085</v>
      </c>
      <c r="G10" s="14">
        <v>30104468</v>
      </c>
      <c r="H10" s="15">
        <v>30104468</v>
      </c>
      <c r="I10" s="1"/>
      <c r="J10" s="1"/>
      <c r="K10" s="1"/>
      <c r="L10" s="1"/>
      <c r="M10" s="1"/>
      <c r="N10" s="1"/>
    </row>
    <row r="11" spans="1:14" x14ac:dyDescent="0.25">
      <c r="A11" s="12" t="s">
        <v>21</v>
      </c>
      <c r="B11" s="13">
        <v>1659789</v>
      </c>
      <c r="C11" s="13">
        <v>2970183</v>
      </c>
      <c r="D11" s="13">
        <v>1397930</v>
      </c>
      <c r="E11" s="13">
        <v>1379549</v>
      </c>
      <c r="F11" s="14">
        <v>7407450</v>
      </c>
      <c r="G11" s="14">
        <v>37511919</v>
      </c>
      <c r="H11" s="15">
        <v>37511919</v>
      </c>
      <c r="I11" s="1"/>
    </row>
    <row r="12" spans="1:14" x14ac:dyDescent="0.25">
      <c r="A12" s="12" t="s">
        <v>22</v>
      </c>
      <c r="B12" s="13">
        <v>1892780</v>
      </c>
      <c r="C12" s="13">
        <v>3307078</v>
      </c>
      <c r="D12" s="13">
        <v>1464796</v>
      </c>
      <c r="E12" s="13">
        <v>1076513</v>
      </c>
      <c r="F12" s="14">
        <v>7741167</v>
      </c>
      <c r="G12" s="14">
        <v>45253086</v>
      </c>
      <c r="H12" s="15">
        <v>45253086</v>
      </c>
      <c r="I12" s="1"/>
    </row>
    <row r="13" spans="1:14" x14ac:dyDescent="0.25">
      <c r="A13" s="12" t="s">
        <v>23</v>
      </c>
      <c r="B13" s="13">
        <v>1795545</v>
      </c>
      <c r="C13" s="13">
        <v>2940346</v>
      </c>
      <c r="D13" s="13">
        <v>1446105</v>
      </c>
      <c r="E13" s="13">
        <v>1050874</v>
      </c>
      <c r="F13" s="14">
        <v>7232870</v>
      </c>
      <c r="G13" s="14">
        <v>52485956</v>
      </c>
      <c r="H13" s="15">
        <v>52485956</v>
      </c>
      <c r="I13" s="1"/>
    </row>
    <row r="14" spans="1:14" x14ac:dyDescent="0.25">
      <c r="A14" s="12" t="s">
        <v>24</v>
      </c>
      <c r="B14" s="13">
        <v>1816579</v>
      </c>
      <c r="C14" s="13">
        <v>3244159</v>
      </c>
      <c r="D14" s="13">
        <v>1718273</v>
      </c>
      <c r="E14" s="13">
        <v>863790</v>
      </c>
      <c r="F14" s="14">
        <v>7642800</v>
      </c>
      <c r="G14" s="14">
        <v>60128755</v>
      </c>
      <c r="H14" s="15">
        <v>60128755</v>
      </c>
      <c r="I14" s="1"/>
    </row>
    <row r="15" spans="1:14" x14ac:dyDescent="0.25">
      <c r="A15" s="20" t="s">
        <v>25</v>
      </c>
      <c r="B15" s="16">
        <v>1649935</v>
      </c>
      <c r="C15" s="16">
        <v>2933821</v>
      </c>
      <c r="D15" s="16">
        <v>1363689</v>
      </c>
      <c r="E15" s="16">
        <v>1518123</v>
      </c>
      <c r="F15" s="21">
        <v>7465568</v>
      </c>
      <c r="G15" s="19">
        <v>67594323</v>
      </c>
      <c r="H15" s="22">
        <v>67594323</v>
      </c>
      <c r="I15" s="1"/>
    </row>
    <row r="16" spans="1:14" x14ac:dyDescent="0.25">
      <c r="A16" s="12" t="s">
        <v>26</v>
      </c>
      <c r="B16" s="13">
        <v>1874283</v>
      </c>
      <c r="C16" s="13">
        <v>3472230</v>
      </c>
      <c r="D16" s="13">
        <v>1965731</v>
      </c>
      <c r="E16" s="13">
        <v>1245897</v>
      </c>
      <c r="F16" s="14">
        <v>8558141</v>
      </c>
      <c r="G16" s="14">
        <v>8558141</v>
      </c>
      <c r="H16" s="15">
        <v>76152465</v>
      </c>
      <c r="I16" s="1"/>
      <c r="J16" s="1"/>
      <c r="K16" s="1"/>
      <c r="L16" s="1"/>
      <c r="M16" s="1"/>
      <c r="N16" s="1"/>
    </row>
    <row r="17" spans="1:14" x14ac:dyDescent="0.25">
      <c r="A17" s="12" t="s">
        <v>27</v>
      </c>
      <c r="B17" s="13">
        <v>1808419</v>
      </c>
      <c r="C17" s="13">
        <v>3547864</v>
      </c>
      <c r="D17" s="13">
        <v>2349219</v>
      </c>
      <c r="E17" s="13">
        <v>1096793</v>
      </c>
      <c r="F17" s="14">
        <v>8802295</v>
      </c>
      <c r="G17" s="14">
        <v>17360436</v>
      </c>
      <c r="H17" s="15">
        <v>84954760</v>
      </c>
      <c r="I17" s="1"/>
    </row>
    <row r="18" spans="1:14" x14ac:dyDescent="0.25">
      <c r="A18" s="12" t="s">
        <v>28</v>
      </c>
      <c r="B18" s="13">
        <v>1919649</v>
      </c>
      <c r="C18" s="13">
        <v>3792120</v>
      </c>
      <c r="D18" s="13">
        <v>2123091</v>
      </c>
      <c r="E18" s="13">
        <v>1264534</v>
      </c>
      <c r="F18" s="14">
        <v>9099395</v>
      </c>
      <c r="G18" s="14">
        <v>26459831</v>
      </c>
      <c r="H18" s="15">
        <v>94054154</v>
      </c>
      <c r="I18" s="1"/>
    </row>
    <row r="19" spans="1:14" x14ac:dyDescent="0.25">
      <c r="A19" s="12" t="s">
        <v>29</v>
      </c>
      <c r="B19" s="13">
        <v>2093101</v>
      </c>
      <c r="C19" s="13">
        <v>4282160</v>
      </c>
      <c r="D19" s="13">
        <v>2587352</v>
      </c>
      <c r="E19" s="13">
        <v>1017030</v>
      </c>
      <c r="F19" s="14">
        <v>9979643</v>
      </c>
      <c r="G19" s="14">
        <v>36439474</v>
      </c>
      <c r="H19" s="15">
        <v>104033797</v>
      </c>
      <c r="I19" s="1"/>
    </row>
    <row r="20" spans="1:14" x14ac:dyDescent="0.25">
      <c r="A20" s="12" t="s">
        <v>30</v>
      </c>
      <c r="B20" s="13">
        <v>2084081</v>
      </c>
      <c r="C20" s="13">
        <v>4390362</v>
      </c>
      <c r="D20" s="13">
        <v>3103722</v>
      </c>
      <c r="E20" s="13">
        <v>1039145</v>
      </c>
      <c r="F20" s="14">
        <v>10617311</v>
      </c>
      <c r="G20" s="14">
        <v>47056785</v>
      </c>
      <c r="H20" s="15">
        <v>114651108</v>
      </c>
      <c r="I20" s="1"/>
    </row>
    <row r="21" spans="1:14" x14ac:dyDescent="0.25">
      <c r="A21" s="12" t="s">
        <v>31</v>
      </c>
      <c r="B21" s="13">
        <v>2100621</v>
      </c>
      <c r="C21" s="13">
        <v>4663848</v>
      </c>
      <c r="D21" s="13">
        <v>3506230</v>
      </c>
      <c r="E21" s="13">
        <v>1055753</v>
      </c>
      <c r="F21" s="14">
        <v>11326452</v>
      </c>
      <c r="G21" s="14">
        <v>58383236</v>
      </c>
      <c r="H21" s="15">
        <v>125977560</v>
      </c>
      <c r="I21" s="1"/>
    </row>
    <row r="22" spans="1:14" x14ac:dyDescent="0.25">
      <c r="A22" s="12" t="s">
        <v>32</v>
      </c>
      <c r="B22" s="13">
        <v>2394910</v>
      </c>
      <c r="C22" s="13">
        <v>4394550</v>
      </c>
      <c r="D22" s="13">
        <v>2933200</v>
      </c>
      <c r="E22" s="13">
        <v>1133924</v>
      </c>
      <c r="F22" s="14">
        <v>10856584</v>
      </c>
      <c r="G22" s="14">
        <v>69239821</v>
      </c>
      <c r="H22" s="15">
        <v>136834144</v>
      </c>
      <c r="I22" s="1"/>
      <c r="J22" s="1"/>
      <c r="K22" s="1"/>
      <c r="L22" s="1"/>
      <c r="M22" s="1"/>
      <c r="N22" s="1"/>
    </row>
    <row r="23" spans="1:14" x14ac:dyDescent="0.25">
      <c r="A23" s="12" t="s">
        <v>33</v>
      </c>
      <c r="B23" s="13">
        <v>2698757</v>
      </c>
      <c r="C23" s="13">
        <v>5839613</v>
      </c>
      <c r="D23" s="13">
        <v>3070314</v>
      </c>
      <c r="E23" s="13">
        <v>1202753</v>
      </c>
      <c r="F23" s="14">
        <v>12811437</v>
      </c>
      <c r="G23" s="14">
        <v>82051258</v>
      </c>
      <c r="H23" s="15">
        <v>149645581</v>
      </c>
      <c r="I23" s="1"/>
    </row>
    <row r="24" spans="1:14" x14ac:dyDescent="0.25">
      <c r="A24" s="12" t="s">
        <v>34</v>
      </c>
      <c r="B24" s="13">
        <v>2821102</v>
      </c>
      <c r="C24" s="13">
        <v>5813123</v>
      </c>
      <c r="D24" s="13">
        <v>3328898</v>
      </c>
      <c r="E24" s="13">
        <v>1218635</v>
      </c>
      <c r="F24" s="14">
        <v>13181758</v>
      </c>
      <c r="G24" s="14">
        <v>95233015</v>
      </c>
      <c r="H24" s="15">
        <v>162827339</v>
      </c>
      <c r="I24" s="1"/>
    </row>
    <row r="25" spans="1:14" x14ac:dyDescent="0.25">
      <c r="A25" s="12" t="s">
        <v>35</v>
      </c>
      <c r="B25" s="13">
        <v>2656088</v>
      </c>
      <c r="C25" s="13">
        <v>4955077</v>
      </c>
      <c r="D25" s="13">
        <v>2796865</v>
      </c>
      <c r="E25" s="13">
        <v>1248706</v>
      </c>
      <c r="F25" s="14">
        <v>11656736</v>
      </c>
      <c r="G25" s="14">
        <v>106889751</v>
      </c>
      <c r="H25" s="15">
        <v>174484075</v>
      </c>
      <c r="I25" s="1"/>
    </row>
    <row r="26" spans="1:14" x14ac:dyDescent="0.25">
      <c r="A26" s="12" t="s">
        <v>36</v>
      </c>
      <c r="B26" s="13">
        <v>2256473</v>
      </c>
      <c r="C26" s="13">
        <v>5207345</v>
      </c>
      <c r="D26" s="13">
        <v>2604672</v>
      </c>
      <c r="E26" s="13">
        <v>1221521</v>
      </c>
      <c r="F26" s="14">
        <v>11290012</v>
      </c>
      <c r="G26" s="14">
        <v>118179763</v>
      </c>
      <c r="H26" s="15">
        <v>185774087</v>
      </c>
      <c r="I26" s="1"/>
    </row>
    <row r="27" spans="1:14" x14ac:dyDescent="0.25">
      <c r="A27" s="20" t="s">
        <v>37</v>
      </c>
      <c r="B27" s="16">
        <v>2261503</v>
      </c>
      <c r="C27" s="16">
        <v>5258248</v>
      </c>
      <c r="D27" s="16">
        <v>3048539</v>
      </c>
      <c r="E27" s="16">
        <v>1663120</v>
      </c>
      <c r="F27" s="21">
        <v>12231410</v>
      </c>
      <c r="G27" s="19">
        <v>130411173</v>
      </c>
      <c r="H27" s="22">
        <v>198005496</v>
      </c>
    </row>
    <row r="28" spans="1:14" x14ac:dyDescent="0.25">
      <c r="A28" s="12" t="s">
        <v>38</v>
      </c>
      <c r="B28" s="13">
        <v>2841308</v>
      </c>
      <c r="C28" s="13">
        <v>5438522</v>
      </c>
      <c r="D28" s="13">
        <v>3608488</v>
      </c>
      <c r="E28" s="13">
        <v>1359117</v>
      </c>
      <c r="F28" s="14">
        <v>13247434</v>
      </c>
      <c r="G28" s="14">
        <v>13247434</v>
      </c>
      <c r="H28" s="15">
        <v>211252931</v>
      </c>
    </row>
    <row r="29" spans="1:14" x14ac:dyDescent="0.25">
      <c r="A29" s="12" t="s">
        <v>39</v>
      </c>
      <c r="B29" s="13">
        <v>2482086</v>
      </c>
      <c r="C29" s="13">
        <v>5213363</v>
      </c>
      <c r="D29" s="13">
        <v>3671875</v>
      </c>
      <c r="E29" s="13">
        <v>1099292</v>
      </c>
      <c r="F29" s="14">
        <v>12466617</v>
      </c>
      <c r="G29" s="14">
        <v>25714051</v>
      </c>
      <c r="H29" s="15">
        <v>223719547</v>
      </c>
    </row>
    <row r="30" spans="1:14" x14ac:dyDescent="0.25">
      <c r="A30" s="12" t="s">
        <v>40</v>
      </c>
      <c r="B30" s="13">
        <v>2599446</v>
      </c>
      <c r="C30" s="13">
        <v>6163941</v>
      </c>
      <c r="D30" s="13">
        <v>4015437</v>
      </c>
      <c r="E30" s="13">
        <v>1417099</v>
      </c>
      <c r="F30" s="14">
        <v>14195923</v>
      </c>
      <c r="G30" s="14">
        <v>39909974</v>
      </c>
      <c r="H30" s="15">
        <v>237915471</v>
      </c>
    </row>
    <row r="31" spans="1:14" x14ac:dyDescent="0.25">
      <c r="A31" s="12" t="s">
        <v>41</v>
      </c>
      <c r="B31" s="13">
        <v>2493845</v>
      </c>
      <c r="C31" s="13">
        <v>5876965</v>
      </c>
      <c r="D31" s="13">
        <v>3489694</v>
      </c>
      <c r="E31" s="13">
        <v>1236794</v>
      </c>
      <c r="F31" s="14">
        <v>13097298</v>
      </c>
      <c r="G31" s="14">
        <v>53007272</v>
      </c>
      <c r="H31" s="15">
        <v>251012768</v>
      </c>
    </row>
    <row r="32" spans="1:14" x14ac:dyDescent="0.25">
      <c r="A32" s="12" t="s">
        <v>42</v>
      </c>
      <c r="B32" s="13">
        <v>3292341</v>
      </c>
      <c r="C32" s="13">
        <v>6944330</v>
      </c>
      <c r="D32" s="13">
        <v>5538327</v>
      </c>
      <c r="E32" s="13">
        <v>1408164</v>
      </c>
      <c r="F32" s="14">
        <v>17183162</v>
      </c>
      <c r="G32" s="14">
        <v>70190434</v>
      </c>
      <c r="H32" s="15">
        <v>268195930</v>
      </c>
    </row>
    <row r="33" spans="1:8" x14ac:dyDescent="0.25">
      <c r="A33" s="12" t="s">
        <v>43</v>
      </c>
      <c r="B33" s="13">
        <v>2763721</v>
      </c>
      <c r="C33" s="13">
        <v>5989446</v>
      </c>
      <c r="D33" s="13">
        <v>4524531</v>
      </c>
      <c r="E33" s="13">
        <v>1204950</v>
      </c>
      <c r="F33" s="14">
        <v>14482648</v>
      </c>
      <c r="G33" s="14">
        <v>84673082</v>
      </c>
      <c r="H33" s="15">
        <v>282678578</v>
      </c>
    </row>
    <row r="34" spans="1:8" x14ac:dyDescent="0.25">
      <c r="A34" s="12" t="s">
        <v>44</v>
      </c>
      <c r="B34" s="13">
        <v>3130847</v>
      </c>
      <c r="C34" s="13">
        <v>7414551</v>
      </c>
      <c r="D34" s="13">
        <v>5378690</v>
      </c>
      <c r="E34" s="13">
        <v>899760</v>
      </c>
      <c r="F34" s="14">
        <v>16823849</v>
      </c>
      <c r="G34" s="14">
        <v>101496931</v>
      </c>
      <c r="H34" s="15">
        <v>299502427</v>
      </c>
    </row>
    <row r="35" spans="1:8" x14ac:dyDescent="0.25">
      <c r="A35" s="12" t="s">
        <v>45</v>
      </c>
      <c r="B35" s="13">
        <v>3440132</v>
      </c>
      <c r="C35" s="13">
        <v>8263335</v>
      </c>
      <c r="D35" s="13">
        <v>4711405</v>
      </c>
      <c r="E35" s="13">
        <v>1159277</v>
      </c>
      <c r="F35" s="14">
        <v>17574149</v>
      </c>
      <c r="G35" s="14">
        <v>119071079</v>
      </c>
      <c r="H35" s="15">
        <v>317076575</v>
      </c>
    </row>
    <row r="36" spans="1:8" x14ac:dyDescent="0.25">
      <c r="A36" s="12" t="s">
        <v>46</v>
      </c>
      <c r="B36" s="13">
        <v>3535768</v>
      </c>
      <c r="C36" s="13">
        <v>8492129</v>
      </c>
      <c r="D36" s="13">
        <v>6233494</v>
      </c>
      <c r="E36" s="13">
        <v>884601</v>
      </c>
      <c r="F36" s="14">
        <v>19145992</v>
      </c>
      <c r="G36" s="14">
        <v>138217071</v>
      </c>
      <c r="H36" s="15">
        <v>336222567</v>
      </c>
    </row>
    <row r="37" spans="1:8" x14ac:dyDescent="0.25">
      <c r="A37" s="12" t="s">
        <v>47</v>
      </c>
      <c r="B37" s="13">
        <v>3584480</v>
      </c>
      <c r="C37" s="13">
        <v>8584952</v>
      </c>
      <c r="D37" s="13">
        <v>6071105</v>
      </c>
      <c r="E37" s="13">
        <v>1026385</v>
      </c>
      <c r="F37" s="14">
        <v>19266922</v>
      </c>
      <c r="G37" s="14">
        <v>157483992</v>
      </c>
      <c r="H37" s="15">
        <v>355489488</v>
      </c>
    </row>
    <row r="38" spans="1:8" x14ac:dyDescent="0.25">
      <c r="A38" s="12" t="s">
        <v>48</v>
      </c>
      <c r="B38" s="13">
        <v>3304756</v>
      </c>
      <c r="C38" s="13">
        <v>8115943</v>
      </c>
      <c r="D38" s="13">
        <v>6045927</v>
      </c>
      <c r="E38" s="13">
        <v>959239</v>
      </c>
      <c r="F38" s="14">
        <v>18425864</v>
      </c>
      <c r="G38" s="14">
        <v>175909857</v>
      </c>
      <c r="H38" s="15">
        <v>373915353</v>
      </c>
    </row>
    <row r="39" spans="1:8" x14ac:dyDescent="0.25">
      <c r="A39" s="20" t="s">
        <v>49</v>
      </c>
      <c r="B39" s="16">
        <v>2980227</v>
      </c>
      <c r="C39" s="16">
        <v>7252646</v>
      </c>
      <c r="D39" s="16">
        <v>6131564</v>
      </c>
      <c r="E39" s="16">
        <v>1330517</v>
      </c>
      <c r="F39" s="21">
        <v>17694953</v>
      </c>
      <c r="G39" s="19">
        <v>193604810</v>
      </c>
      <c r="H39" s="22">
        <v>391610306</v>
      </c>
    </row>
    <row r="40" spans="1:8" x14ac:dyDescent="0.25">
      <c r="A40" s="12" t="s">
        <v>50</v>
      </c>
      <c r="B40" s="13">
        <v>3217201</v>
      </c>
      <c r="C40" s="13">
        <v>7746575</v>
      </c>
      <c r="D40" s="13">
        <v>6174352</v>
      </c>
      <c r="E40" s="13">
        <v>1026660</v>
      </c>
      <c r="F40" s="14">
        <v>18164787</v>
      </c>
      <c r="G40" s="14">
        <v>18164787</v>
      </c>
      <c r="H40" s="15">
        <v>409775094</v>
      </c>
    </row>
    <row r="41" spans="1:8" x14ac:dyDescent="0.25">
      <c r="A41" s="12" t="s">
        <v>51</v>
      </c>
      <c r="B41" s="13">
        <v>3056541</v>
      </c>
      <c r="C41" s="13">
        <v>8186608</v>
      </c>
      <c r="D41" s="13">
        <v>5503295</v>
      </c>
      <c r="E41" s="13">
        <v>977414</v>
      </c>
      <c r="F41" s="14">
        <v>17723858</v>
      </c>
      <c r="G41" s="14">
        <v>35888645</v>
      </c>
      <c r="H41" s="15">
        <v>427498951</v>
      </c>
    </row>
    <row r="42" spans="1:8" x14ac:dyDescent="0.25">
      <c r="A42" s="12" t="s">
        <v>52</v>
      </c>
      <c r="B42" s="13">
        <v>3534708</v>
      </c>
      <c r="C42" s="13">
        <v>7410258</v>
      </c>
      <c r="D42" s="13">
        <v>5367365</v>
      </c>
      <c r="E42" s="13">
        <v>1238362</v>
      </c>
      <c r="F42" s="14">
        <v>17550692</v>
      </c>
      <c r="G42" s="14">
        <v>53439337</v>
      </c>
      <c r="H42" s="15">
        <v>445049643</v>
      </c>
    </row>
    <row r="43" spans="1:8" x14ac:dyDescent="0.25">
      <c r="A43" s="12" t="s">
        <v>53</v>
      </c>
      <c r="B43" s="13">
        <v>3692930</v>
      </c>
      <c r="C43" s="13">
        <v>10107620</v>
      </c>
      <c r="D43" s="13">
        <v>7867853</v>
      </c>
      <c r="E43" s="13">
        <v>1199185</v>
      </c>
      <c r="F43" s="14">
        <v>22867587</v>
      </c>
      <c r="G43" s="14">
        <v>76306924</v>
      </c>
      <c r="H43" s="15">
        <v>467917230</v>
      </c>
    </row>
    <row r="44" spans="1:8" x14ac:dyDescent="0.25">
      <c r="A44" s="12" t="s">
        <v>54</v>
      </c>
      <c r="B44" s="13">
        <v>3511986</v>
      </c>
      <c r="C44" s="13">
        <v>8105694</v>
      </c>
      <c r="D44" s="13">
        <v>5699916</v>
      </c>
      <c r="E44" s="13">
        <v>1246343</v>
      </c>
      <c r="F44" s="14">
        <v>18563939</v>
      </c>
      <c r="G44" s="14">
        <v>94870862</v>
      </c>
      <c r="H44" s="15">
        <v>486481169</v>
      </c>
    </row>
    <row r="45" spans="1:8" x14ac:dyDescent="0.25">
      <c r="A45" s="12" t="s">
        <v>55</v>
      </c>
      <c r="B45" s="13">
        <v>3579867</v>
      </c>
      <c r="C45" s="13">
        <v>8744941</v>
      </c>
      <c r="D45" s="13">
        <v>6238143</v>
      </c>
      <c r="E45" s="13">
        <v>1099512</v>
      </c>
      <c r="F45" s="14">
        <v>19662464</v>
      </c>
      <c r="G45" s="14">
        <v>114533326</v>
      </c>
      <c r="H45" s="15">
        <v>506143632</v>
      </c>
    </row>
    <row r="46" spans="1:8" x14ac:dyDescent="0.25">
      <c r="A46" s="12" t="s">
        <v>56</v>
      </c>
      <c r="B46" s="13">
        <v>3691932</v>
      </c>
      <c r="C46" s="13">
        <v>9413260</v>
      </c>
      <c r="D46" s="13">
        <v>6416003</v>
      </c>
      <c r="E46" s="13">
        <v>916556</v>
      </c>
      <c r="F46" s="14">
        <v>20437751</v>
      </c>
      <c r="G46" s="14">
        <v>134971077</v>
      </c>
      <c r="H46" s="15">
        <v>526581383</v>
      </c>
    </row>
    <row r="47" spans="1:8" x14ac:dyDescent="0.25">
      <c r="A47" s="12" t="s">
        <v>57</v>
      </c>
      <c r="B47" s="13">
        <v>1738885</v>
      </c>
      <c r="C47" s="13">
        <v>15171154</v>
      </c>
      <c r="D47" s="13">
        <v>5536495</v>
      </c>
      <c r="E47" s="13">
        <v>1328509</v>
      </c>
      <c r="F47" s="14">
        <v>23775043</v>
      </c>
      <c r="G47" s="14">
        <v>158746120</v>
      </c>
      <c r="H47" s="15">
        <v>550356427</v>
      </c>
    </row>
    <row r="48" spans="1:8" x14ac:dyDescent="0.25">
      <c r="A48" s="18" t="s">
        <v>58</v>
      </c>
      <c r="B48" s="13">
        <v>1353514</v>
      </c>
      <c r="C48" s="13">
        <v>15044994</v>
      </c>
      <c r="D48" s="13">
        <v>5816240</v>
      </c>
      <c r="E48" s="13">
        <v>1020759</v>
      </c>
      <c r="F48" s="14">
        <v>23235507</v>
      </c>
      <c r="G48" s="14">
        <v>181981627</v>
      </c>
      <c r="H48" s="15">
        <v>573591933</v>
      </c>
    </row>
    <row r="49" spans="1:8" x14ac:dyDescent="0.25">
      <c r="A49" s="18" t="s">
        <v>59</v>
      </c>
      <c r="B49" s="13">
        <v>999826</v>
      </c>
      <c r="C49" s="13">
        <v>15125886</v>
      </c>
      <c r="D49" s="13">
        <v>5997375</v>
      </c>
      <c r="E49" s="13">
        <v>975320</v>
      </c>
      <c r="F49" s="14">
        <v>23098408</v>
      </c>
      <c r="G49" s="14">
        <v>205080035</v>
      </c>
      <c r="H49" s="15">
        <v>596690341</v>
      </c>
    </row>
    <row r="50" spans="1:8" x14ac:dyDescent="0.25">
      <c r="A50" s="18" t="s">
        <v>60</v>
      </c>
      <c r="B50" s="13">
        <v>1021820</v>
      </c>
      <c r="C50" s="13">
        <v>13148705</v>
      </c>
      <c r="D50" s="13">
        <v>5771416</v>
      </c>
      <c r="E50" s="13">
        <v>1135051</v>
      </c>
      <c r="F50" s="13">
        <v>21076993</v>
      </c>
      <c r="G50" s="14">
        <v>226157028</v>
      </c>
      <c r="H50" s="15">
        <v>617767334</v>
      </c>
    </row>
    <row r="51" spans="1:8" x14ac:dyDescent="0.25">
      <c r="A51" s="17" t="s">
        <v>61</v>
      </c>
      <c r="B51" s="16">
        <v>1137691</v>
      </c>
      <c r="C51" s="16">
        <v>13307123</v>
      </c>
      <c r="D51" s="16">
        <v>5576575</v>
      </c>
      <c r="E51" s="16">
        <v>1190056</v>
      </c>
      <c r="F51" s="16">
        <v>21211445</v>
      </c>
      <c r="G51" s="19">
        <v>247368473</v>
      </c>
      <c r="H51" s="22">
        <v>638978779</v>
      </c>
    </row>
    <row r="52" spans="1:8" x14ac:dyDescent="0.25">
      <c r="A52" s="18" t="s">
        <v>62</v>
      </c>
      <c r="B52" s="13">
        <v>1181904</v>
      </c>
      <c r="C52" s="13">
        <v>13816947</v>
      </c>
      <c r="D52" s="13">
        <v>5619025</v>
      </c>
      <c r="E52" s="13">
        <v>1063563</v>
      </c>
      <c r="F52" s="13">
        <v>21681438</v>
      </c>
      <c r="G52" s="14">
        <v>21681438</v>
      </c>
      <c r="H52" s="15">
        <v>660660217</v>
      </c>
    </row>
    <row r="53" spans="1:8" x14ac:dyDescent="0.25">
      <c r="A53" s="18" t="s">
        <v>63</v>
      </c>
      <c r="B53" s="13">
        <v>949653</v>
      </c>
      <c r="C53" s="13">
        <v>13445106</v>
      </c>
      <c r="D53" s="13">
        <v>5756281</v>
      </c>
      <c r="E53" s="13">
        <v>983823</v>
      </c>
      <c r="F53" s="13">
        <v>21134864</v>
      </c>
      <c r="G53" s="14">
        <v>42816302</v>
      </c>
      <c r="H53" s="15">
        <v>681795081</v>
      </c>
    </row>
    <row r="54" spans="1:8" x14ac:dyDescent="0.25">
      <c r="A54" s="18" t="s">
        <v>64</v>
      </c>
      <c r="B54" s="13">
        <v>812244</v>
      </c>
      <c r="C54" s="13">
        <v>13853459</v>
      </c>
      <c r="D54" s="13">
        <v>5233996</v>
      </c>
      <c r="E54" s="13">
        <v>972122</v>
      </c>
      <c r="F54" s="13">
        <v>20871820</v>
      </c>
      <c r="G54" s="8">
        <v>63688122</v>
      </c>
      <c r="H54" s="15">
        <v>702666901</v>
      </c>
    </row>
    <row r="55" spans="1:8" x14ac:dyDescent="0.25">
      <c r="A55" s="18" t="s">
        <v>65</v>
      </c>
      <c r="B55" s="13">
        <v>966721</v>
      </c>
      <c r="C55" s="13">
        <v>15340824</v>
      </c>
      <c r="D55" s="13">
        <v>5598581</v>
      </c>
      <c r="E55" s="13">
        <v>1041014</v>
      </c>
      <c r="F55" s="13">
        <v>22947141</v>
      </c>
      <c r="G55" s="8">
        <v>86635263</v>
      </c>
      <c r="H55" s="15">
        <v>725614042</v>
      </c>
    </row>
    <row r="56" spans="1:8" x14ac:dyDescent="0.25">
      <c r="A56" s="18" t="s">
        <v>66</v>
      </c>
      <c r="B56" s="13">
        <v>1014752</v>
      </c>
      <c r="C56" s="13">
        <v>14608085</v>
      </c>
      <c r="D56" s="13">
        <v>5586593</v>
      </c>
      <c r="E56" s="13">
        <v>1158277</v>
      </c>
      <c r="F56" s="13">
        <v>22367707</v>
      </c>
      <c r="G56" s="8">
        <v>109002969</v>
      </c>
      <c r="H56" s="15">
        <v>747981749</v>
      </c>
    </row>
    <row r="57" spans="1:8" ht="15" customHeight="1" x14ac:dyDescent="0.25">
      <c r="A57" s="18" t="s">
        <v>67</v>
      </c>
      <c r="B57" s="13">
        <v>949473</v>
      </c>
      <c r="C57" s="13">
        <v>14911288</v>
      </c>
      <c r="D57" s="13">
        <v>5051632</v>
      </c>
      <c r="E57" s="13">
        <v>1016300</v>
      </c>
      <c r="F57" s="13">
        <v>21928692</v>
      </c>
      <c r="G57" s="8">
        <v>130931662</v>
      </c>
      <c r="H57" s="15">
        <v>769910441</v>
      </c>
    </row>
    <row r="58" spans="1:8" x14ac:dyDescent="0.25">
      <c r="A58" s="17" t="s">
        <v>68</v>
      </c>
      <c r="B58" s="16">
        <v>792289</v>
      </c>
      <c r="C58" s="16">
        <v>15968272</v>
      </c>
      <c r="D58" s="16">
        <v>5215347</v>
      </c>
      <c r="E58" s="16">
        <v>987870</v>
      </c>
      <c r="F58" s="16">
        <v>22963778</v>
      </c>
      <c r="G58" s="23">
        <v>153895440</v>
      </c>
      <c r="H58" s="22">
        <v>792874219</v>
      </c>
    </row>
    <row r="59" spans="1:8" x14ac:dyDescent="0.25">
      <c r="A59" s="7"/>
      <c r="B59" s="8"/>
      <c r="C59" s="8"/>
      <c r="D59" s="8"/>
      <c r="E59" s="8"/>
      <c r="F59" s="8"/>
      <c r="G59" s="8"/>
      <c r="H59" s="8"/>
    </row>
    <row r="60" spans="1:8" x14ac:dyDescent="0.25">
      <c r="A60" s="304" t="s">
        <v>9</v>
      </c>
      <c r="B60" s="304"/>
      <c r="C60" s="304"/>
      <c r="D60" s="304"/>
      <c r="E60" s="304"/>
      <c r="F60" s="304"/>
      <c r="G60" s="304"/>
      <c r="H60" s="304"/>
    </row>
    <row r="61" spans="1:8" ht="15" customHeight="1" x14ac:dyDescent="0.25">
      <c r="A61" s="306" t="s">
        <v>69</v>
      </c>
      <c r="B61" s="306"/>
      <c r="C61" s="306"/>
      <c r="D61" s="306"/>
      <c r="E61" s="306"/>
      <c r="F61" s="306"/>
      <c r="G61" s="306"/>
      <c r="H61" s="306"/>
    </row>
    <row r="62" spans="1:8" ht="15" customHeight="1" x14ac:dyDescent="0.25">
      <c r="A62" s="306" t="s">
        <v>70</v>
      </c>
      <c r="B62" s="306"/>
      <c r="C62" s="306"/>
      <c r="D62" s="306"/>
      <c r="E62" s="306"/>
      <c r="F62" s="306"/>
      <c r="G62" s="306"/>
      <c r="H62" s="306"/>
    </row>
    <row r="63" spans="1:8" x14ac:dyDescent="0.25">
      <c r="A63" s="306" t="s">
        <v>71</v>
      </c>
      <c r="B63" s="306"/>
      <c r="C63" s="306"/>
      <c r="D63" s="306"/>
      <c r="E63" s="306"/>
      <c r="F63" s="306"/>
      <c r="G63" s="306"/>
      <c r="H63" s="306"/>
    </row>
    <row r="64" spans="1:8" ht="15" customHeight="1" x14ac:dyDescent="0.25">
      <c r="A64" s="306" t="s">
        <v>72</v>
      </c>
      <c r="B64" s="306"/>
      <c r="C64" s="306"/>
      <c r="D64" s="306"/>
      <c r="E64" s="306"/>
      <c r="F64" s="306"/>
      <c r="G64" s="306"/>
      <c r="H64" s="306"/>
    </row>
    <row r="65" spans="1:8" ht="15" customHeight="1" x14ac:dyDescent="0.25">
      <c r="A65" s="306" t="s">
        <v>73</v>
      </c>
      <c r="B65" s="306"/>
      <c r="C65" s="306"/>
      <c r="D65" s="306"/>
      <c r="E65" s="306"/>
      <c r="F65" s="306"/>
      <c r="G65" s="306"/>
      <c r="H65" s="306"/>
    </row>
    <row r="66" spans="1:8" x14ac:dyDescent="0.25">
      <c r="A66" s="307"/>
      <c r="B66" s="307"/>
      <c r="C66" s="307"/>
      <c r="D66" s="307"/>
      <c r="E66" s="307"/>
      <c r="F66" s="307"/>
      <c r="G66" s="307"/>
      <c r="H66" s="307"/>
    </row>
    <row r="67" spans="1:8" x14ac:dyDescent="0.25">
      <c r="A67" s="306" t="s">
        <v>12</v>
      </c>
      <c r="B67" s="306"/>
      <c r="C67" s="306"/>
      <c r="D67" s="306"/>
      <c r="E67" s="306"/>
      <c r="F67" s="306"/>
      <c r="G67" s="306"/>
      <c r="H67" s="306"/>
    </row>
    <row r="68" spans="1:8" x14ac:dyDescent="0.25">
      <c r="A68" s="306" t="s">
        <v>13</v>
      </c>
      <c r="B68" s="306"/>
      <c r="C68" s="306"/>
      <c r="D68" s="306"/>
      <c r="E68" s="306"/>
      <c r="F68" s="306"/>
      <c r="G68" s="306"/>
      <c r="H68" s="306"/>
    </row>
    <row r="69" spans="1:8" x14ac:dyDescent="0.25">
      <c r="A69" s="307"/>
      <c r="B69" s="307"/>
      <c r="C69" s="307"/>
      <c r="D69" s="307"/>
      <c r="E69" s="307"/>
      <c r="F69" s="307"/>
      <c r="G69" s="307"/>
      <c r="H69" s="307"/>
    </row>
    <row r="70" spans="1:8" x14ac:dyDescent="0.25">
      <c r="A70" s="304" t="s">
        <v>6</v>
      </c>
      <c r="B70" s="304"/>
      <c r="C70" s="304"/>
      <c r="D70" s="304"/>
      <c r="E70" s="304"/>
      <c r="F70" s="304"/>
      <c r="G70" s="304"/>
      <c r="H70" s="304"/>
    </row>
    <row r="71" spans="1:8" x14ac:dyDescent="0.25">
      <c r="A71" s="304" t="s">
        <v>7</v>
      </c>
      <c r="B71" s="304"/>
      <c r="C71" s="304"/>
      <c r="D71" s="304"/>
      <c r="E71" s="304"/>
      <c r="F71" s="304"/>
      <c r="G71" s="304"/>
      <c r="H71" s="304"/>
    </row>
    <row r="72" spans="1:8" x14ac:dyDescent="0.25">
      <c r="A72" s="305"/>
      <c r="B72" s="305"/>
      <c r="C72" s="305"/>
      <c r="D72" s="305"/>
      <c r="E72" s="305"/>
      <c r="F72" s="305"/>
      <c r="G72" s="305"/>
      <c r="H72" s="305"/>
    </row>
    <row r="73" spans="1:8" x14ac:dyDescent="0.25">
      <c r="A73" s="305" t="s">
        <v>74</v>
      </c>
      <c r="B73" s="305"/>
      <c r="C73" s="305"/>
      <c r="D73" s="305"/>
      <c r="E73" s="305"/>
      <c r="F73" s="305"/>
      <c r="G73" s="305"/>
      <c r="H73" s="305"/>
    </row>
    <row r="74" spans="1:8" x14ac:dyDescent="0.25">
      <c r="A74" s="6"/>
      <c r="B74" s="6"/>
      <c r="C74" s="6"/>
      <c r="D74" s="6"/>
      <c r="E74" s="6"/>
      <c r="F74" s="6"/>
      <c r="G74" s="6"/>
      <c r="H74" s="6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A76" s="6"/>
      <c r="B76" s="6"/>
      <c r="C76" s="6"/>
      <c r="D76" s="6"/>
      <c r="E76" s="6"/>
      <c r="F76" s="6"/>
      <c r="G76" s="6"/>
      <c r="H76" s="6"/>
    </row>
    <row r="77" spans="1:8" x14ac:dyDescent="0.25">
      <c r="A77" s="6"/>
      <c r="B77" s="6"/>
      <c r="C77" s="6"/>
      <c r="D77" s="6"/>
      <c r="E77" s="6"/>
      <c r="F77" s="6"/>
      <c r="G77" s="6"/>
      <c r="H77" s="6"/>
    </row>
    <row r="78" spans="1:8" x14ac:dyDescent="0.25">
      <c r="A78" s="6"/>
      <c r="B78" s="6"/>
      <c r="C78" s="6"/>
      <c r="D78" s="6"/>
      <c r="E78" s="6"/>
      <c r="F78" s="6"/>
      <c r="G78" s="6"/>
      <c r="H78" s="6"/>
    </row>
    <row r="79" spans="1:8" x14ac:dyDescent="0.25">
      <c r="A79" s="6"/>
      <c r="B79" s="6"/>
      <c r="C79" s="6"/>
      <c r="D79" s="6"/>
      <c r="E79" s="6"/>
      <c r="F79" s="6"/>
      <c r="G79" s="6"/>
      <c r="H79" s="6"/>
    </row>
    <row r="80" spans="1:8" x14ac:dyDescent="0.25">
      <c r="A80" s="6"/>
      <c r="B80" s="6"/>
      <c r="C80" s="6"/>
      <c r="D80" s="6"/>
      <c r="E80" s="6"/>
      <c r="F80" s="6"/>
      <c r="G80" s="6"/>
      <c r="H80" s="6"/>
    </row>
    <row r="81" spans="1:8" x14ac:dyDescent="0.25">
      <c r="A81" s="6"/>
      <c r="B81" s="6"/>
      <c r="C81" s="6"/>
      <c r="D81" s="6"/>
      <c r="E81" s="6"/>
      <c r="F81" s="6"/>
      <c r="G81" s="6"/>
      <c r="H81" s="6"/>
    </row>
    <row r="82" spans="1:8" x14ac:dyDescent="0.25">
      <c r="A82" s="6"/>
      <c r="B82" s="6"/>
      <c r="C82" s="6"/>
      <c r="D82" s="6"/>
      <c r="E82" s="6"/>
      <c r="F82" s="6"/>
      <c r="G82" s="6"/>
      <c r="H82" s="6"/>
    </row>
    <row r="83" spans="1:8" x14ac:dyDescent="0.25">
      <c r="A83" s="6"/>
      <c r="B83" s="6"/>
      <c r="C83" s="6"/>
      <c r="D83" s="6"/>
      <c r="E83" s="6"/>
      <c r="F83" s="6"/>
      <c r="G83" s="6"/>
      <c r="H83" s="6"/>
    </row>
    <row r="84" spans="1:8" x14ac:dyDescent="0.25">
      <c r="A84" s="6"/>
      <c r="B84" s="6"/>
      <c r="C84" s="6"/>
      <c r="D84" s="6"/>
      <c r="E84" s="6"/>
      <c r="F84" s="6"/>
      <c r="G84" s="6"/>
      <c r="H84" s="6"/>
    </row>
    <row r="85" spans="1:8" x14ac:dyDescent="0.25">
      <c r="A85" s="6"/>
      <c r="B85" s="6"/>
      <c r="C85" s="6"/>
      <c r="D85" s="6"/>
      <c r="E85" s="6"/>
      <c r="F85" s="6"/>
      <c r="G85" s="6"/>
      <c r="H85" s="6"/>
    </row>
    <row r="86" spans="1:8" x14ac:dyDescent="0.25">
      <c r="A86" s="6"/>
      <c r="B86" s="6"/>
      <c r="C86" s="6"/>
      <c r="D86" s="6"/>
      <c r="E86" s="6"/>
      <c r="F86" s="6"/>
      <c r="G86" s="6"/>
      <c r="H86" s="6"/>
    </row>
    <row r="87" spans="1:8" x14ac:dyDescent="0.25">
      <c r="A87" s="6"/>
      <c r="B87" s="6"/>
      <c r="C87" s="6"/>
      <c r="D87" s="6"/>
      <c r="E87" s="6"/>
      <c r="F87" s="6"/>
      <c r="G87" s="6"/>
      <c r="H87" s="6"/>
    </row>
    <row r="88" spans="1:8" x14ac:dyDescent="0.25">
      <c r="A88" s="6"/>
      <c r="B88" s="6"/>
      <c r="C88" s="6"/>
      <c r="D88" s="6"/>
      <c r="E88" s="6"/>
      <c r="F88" s="6"/>
      <c r="G88" s="6"/>
      <c r="H88" s="6"/>
    </row>
    <row r="89" spans="1:8" x14ac:dyDescent="0.25">
      <c r="A89" s="6"/>
      <c r="B89" s="6"/>
      <c r="C89" s="6"/>
      <c r="D89" s="6"/>
      <c r="E89" s="6"/>
      <c r="F89" s="6"/>
      <c r="G89" s="6"/>
      <c r="H89" s="6"/>
    </row>
    <row r="90" spans="1:8" x14ac:dyDescent="0.25">
      <c r="A90" s="6"/>
      <c r="B90" s="6"/>
      <c r="C90" s="6"/>
      <c r="D90" s="6"/>
      <c r="E90" s="6"/>
      <c r="F90" s="6"/>
      <c r="G90" s="6"/>
      <c r="H90" s="6"/>
    </row>
    <row r="91" spans="1:8" x14ac:dyDescent="0.25">
      <c r="A91" s="6"/>
      <c r="B91" s="6"/>
      <c r="C91" s="6"/>
      <c r="D91" s="6"/>
      <c r="E91" s="6"/>
      <c r="F91" s="6"/>
      <c r="G91" s="6"/>
      <c r="H91" s="6"/>
    </row>
    <row r="92" spans="1:8" x14ac:dyDescent="0.25">
      <c r="A92" s="6"/>
      <c r="B92" s="6"/>
      <c r="C92" s="6"/>
      <c r="D92" s="6"/>
      <c r="E92" s="6"/>
      <c r="F92" s="6"/>
      <c r="G92" s="6"/>
      <c r="H92" s="6"/>
    </row>
    <row r="93" spans="1:8" x14ac:dyDescent="0.25">
      <c r="A93" s="6"/>
      <c r="B93" s="6"/>
      <c r="C93" s="6"/>
      <c r="D93" s="6"/>
      <c r="E93" s="6"/>
      <c r="F93" s="6"/>
      <c r="G93" s="6"/>
      <c r="H93" s="6"/>
    </row>
    <row r="94" spans="1:8" x14ac:dyDescent="0.25">
      <c r="A94" s="6"/>
      <c r="B94" s="6"/>
      <c r="C94" s="6"/>
      <c r="D94" s="6"/>
      <c r="E94" s="6"/>
      <c r="F94" s="6"/>
      <c r="G94" s="6"/>
      <c r="H94" s="6"/>
    </row>
    <row r="95" spans="1:8" x14ac:dyDescent="0.25">
      <c r="A95" s="6"/>
      <c r="B95" s="6"/>
      <c r="C95" s="6"/>
      <c r="D95" s="6"/>
      <c r="E95" s="6"/>
      <c r="F95" s="6"/>
      <c r="G95" s="6"/>
      <c r="H95" s="6"/>
    </row>
    <row r="96" spans="1:8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  <row r="139" spans="1:8" x14ac:dyDescent="0.25">
      <c r="A139" s="6"/>
      <c r="B139" s="6"/>
      <c r="C139" s="6"/>
      <c r="D139" s="6"/>
      <c r="E139" s="6"/>
      <c r="F139" s="6"/>
      <c r="G139" s="6"/>
      <c r="H139" s="6"/>
    </row>
    <row r="140" spans="1:8" x14ac:dyDescent="0.25">
      <c r="A140" s="6"/>
      <c r="B140" s="6"/>
      <c r="C140" s="6"/>
      <c r="D140" s="6"/>
      <c r="E140" s="6"/>
      <c r="F140" s="6"/>
      <c r="G140" s="6"/>
      <c r="H140" s="6"/>
    </row>
    <row r="141" spans="1:8" x14ac:dyDescent="0.25">
      <c r="A141" s="6"/>
      <c r="B141" s="6"/>
      <c r="C141" s="6"/>
      <c r="D141" s="6"/>
      <c r="E141" s="6"/>
      <c r="F141" s="6"/>
      <c r="G141" s="6"/>
      <c r="H141" s="6"/>
    </row>
    <row r="142" spans="1:8" x14ac:dyDescent="0.25">
      <c r="A142" s="6"/>
      <c r="B142" s="6"/>
      <c r="C142" s="6"/>
      <c r="D142" s="6"/>
      <c r="E142" s="6"/>
      <c r="F142" s="6"/>
      <c r="G142" s="6"/>
      <c r="H142" s="6"/>
    </row>
    <row r="143" spans="1:8" x14ac:dyDescent="0.25">
      <c r="A143" s="6"/>
      <c r="B143" s="6"/>
      <c r="C143" s="6"/>
      <c r="D143" s="6"/>
      <c r="E143" s="6"/>
      <c r="F143" s="6"/>
      <c r="G143" s="6"/>
      <c r="H143" s="6"/>
    </row>
    <row r="144" spans="1:8" x14ac:dyDescent="0.25">
      <c r="A144" s="6"/>
      <c r="B144" s="6"/>
      <c r="C144" s="6"/>
      <c r="D144" s="6"/>
      <c r="E144" s="6"/>
      <c r="F144" s="6"/>
      <c r="G144" s="6"/>
      <c r="H144" s="6"/>
    </row>
    <row r="145" spans="1:8" x14ac:dyDescent="0.25">
      <c r="A145" s="6"/>
      <c r="B145" s="6"/>
      <c r="C145" s="6"/>
      <c r="D145" s="6"/>
      <c r="E145" s="6"/>
      <c r="F145" s="6"/>
      <c r="G145" s="6"/>
      <c r="H145" s="6"/>
    </row>
    <row r="146" spans="1:8" x14ac:dyDescent="0.25">
      <c r="A146" s="6"/>
      <c r="B146" s="6"/>
      <c r="C146" s="6"/>
      <c r="D146" s="6"/>
      <c r="E146" s="6"/>
      <c r="F146" s="6"/>
      <c r="G146" s="6"/>
      <c r="H146" s="6"/>
    </row>
    <row r="147" spans="1:8" x14ac:dyDescent="0.25">
      <c r="A147" s="6"/>
      <c r="B147" s="6"/>
      <c r="C147" s="6"/>
      <c r="D147" s="6"/>
      <c r="E147" s="6"/>
      <c r="F147" s="6"/>
      <c r="G147" s="6"/>
      <c r="H147" s="6"/>
    </row>
    <row r="148" spans="1:8" x14ac:dyDescent="0.25">
      <c r="A148" s="6"/>
      <c r="B148" s="6"/>
      <c r="C148" s="6"/>
      <c r="D148" s="6"/>
      <c r="E148" s="6"/>
      <c r="F148" s="6"/>
      <c r="G148" s="6"/>
      <c r="H148" s="6"/>
    </row>
    <row r="149" spans="1:8" x14ac:dyDescent="0.25">
      <c r="A149" s="6"/>
      <c r="B149" s="6"/>
      <c r="C149" s="6"/>
      <c r="D149" s="6"/>
      <c r="E149" s="6"/>
      <c r="F149" s="6"/>
      <c r="G149" s="6"/>
      <c r="H149" s="6"/>
    </row>
    <row r="150" spans="1:8" x14ac:dyDescent="0.25">
      <c r="A150" s="6"/>
      <c r="B150" s="6"/>
      <c r="C150" s="6"/>
      <c r="D150" s="6"/>
      <c r="E150" s="6"/>
      <c r="F150" s="6"/>
      <c r="G150" s="6"/>
      <c r="H150" s="6"/>
    </row>
    <row r="151" spans="1:8" x14ac:dyDescent="0.25">
      <c r="A151" s="6"/>
      <c r="B151" s="6"/>
      <c r="C151" s="6"/>
      <c r="D151" s="6"/>
      <c r="E151" s="6"/>
      <c r="F151" s="6"/>
      <c r="G151" s="6"/>
      <c r="H151" s="6"/>
    </row>
    <row r="152" spans="1:8" x14ac:dyDescent="0.25">
      <c r="A152" s="6"/>
      <c r="B152" s="6"/>
      <c r="C152" s="6"/>
      <c r="D152" s="6"/>
      <c r="E152" s="6"/>
      <c r="F152" s="6"/>
      <c r="G152" s="6"/>
      <c r="H152" s="6"/>
    </row>
    <row r="153" spans="1:8" x14ac:dyDescent="0.25">
      <c r="A153" s="6"/>
      <c r="B153" s="6"/>
      <c r="C153" s="6"/>
      <c r="D153" s="6"/>
      <c r="E153" s="6"/>
      <c r="F153" s="6"/>
      <c r="G153" s="6"/>
      <c r="H153" s="6"/>
    </row>
    <row r="154" spans="1:8" x14ac:dyDescent="0.25">
      <c r="A154" s="6"/>
      <c r="B154" s="6"/>
      <c r="C154" s="6"/>
      <c r="D154" s="6"/>
      <c r="E154" s="6"/>
      <c r="F154" s="6"/>
      <c r="G154" s="6"/>
      <c r="H154" s="6"/>
    </row>
    <row r="155" spans="1:8" x14ac:dyDescent="0.25">
      <c r="A155" s="6"/>
      <c r="B155" s="6"/>
      <c r="C155" s="6"/>
      <c r="D155" s="6"/>
      <c r="E155" s="6"/>
      <c r="F155" s="6"/>
      <c r="G155" s="6"/>
      <c r="H155" s="6"/>
    </row>
    <row r="156" spans="1:8" x14ac:dyDescent="0.25">
      <c r="A156" s="6"/>
      <c r="B156" s="6"/>
      <c r="C156" s="6"/>
      <c r="D156" s="6"/>
      <c r="E156" s="6"/>
      <c r="F156" s="6"/>
      <c r="G156" s="6"/>
      <c r="H156" s="6"/>
    </row>
    <row r="157" spans="1:8" x14ac:dyDescent="0.25">
      <c r="A157" s="6"/>
      <c r="B157" s="6"/>
      <c r="C157" s="6"/>
      <c r="D157" s="6"/>
      <c r="E157" s="6"/>
      <c r="F157" s="6"/>
      <c r="G157" s="6"/>
      <c r="H157" s="6"/>
    </row>
    <row r="158" spans="1:8" x14ac:dyDescent="0.25">
      <c r="A158" s="6"/>
      <c r="B158" s="6"/>
      <c r="C158" s="6"/>
      <c r="D158" s="6"/>
      <c r="E158" s="6"/>
      <c r="F158" s="6"/>
      <c r="G158" s="6"/>
      <c r="H158" s="6"/>
    </row>
    <row r="159" spans="1:8" x14ac:dyDescent="0.25">
      <c r="A159" s="6"/>
      <c r="B159" s="6"/>
      <c r="C159" s="6"/>
      <c r="D159" s="6"/>
      <c r="E159" s="6"/>
      <c r="F159" s="6"/>
      <c r="G159" s="6"/>
      <c r="H159" s="6"/>
    </row>
    <row r="160" spans="1:8" x14ac:dyDescent="0.25">
      <c r="A160" s="6"/>
      <c r="B160" s="6"/>
      <c r="C160" s="6"/>
      <c r="D160" s="6"/>
      <c r="E160" s="6"/>
      <c r="F160" s="6"/>
      <c r="G160" s="6"/>
      <c r="H160" s="6"/>
    </row>
    <row r="161" spans="1:8" x14ac:dyDescent="0.25">
      <c r="A161" s="6"/>
      <c r="B161" s="6"/>
      <c r="C161" s="6"/>
      <c r="D161" s="6"/>
      <c r="E161" s="6"/>
      <c r="F161" s="6"/>
      <c r="G161" s="6"/>
      <c r="H161" s="6"/>
    </row>
    <row r="162" spans="1:8" x14ac:dyDescent="0.25">
      <c r="A162" s="6"/>
      <c r="B162" s="6"/>
      <c r="C162" s="6"/>
      <c r="D162" s="6"/>
      <c r="E162" s="6"/>
      <c r="F162" s="6"/>
      <c r="G162" s="6"/>
      <c r="H162" s="6"/>
    </row>
    <row r="163" spans="1:8" x14ac:dyDescent="0.25">
      <c r="A163" s="6"/>
      <c r="B163" s="6"/>
      <c r="C163" s="6"/>
      <c r="D163" s="6"/>
      <c r="E163" s="6"/>
      <c r="F163" s="6"/>
      <c r="G163" s="6"/>
      <c r="H163" s="6"/>
    </row>
    <row r="164" spans="1:8" x14ac:dyDescent="0.25">
      <c r="A164" s="6"/>
      <c r="B164" s="6"/>
      <c r="C164" s="6"/>
      <c r="D164" s="6"/>
      <c r="E164" s="6"/>
      <c r="F164" s="6"/>
      <c r="G164" s="6"/>
      <c r="H164" s="6"/>
    </row>
    <row r="165" spans="1:8" x14ac:dyDescent="0.25">
      <c r="A165" s="6"/>
      <c r="B165" s="6"/>
      <c r="C165" s="6"/>
      <c r="D165" s="6"/>
      <c r="E165" s="6"/>
      <c r="F165" s="6"/>
      <c r="G165" s="6"/>
      <c r="H165" s="6"/>
    </row>
    <row r="166" spans="1:8" x14ac:dyDescent="0.25">
      <c r="A166" s="6"/>
      <c r="B166" s="6"/>
      <c r="C166" s="6"/>
      <c r="D166" s="6"/>
      <c r="E166" s="6"/>
      <c r="F166" s="6"/>
      <c r="G166" s="6"/>
      <c r="H166" s="6"/>
    </row>
    <row r="167" spans="1:8" x14ac:dyDescent="0.25">
      <c r="A167" s="6"/>
      <c r="B167" s="6"/>
      <c r="C167" s="6"/>
      <c r="D167" s="6"/>
      <c r="E167" s="6"/>
      <c r="F167" s="6"/>
      <c r="G167" s="6"/>
      <c r="H167" s="6"/>
    </row>
    <row r="168" spans="1:8" x14ac:dyDescent="0.25">
      <c r="A168" s="6"/>
      <c r="B168" s="6"/>
      <c r="C168" s="6"/>
      <c r="D168" s="6"/>
      <c r="E168" s="6"/>
      <c r="F168" s="6"/>
      <c r="G168" s="6"/>
      <c r="H168" s="6"/>
    </row>
    <row r="169" spans="1:8" x14ac:dyDescent="0.25">
      <c r="A169" s="6"/>
      <c r="B169" s="6"/>
      <c r="C169" s="6"/>
      <c r="D169" s="6"/>
      <c r="E169" s="6"/>
      <c r="F169" s="6"/>
      <c r="G169" s="6"/>
      <c r="H169" s="6"/>
    </row>
    <row r="170" spans="1:8" x14ac:dyDescent="0.25">
      <c r="A170" s="6"/>
      <c r="B170" s="6"/>
      <c r="C170" s="6"/>
      <c r="D170" s="6"/>
      <c r="E170" s="6"/>
      <c r="F170" s="6"/>
      <c r="G170" s="6"/>
      <c r="H170" s="6"/>
    </row>
    <row r="171" spans="1:8" x14ac:dyDescent="0.25">
      <c r="A171" s="6"/>
      <c r="B171" s="6"/>
      <c r="C171" s="6"/>
      <c r="D171" s="6"/>
      <c r="E171" s="6"/>
      <c r="F171" s="6"/>
      <c r="G171" s="6"/>
      <c r="H171" s="6"/>
    </row>
    <row r="172" spans="1:8" x14ac:dyDescent="0.25">
      <c r="A172" s="6"/>
      <c r="B172" s="6"/>
      <c r="C172" s="6"/>
      <c r="D172" s="6"/>
      <c r="E172" s="6"/>
      <c r="F172" s="6"/>
      <c r="G172" s="6"/>
      <c r="H172" s="6"/>
    </row>
    <row r="173" spans="1:8" x14ac:dyDescent="0.25">
      <c r="A173" s="6"/>
      <c r="B173" s="6"/>
      <c r="C173" s="6"/>
      <c r="D173" s="6"/>
      <c r="E173" s="6"/>
      <c r="F173" s="6"/>
      <c r="G173" s="6"/>
      <c r="H173" s="6"/>
    </row>
    <row r="174" spans="1:8" x14ac:dyDescent="0.25">
      <c r="A174" s="6"/>
      <c r="B174" s="6"/>
      <c r="C174" s="6"/>
      <c r="D174" s="6"/>
      <c r="E174" s="6"/>
      <c r="F174" s="6"/>
      <c r="G174" s="6"/>
      <c r="H174" s="6"/>
    </row>
    <row r="175" spans="1:8" x14ac:dyDescent="0.25">
      <c r="A175" s="6"/>
      <c r="B175" s="6"/>
      <c r="C175" s="6"/>
      <c r="D175" s="6"/>
      <c r="E175" s="6"/>
      <c r="F175" s="6"/>
      <c r="G175" s="6"/>
      <c r="H175" s="6"/>
    </row>
    <row r="176" spans="1:8" x14ac:dyDescent="0.25">
      <c r="A176" s="6"/>
      <c r="B176" s="6"/>
      <c r="C176" s="6"/>
      <c r="D176" s="6"/>
      <c r="E176" s="6"/>
      <c r="F176" s="6"/>
      <c r="G176" s="6"/>
      <c r="H176" s="6"/>
    </row>
    <row r="177" spans="1:8" x14ac:dyDescent="0.25">
      <c r="A177" s="6"/>
      <c r="B177" s="6"/>
      <c r="C177" s="6"/>
      <c r="D177" s="6"/>
      <c r="E177" s="6"/>
      <c r="F177" s="6"/>
      <c r="G177" s="6"/>
      <c r="H177" s="6"/>
    </row>
    <row r="178" spans="1:8" x14ac:dyDescent="0.25">
      <c r="A178" s="6"/>
      <c r="B178" s="6"/>
      <c r="C178" s="6"/>
      <c r="D178" s="6"/>
      <c r="E178" s="6"/>
      <c r="F178" s="6"/>
      <c r="G178" s="6"/>
      <c r="H178" s="6"/>
    </row>
    <row r="179" spans="1:8" x14ac:dyDescent="0.25">
      <c r="A179" s="6"/>
      <c r="B179" s="6"/>
      <c r="C179" s="6"/>
      <c r="D179" s="6"/>
      <c r="E179" s="6"/>
      <c r="F179" s="6"/>
      <c r="G179" s="6"/>
      <c r="H179" s="6"/>
    </row>
    <row r="180" spans="1:8" x14ac:dyDescent="0.25">
      <c r="A180" s="6"/>
      <c r="B180" s="6"/>
      <c r="C180" s="6"/>
      <c r="D180" s="6"/>
      <c r="E180" s="6"/>
      <c r="F180" s="6"/>
      <c r="G180" s="6"/>
      <c r="H180" s="6"/>
    </row>
    <row r="181" spans="1:8" x14ac:dyDescent="0.25">
      <c r="A181" s="6"/>
      <c r="B181" s="6"/>
      <c r="C181" s="6"/>
      <c r="D181" s="6"/>
      <c r="E181" s="6"/>
      <c r="F181" s="6"/>
      <c r="G181" s="6"/>
      <c r="H181" s="6"/>
    </row>
    <row r="182" spans="1:8" x14ac:dyDescent="0.25">
      <c r="A182" s="6"/>
      <c r="B182" s="6"/>
      <c r="C182" s="6"/>
      <c r="D182" s="6"/>
      <c r="E182" s="6"/>
      <c r="F182" s="6"/>
      <c r="G182" s="6"/>
      <c r="H182" s="6"/>
    </row>
    <row r="183" spans="1:8" x14ac:dyDescent="0.25">
      <c r="A183" s="6"/>
      <c r="B183" s="6"/>
      <c r="C183" s="6"/>
      <c r="D183" s="6"/>
      <c r="E183" s="6"/>
      <c r="F183" s="6"/>
      <c r="G183" s="6"/>
      <c r="H183" s="6"/>
    </row>
    <row r="184" spans="1:8" x14ac:dyDescent="0.25">
      <c r="A184" s="6"/>
      <c r="B184" s="6"/>
      <c r="C184" s="6"/>
      <c r="D184" s="6"/>
      <c r="E184" s="6"/>
      <c r="F184" s="6"/>
      <c r="G184" s="6"/>
      <c r="H184" s="6"/>
    </row>
    <row r="185" spans="1:8" x14ac:dyDescent="0.25">
      <c r="A185" s="6"/>
      <c r="B185" s="6"/>
      <c r="C185" s="6"/>
      <c r="D185" s="6"/>
      <c r="E185" s="6"/>
      <c r="F185" s="6"/>
      <c r="G185" s="6"/>
      <c r="H185" s="6"/>
    </row>
    <row r="186" spans="1:8" x14ac:dyDescent="0.25">
      <c r="A186" s="6"/>
      <c r="B186" s="6"/>
      <c r="C186" s="6"/>
      <c r="D186" s="6"/>
      <c r="E186" s="6"/>
      <c r="F186" s="6"/>
      <c r="G186" s="6"/>
      <c r="H186" s="6"/>
    </row>
    <row r="187" spans="1:8" x14ac:dyDescent="0.25">
      <c r="A187" s="6"/>
      <c r="B187" s="6"/>
      <c r="C187" s="6"/>
      <c r="D187" s="6"/>
      <c r="E187" s="6"/>
      <c r="F187" s="6"/>
      <c r="G187" s="6"/>
      <c r="H187" s="6"/>
    </row>
    <row r="188" spans="1:8" x14ac:dyDescent="0.25">
      <c r="A188" s="6"/>
      <c r="B188" s="6"/>
      <c r="C188" s="6"/>
      <c r="D188" s="6"/>
      <c r="E188" s="6"/>
      <c r="F188" s="6"/>
      <c r="G188" s="6"/>
      <c r="H188" s="6"/>
    </row>
    <row r="189" spans="1:8" x14ac:dyDescent="0.25">
      <c r="A189" s="6"/>
      <c r="B189" s="6"/>
      <c r="C189" s="6"/>
      <c r="D189" s="6"/>
      <c r="E189" s="6"/>
      <c r="F189" s="6"/>
      <c r="G189" s="6"/>
      <c r="H189" s="6"/>
    </row>
    <row r="190" spans="1:8" x14ac:dyDescent="0.25">
      <c r="A190" s="6"/>
      <c r="B190" s="6"/>
      <c r="C190" s="6"/>
      <c r="D190" s="6"/>
      <c r="E190" s="6"/>
      <c r="F190" s="6"/>
      <c r="G190" s="6"/>
      <c r="H190" s="6"/>
    </row>
    <row r="191" spans="1:8" x14ac:dyDescent="0.25">
      <c r="A191" s="6"/>
      <c r="B191" s="6"/>
      <c r="C191" s="6"/>
      <c r="D191" s="6"/>
      <c r="E191" s="6"/>
      <c r="F191" s="6"/>
      <c r="G191" s="6"/>
      <c r="H191" s="6"/>
    </row>
    <row r="192" spans="1:8" x14ac:dyDescent="0.25">
      <c r="A192" s="6"/>
      <c r="B192" s="6"/>
      <c r="C192" s="6"/>
      <c r="D192" s="6"/>
      <c r="E192" s="6"/>
      <c r="F192" s="6"/>
      <c r="G192" s="6"/>
      <c r="H192" s="6"/>
    </row>
    <row r="193" spans="1:8" x14ac:dyDescent="0.25">
      <c r="A193" s="6"/>
      <c r="B193" s="6"/>
      <c r="C193" s="6"/>
      <c r="D193" s="6"/>
      <c r="E193" s="6"/>
      <c r="F193" s="6"/>
      <c r="G193" s="6"/>
      <c r="H193" s="6"/>
    </row>
    <row r="194" spans="1:8" x14ac:dyDescent="0.25">
      <c r="A194" s="6"/>
      <c r="B194" s="6"/>
      <c r="C194" s="6"/>
      <c r="D194" s="6"/>
      <c r="E194" s="6"/>
      <c r="F194" s="6"/>
      <c r="G194" s="6"/>
      <c r="H194" s="6"/>
    </row>
    <row r="195" spans="1:8" x14ac:dyDescent="0.25">
      <c r="A195" s="6"/>
      <c r="B195" s="6"/>
      <c r="C195" s="6"/>
      <c r="D195" s="6"/>
      <c r="E195" s="6"/>
      <c r="F195" s="6"/>
      <c r="G195" s="6"/>
      <c r="H195" s="6"/>
    </row>
    <row r="196" spans="1:8" x14ac:dyDescent="0.25">
      <c r="A196" s="6"/>
      <c r="B196" s="6"/>
      <c r="C196" s="6"/>
      <c r="D196" s="6"/>
      <c r="E196" s="6"/>
      <c r="F196" s="6"/>
      <c r="G196" s="6"/>
      <c r="H196" s="6"/>
    </row>
    <row r="197" spans="1:8" x14ac:dyDescent="0.25">
      <c r="A197" s="6"/>
      <c r="B197" s="6"/>
      <c r="C197" s="6"/>
      <c r="D197" s="6"/>
      <c r="E197" s="6"/>
      <c r="F197" s="6"/>
      <c r="G197" s="6"/>
      <c r="H197" s="6"/>
    </row>
    <row r="198" spans="1:8" x14ac:dyDescent="0.25">
      <c r="A198" s="6"/>
      <c r="B198" s="6"/>
      <c r="C198" s="6"/>
      <c r="D198" s="6"/>
      <c r="E198" s="6"/>
      <c r="F198" s="6"/>
      <c r="G198" s="6"/>
      <c r="H198" s="6"/>
    </row>
    <row r="199" spans="1:8" x14ac:dyDescent="0.25">
      <c r="A199" s="6"/>
      <c r="B199" s="6"/>
      <c r="C199" s="6"/>
      <c r="D199" s="6"/>
      <c r="E199" s="6"/>
      <c r="F199" s="6"/>
      <c r="G199" s="6"/>
      <c r="H199" s="6"/>
    </row>
    <row r="200" spans="1:8" x14ac:dyDescent="0.25">
      <c r="A200" s="6"/>
      <c r="B200" s="6"/>
      <c r="C200" s="6"/>
      <c r="D200" s="6"/>
      <c r="E200" s="6"/>
      <c r="F200" s="6"/>
      <c r="G200" s="6"/>
      <c r="H200" s="6"/>
    </row>
    <row r="201" spans="1:8" x14ac:dyDescent="0.25">
      <c r="A201" s="6"/>
      <c r="B201" s="6"/>
      <c r="C201" s="6"/>
      <c r="D201" s="6"/>
      <c r="E201" s="6"/>
      <c r="F201" s="6"/>
      <c r="G201" s="6"/>
      <c r="H201" s="6"/>
    </row>
    <row r="202" spans="1:8" x14ac:dyDescent="0.25">
      <c r="A202" s="6"/>
      <c r="B202" s="6"/>
      <c r="C202" s="6"/>
      <c r="D202" s="6"/>
      <c r="E202" s="6"/>
      <c r="F202" s="6"/>
      <c r="G202" s="6"/>
      <c r="H202" s="6"/>
    </row>
    <row r="203" spans="1:8" x14ac:dyDescent="0.25">
      <c r="A203" s="6"/>
      <c r="B203" s="6"/>
      <c r="C203" s="6"/>
      <c r="D203" s="6"/>
      <c r="E203" s="6"/>
      <c r="F203" s="6"/>
      <c r="G203" s="6"/>
      <c r="H203" s="6"/>
    </row>
    <row r="204" spans="1:8" x14ac:dyDescent="0.25">
      <c r="A204" s="6"/>
      <c r="B204" s="6"/>
      <c r="C204" s="6"/>
      <c r="D204" s="6"/>
      <c r="E204" s="6"/>
      <c r="F204" s="6"/>
      <c r="G204" s="6"/>
      <c r="H204" s="6"/>
    </row>
    <row r="205" spans="1:8" x14ac:dyDescent="0.25">
      <c r="A205" s="6"/>
      <c r="B205" s="6"/>
      <c r="C205" s="6"/>
      <c r="D205" s="6"/>
      <c r="E205" s="6"/>
      <c r="F205" s="6"/>
      <c r="G205" s="6"/>
      <c r="H205" s="6"/>
    </row>
    <row r="206" spans="1:8" x14ac:dyDescent="0.25">
      <c r="A206" s="6"/>
      <c r="B206" s="6"/>
      <c r="C206" s="6"/>
      <c r="D206" s="6"/>
      <c r="E206" s="6"/>
      <c r="F206" s="6"/>
      <c r="G206" s="6"/>
      <c r="H206" s="6"/>
    </row>
    <row r="207" spans="1:8" x14ac:dyDescent="0.25">
      <c r="A207" s="6"/>
      <c r="B207" s="6"/>
      <c r="C207" s="6"/>
      <c r="D207" s="6"/>
      <c r="E207" s="6"/>
      <c r="F207" s="6"/>
      <c r="G207" s="6"/>
      <c r="H207" s="6"/>
    </row>
    <row r="208" spans="1:8" x14ac:dyDescent="0.25">
      <c r="A208" s="6"/>
      <c r="B208" s="6"/>
      <c r="C208" s="6"/>
      <c r="D208" s="6"/>
      <c r="E208" s="6"/>
      <c r="F208" s="6"/>
      <c r="G208" s="6"/>
      <c r="H208" s="6"/>
    </row>
    <row r="209" spans="1:8" x14ac:dyDescent="0.25">
      <c r="A209" s="6"/>
      <c r="B209" s="6"/>
      <c r="C209" s="6"/>
      <c r="D209" s="6"/>
      <c r="E209" s="6"/>
      <c r="F209" s="6"/>
      <c r="G209" s="6"/>
      <c r="H209" s="6"/>
    </row>
    <row r="210" spans="1:8" x14ac:dyDescent="0.25">
      <c r="A210" s="6"/>
      <c r="B210" s="6"/>
      <c r="C210" s="6"/>
      <c r="D210" s="6"/>
      <c r="E210" s="6"/>
      <c r="F210" s="6"/>
      <c r="G210" s="6"/>
      <c r="H210" s="6"/>
    </row>
    <row r="211" spans="1:8" x14ac:dyDescent="0.25">
      <c r="A211" s="6"/>
      <c r="B211" s="6"/>
      <c r="C211" s="6"/>
      <c r="D211" s="6"/>
      <c r="E211" s="6"/>
      <c r="F211" s="6"/>
      <c r="G211" s="6"/>
      <c r="H211" s="6"/>
    </row>
    <row r="212" spans="1:8" x14ac:dyDescent="0.25">
      <c r="A212" s="6"/>
      <c r="B212" s="6"/>
      <c r="C212" s="6"/>
      <c r="D212" s="6"/>
      <c r="E212" s="6"/>
      <c r="F212" s="6"/>
      <c r="G212" s="6"/>
      <c r="H212" s="6"/>
    </row>
    <row r="213" spans="1:8" x14ac:dyDescent="0.25">
      <c r="A213" s="6"/>
      <c r="B213" s="6"/>
      <c r="C213" s="6"/>
      <c r="D213" s="6"/>
      <c r="E213" s="6"/>
      <c r="F213" s="6"/>
      <c r="G213" s="6"/>
      <c r="H213" s="6"/>
    </row>
    <row r="214" spans="1:8" x14ac:dyDescent="0.25">
      <c r="A214" s="6"/>
      <c r="B214" s="6"/>
      <c r="C214" s="6"/>
      <c r="D214" s="6"/>
      <c r="E214" s="6"/>
      <c r="F214" s="6"/>
      <c r="G214" s="6"/>
      <c r="H214" s="6"/>
    </row>
    <row r="215" spans="1:8" x14ac:dyDescent="0.25">
      <c r="A215" s="6"/>
      <c r="B215" s="6"/>
      <c r="C215" s="6"/>
      <c r="D215" s="6"/>
      <c r="E215" s="6"/>
      <c r="F215" s="6"/>
      <c r="G215" s="6"/>
      <c r="H215" s="6"/>
    </row>
    <row r="216" spans="1:8" x14ac:dyDescent="0.25">
      <c r="A216" s="6"/>
      <c r="B216" s="6"/>
      <c r="C216" s="6"/>
      <c r="D216" s="6"/>
      <c r="E216" s="6"/>
      <c r="F216" s="6"/>
      <c r="G216" s="6"/>
      <c r="H216" s="6"/>
    </row>
    <row r="217" spans="1:8" x14ac:dyDescent="0.25">
      <c r="A217" s="6"/>
      <c r="B217" s="6"/>
      <c r="C217" s="6"/>
      <c r="D217" s="6"/>
      <c r="E217" s="6"/>
      <c r="F217" s="6"/>
      <c r="G217" s="6"/>
      <c r="H217" s="6"/>
    </row>
    <row r="218" spans="1:8" x14ac:dyDescent="0.25">
      <c r="A218" s="6"/>
      <c r="B218" s="6"/>
      <c r="C218" s="6"/>
      <c r="D218" s="6"/>
      <c r="E218" s="6"/>
      <c r="F218" s="6"/>
      <c r="G218" s="6"/>
      <c r="H218" s="6"/>
    </row>
    <row r="219" spans="1:8" x14ac:dyDescent="0.25">
      <c r="A219" s="6"/>
      <c r="B219" s="6"/>
      <c r="C219" s="6"/>
      <c r="D219" s="6"/>
      <c r="E219" s="6"/>
      <c r="F219" s="6"/>
      <c r="G219" s="6"/>
      <c r="H219" s="6"/>
    </row>
    <row r="220" spans="1:8" x14ac:dyDescent="0.25">
      <c r="A220" s="6"/>
      <c r="B220" s="6"/>
      <c r="C220" s="6"/>
      <c r="D220" s="6"/>
      <c r="E220" s="6"/>
      <c r="F220" s="6"/>
      <c r="G220" s="6"/>
      <c r="H220" s="6"/>
    </row>
    <row r="221" spans="1:8" x14ac:dyDescent="0.25">
      <c r="A221" s="6"/>
      <c r="B221" s="6"/>
      <c r="C221" s="6"/>
      <c r="D221" s="6"/>
      <c r="E221" s="6"/>
      <c r="F221" s="6"/>
      <c r="G221" s="6"/>
      <c r="H221" s="6"/>
    </row>
    <row r="222" spans="1:8" x14ac:dyDescent="0.25">
      <c r="A222" s="6"/>
      <c r="B222" s="6"/>
      <c r="C222" s="6"/>
      <c r="D222" s="6"/>
      <c r="E222" s="6"/>
      <c r="F222" s="6"/>
      <c r="G222" s="6"/>
      <c r="H222" s="6"/>
    </row>
    <row r="223" spans="1:8" x14ac:dyDescent="0.25">
      <c r="A223" s="6"/>
      <c r="B223" s="6"/>
      <c r="C223" s="6"/>
      <c r="D223" s="6"/>
      <c r="E223" s="6"/>
      <c r="F223" s="6"/>
      <c r="G223" s="6"/>
      <c r="H223" s="6"/>
    </row>
    <row r="224" spans="1:8" x14ac:dyDescent="0.25">
      <c r="A224" s="6"/>
      <c r="B224" s="6"/>
      <c r="C224" s="6"/>
      <c r="D224" s="6"/>
      <c r="E224" s="6"/>
      <c r="F224" s="6"/>
      <c r="G224" s="6"/>
      <c r="H224" s="6"/>
    </row>
    <row r="225" spans="1:8" x14ac:dyDescent="0.25">
      <c r="A225" s="6"/>
      <c r="B225" s="6"/>
      <c r="C225" s="6"/>
      <c r="D225" s="6"/>
      <c r="E225" s="6"/>
      <c r="F225" s="6"/>
      <c r="G225" s="6"/>
      <c r="H225" s="6"/>
    </row>
    <row r="226" spans="1:8" x14ac:dyDescent="0.25">
      <c r="A226" s="6"/>
      <c r="B226" s="6"/>
      <c r="C226" s="6"/>
      <c r="D226" s="6"/>
      <c r="E226" s="6"/>
      <c r="F226" s="6"/>
      <c r="G226" s="6"/>
      <c r="H226" s="6"/>
    </row>
    <row r="227" spans="1:8" x14ac:dyDescent="0.25">
      <c r="A227" s="6"/>
      <c r="B227" s="6"/>
      <c r="C227" s="6"/>
      <c r="D227" s="6"/>
      <c r="E227" s="6"/>
      <c r="F227" s="6"/>
      <c r="G227" s="6"/>
      <c r="H227" s="6"/>
    </row>
    <row r="228" spans="1:8" x14ac:dyDescent="0.25">
      <c r="A228" s="6"/>
      <c r="B228" s="6"/>
      <c r="C228" s="6"/>
      <c r="D228" s="6"/>
      <c r="E228" s="6"/>
      <c r="F228" s="6"/>
      <c r="G228" s="6"/>
      <c r="H228" s="6"/>
    </row>
    <row r="229" spans="1:8" x14ac:dyDescent="0.25">
      <c r="A229" s="6"/>
      <c r="B229" s="6"/>
      <c r="C229" s="6"/>
      <c r="D229" s="6"/>
      <c r="E229" s="6"/>
      <c r="F229" s="6"/>
      <c r="G229" s="6"/>
      <c r="H229" s="6"/>
    </row>
    <row r="230" spans="1:8" x14ac:dyDescent="0.25">
      <c r="A230" s="6"/>
      <c r="B230" s="6"/>
      <c r="C230" s="6"/>
      <c r="D230" s="6"/>
      <c r="E230" s="6"/>
      <c r="F230" s="6"/>
      <c r="G230" s="6"/>
      <c r="H230" s="6"/>
    </row>
    <row r="231" spans="1:8" x14ac:dyDescent="0.25">
      <c r="A231" s="6"/>
      <c r="B231" s="6"/>
      <c r="C231" s="6"/>
      <c r="D231" s="6"/>
      <c r="E231" s="6"/>
      <c r="F231" s="6"/>
      <c r="G231" s="6"/>
      <c r="H231" s="6"/>
    </row>
    <row r="232" spans="1:8" x14ac:dyDescent="0.25">
      <c r="A232" s="6"/>
      <c r="B232" s="6"/>
      <c r="C232" s="6"/>
      <c r="D232" s="6"/>
      <c r="E232" s="6"/>
      <c r="F232" s="6"/>
      <c r="G232" s="6"/>
      <c r="H232" s="6"/>
    </row>
    <row r="233" spans="1:8" x14ac:dyDescent="0.25">
      <c r="A233" s="6"/>
      <c r="B233" s="6"/>
      <c r="C233" s="6"/>
      <c r="D233" s="6"/>
      <c r="E233" s="6"/>
      <c r="F233" s="6"/>
      <c r="G233" s="6"/>
      <c r="H233" s="6"/>
    </row>
    <row r="234" spans="1:8" x14ac:dyDescent="0.25">
      <c r="A234" s="6"/>
      <c r="B234" s="6"/>
      <c r="C234" s="6"/>
      <c r="D234" s="6"/>
      <c r="E234" s="6"/>
      <c r="F234" s="6"/>
      <c r="G234" s="6"/>
      <c r="H234" s="6"/>
    </row>
    <row r="235" spans="1:8" x14ac:dyDescent="0.25">
      <c r="A235" s="6"/>
      <c r="B235" s="6"/>
      <c r="C235" s="6"/>
      <c r="D235" s="6"/>
      <c r="E235" s="6"/>
      <c r="F235" s="6"/>
      <c r="G235" s="6"/>
      <c r="H235" s="6"/>
    </row>
    <row r="236" spans="1:8" x14ac:dyDescent="0.25">
      <c r="A236" s="6"/>
      <c r="B236" s="6"/>
      <c r="C236" s="6"/>
      <c r="D236" s="6"/>
      <c r="E236" s="6"/>
      <c r="F236" s="6"/>
      <c r="G236" s="6"/>
      <c r="H236" s="6"/>
    </row>
    <row r="237" spans="1:8" x14ac:dyDescent="0.25">
      <c r="A237" s="6"/>
      <c r="B237" s="6"/>
      <c r="C237" s="6"/>
      <c r="D237" s="6"/>
      <c r="E237" s="6"/>
      <c r="F237" s="6"/>
      <c r="G237" s="6"/>
      <c r="H237" s="6"/>
    </row>
    <row r="238" spans="1:8" x14ac:dyDescent="0.25">
      <c r="A238" s="6"/>
      <c r="B238" s="6"/>
      <c r="C238" s="6"/>
      <c r="D238" s="6"/>
      <c r="E238" s="6"/>
      <c r="F238" s="6"/>
      <c r="G238" s="6"/>
      <c r="H238" s="6"/>
    </row>
    <row r="239" spans="1:8" x14ac:dyDescent="0.25">
      <c r="A239" s="6"/>
      <c r="B239" s="6"/>
      <c r="C239" s="6"/>
      <c r="D239" s="6"/>
      <c r="E239" s="6"/>
      <c r="F239" s="6"/>
      <c r="G239" s="6"/>
      <c r="H239" s="6"/>
    </row>
    <row r="240" spans="1:8" x14ac:dyDescent="0.25">
      <c r="A240" s="6"/>
      <c r="B240" s="6"/>
      <c r="C240" s="6"/>
      <c r="D240" s="6"/>
      <c r="E240" s="6"/>
      <c r="F240" s="6"/>
      <c r="G240" s="6"/>
      <c r="H240" s="6"/>
    </row>
    <row r="241" spans="1:8" x14ac:dyDescent="0.25">
      <c r="A241" s="6"/>
      <c r="B241" s="6"/>
      <c r="C241" s="6"/>
      <c r="D241" s="6"/>
      <c r="E241" s="6"/>
      <c r="F241" s="6"/>
      <c r="G241" s="6"/>
      <c r="H241" s="6"/>
    </row>
    <row r="242" spans="1:8" x14ac:dyDescent="0.25">
      <c r="A242" s="6"/>
      <c r="B242" s="6"/>
      <c r="C242" s="6"/>
      <c r="D242" s="6"/>
      <c r="E242" s="6"/>
      <c r="F242" s="6"/>
      <c r="G242" s="6"/>
      <c r="H242" s="6"/>
    </row>
    <row r="243" spans="1:8" x14ac:dyDescent="0.25">
      <c r="A243" s="6"/>
      <c r="B243" s="6"/>
      <c r="C243" s="6"/>
      <c r="D243" s="6"/>
      <c r="E243" s="6"/>
      <c r="F243" s="6"/>
      <c r="G243" s="6"/>
      <c r="H243" s="6"/>
    </row>
    <row r="244" spans="1:8" x14ac:dyDescent="0.25">
      <c r="A244" s="6"/>
      <c r="B244" s="6"/>
      <c r="C244" s="6"/>
      <c r="D244" s="6"/>
      <c r="E244" s="6"/>
      <c r="F244" s="6"/>
      <c r="G244" s="6"/>
      <c r="H244" s="6"/>
    </row>
    <row r="245" spans="1:8" x14ac:dyDescent="0.25">
      <c r="A245" s="6"/>
      <c r="B245" s="6"/>
      <c r="C245" s="6"/>
      <c r="D245" s="6"/>
      <c r="E245" s="6"/>
      <c r="F245" s="6"/>
      <c r="G245" s="6"/>
      <c r="H245" s="6"/>
    </row>
    <row r="246" spans="1:8" x14ac:dyDescent="0.25">
      <c r="A246" s="6"/>
      <c r="B246" s="6"/>
      <c r="C246" s="6"/>
      <c r="D246" s="6"/>
      <c r="E246" s="6"/>
      <c r="F246" s="6"/>
      <c r="G246" s="6"/>
      <c r="H246" s="6"/>
    </row>
    <row r="247" spans="1:8" x14ac:dyDescent="0.25">
      <c r="A247" s="6"/>
      <c r="B247" s="6"/>
      <c r="C247" s="6"/>
      <c r="D247" s="6"/>
      <c r="E247" s="6"/>
      <c r="F247" s="6"/>
      <c r="G247" s="6"/>
      <c r="H247" s="6"/>
    </row>
    <row r="248" spans="1:8" x14ac:dyDescent="0.25">
      <c r="A248" s="6"/>
      <c r="B248" s="6"/>
      <c r="C248" s="6"/>
      <c r="D248" s="6"/>
      <c r="E248" s="6"/>
      <c r="F248" s="6"/>
      <c r="G248" s="6"/>
      <c r="H248" s="6"/>
    </row>
    <row r="249" spans="1:8" x14ac:dyDescent="0.25">
      <c r="A249" s="6"/>
      <c r="B249" s="6"/>
      <c r="C249" s="6"/>
      <c r="D249" s="6"/>
      <c r="E249" s="6"/>
      <c r="F249" s="6"/>
      <c r="G249" s="6"/>
      <c r="H249" s="6"/>
    </row>
    <row r="250" spans="1:8" x14ac:dyDescent="0.25">
      <c r="A250" s="6"/>
      <c r="B250" s="6"/>
      <c r="C250" s="6"/>
      <c r="D250" s="6"/>
      <c r="E250" s="6"/>
      <c r="F250" s="6"/>
      <c r="G250" s="6"/>
      <c r="H250" s="6"/>
    </row>
    <row r="251" spans="1:8" x14ac:dyDescent="0.25">
      <c r="A251" s="6"/>
      <c r="B251" s="6"/>
      <c r="C251" s="6"/>
      <c r="D251" s="6"/>
      <c r="E251" s="6"/>
      <c r="F251" s="6"/>
      <c r="G251" s="6"/>
      <c r="H251" s="6"/>
    </row>
    <row r="252" spans="1:8" x14ac:dyDescent="0.25">
      <c r="A252" s="6"/>
      <c r="B252" s="6"/>
      <c r="C252" s="6"/>
      <c r="D252" s="6"/>
      <c r="E252" s="6"/>
      <c r="F252" s="6"/>
      <c r="G252" s="6"/>
      <c r="H252" s="6"/>
    </row>
    <row r="253" spans="1:8" x14ac:dyDescent="0.25">
      <c r="A253" s="6"/>
      <c r="B253" s="6"/>
      <c r="C253" s="6"/>
      <c r="D253" s="6"/>
      <c r="E253" s="6"/>
      <c r="F253" s="6"/>
      <c r="G253" s="6"/>
      <c r="H253" s="6"/>
    </row>
    <row r="254" spans="1:8" x14ac:dyDescent="0.25">
      <c r="A254" s="6"/>
      <c r="B254" s="6"/>
      <c r="C254" s="6"/>
      <c r="D254" s="6"/>
      <c r="E254" s="6"/>
      <c r="F254" s="6"/>
      <c r="G254" s="6"/>
      <c r="H254" s="6"/>
    </row>
    <row r="255" spans="1:8" x14ac:dyDescent="0.25">
      <c r="A255" s="6"/>
      <c r="B255" s="6"/>
      <c r="C255" s="6"/>
      <c r="D255" s="6"/>
      <c r="E255" s="6"/>
      <c r="F255" s="6"/>
      <c r="G255" s="6"/>
      <c r="H255" s="6"/>
    </row>
    <row r="256" spans="1:8" x14ac:dyDescent="0.25">
      <c r="A256" s="6"/>
      <c r="B256" s="6"/>
      <c r="C256" s="6"/>
      <c r="D256" s="6"/>
      <c r="E256" s="6"/>
      <c r="F256" s="6"/>
      <c r="G256" s="6"/>
      <c r="H256" s="6"/>
    </row>
    <row r="257" spans="1:8" x14ac:dyDescent="0.25">
      <c r="A257" s="6"/>
      <c r="B257" s="6"/>
      <c r="C257" s="6"/>
      <c r="D257" s="6"/>
      <c r="E257" s="6"/>
      <c r="F257" s="6"/>
      <c r="G257" s="6"/>
      <c r="H257" s="6"/>
    </row>
    <row r="258" spans="1:8" x14ac:dyDescent="0.25">
      <c r="A258" s="6"/>
      <c r="B258" s="6"/>
      <c r="C258" s="6"/>
      <c r="D258" s="6"/>
      <c r="E258" s="6"/>
      <c r="F258" s="6"/>
      <c r="G258" s="6"/>
      <c r="H258" s="6"/>
    </row>
    <row r="259" spans="1:8" x14ac:dyDescent="0.25">
      <c r="A259" s="6"/>
      <c r="B259" s="6"/>
      <c r="C259" s="6"/>
      <c r="D259" s="6"/>
      <c r="E259" s="6"/>
      <c r="F259" s="6"/>
      <c r="G259" s="6"/>
      <c r="H259" s="6"/>
    </row>
    <row r="260" spans="1:8" x14ac:dyDescent="0.25">
      <c r="A260" s="6"/>
      <c r="B260" s="6"/>
      <c r="C260" s="6"/>
      <c r="D260" s="6"/>
      <c r="E260" s="6"/>
      <c r="F260" s="6"/>
      <c r="G260" s="6"/>
      <c r="H260" s="6"/>
    </row>
    <row r="261" spans="1:8" x14ac:dyDescent="0.25">
      <c r="A261" s="6"/>
      <c r="B261" s="6"/>
      <c r="C261" s="6"/>
      <c r="D261" s="6"/>
      <c r="E261" s="6"/>
      <c r="F261" s="6"/>
      <c r="G261" s="6"/>
      <c r="H261" s="6"/>
    </row>
    <row r="262" spans="1:8" x14ac:dyDescent="0.25">
      <c r="A262" s="6"/>
      <c r="B262" s="6"/>
      <c r="C262" s="6"/>
      <c r="D262" s="6"/>
      <c r="E262" s="6"/>
      <c r="F262" s="6"/>
      <c r="G262" s="6"/>
      <c r="H262" s="6"/>
    </row>
    <row r="263" spans="1:8" x14ac:dyDescent="0.25">
      <c r="A263" s="6"/>
      <c r="B263" s="6"/>
      <c r="C263" s="6"/>
      <c r="D263" s="6"/>
      <c r="E263" s="6"/>
      <c r="F263" s="6"/>
      <c r="G263" s="6"/>
      <c r="H263" s="6"/>
    </row>
    <row r="264" spans="1:8" x14ac:dyDescent="0.25">
      <c r="A264" s="6"/>
      <c r="B264" s="6"/>
      <c r="C264" s="6"/>
      <c r="D264" s="6"/>
      <c r="E264" s="6"/>
      <c r="F264" s="6"/>
      <c r="G264" s="6"/>
      <c r="H264" s="6"/>
    </row>
    <row r="265" spans="1:8" x14ac:dyDescent="0.25">
      <c r="A265" s="6"/>
      <c r="B265" s="6"/>
      <c r="C265" s="6"/>
      <c r="D265" s="6"/>
      <c r="E265" s="6"/>
      <c r="F265" s="6"/>
      <c r="G265" s="6"/>
      <c r="H265" s="6"/>
    </row>
    <row r="266" spans="1:8" x14ac:dyDescent="0.25">
      <c r="A266" s="6"/>
      <c r="B266" s="6"/>
      <c r="C266" s="6"/>
      <c r="D266" s="6"/>
      <c r="E266" s="6"/>
      <c r="F266" s="6"/>
      <c r="G266" s="6"/>
      <c r="H266" s="6"/>
    </row>
    <row r="267" spans="1:8" x14ac:dyDescent="0.25">
      <c r="A267" s="6"/>
      <c r="B267" s="6"/>
      <c r="C267" s="6"/>
      <c r="D267" s="6"/>
      <c r="E267" s="6"/>
      <c r="F267" s="6"/>
      <c r="G267" s="6"/>
      <c r="H267" s="6"/>
    </row>
    <row r="268" spans="1:8" x14ac:dyDescent="0.25">
      <c r="A268" s="6"/>
      <c r="B268" s="6"/>
      <c r="C268" s="6"/>
      <c r="D268" s="6"/>
      <c r="E268" s="6"/>
      <c r="F268" s="6"/>
      <c r="G268" s="6"/>
      <c r="H268" s="6"/>
    </row>
    <row r="269" spans="1:8" x14ac:dyDescent="0.25">
      <c r="A269" s="6"/>
      <c r="B269" s="6"/>
      <c r="C269" s="6"/>
      <c r="D269" s="6"/>
      <c r="E269" s="6"/>
      <c r="F269" s="6"/>
      <c r="G269" s="6"/>
      <c r="H269" s="6"/>
    </row>
    <row r="270" spans="1:8" x14ac:dyDescent="0.25">
      <c r="A270" s="6"/>
      <c r="B270" s="6"/>
      <c r="C270" s="6"/>
      <c r="D270" s="6"/>
      <c r="E270" s="6"/>
      <c r="F270" s="6"/>
      <c r="G270" s="6"/>
      <c r="H270" s="6"/>
    </row>
    <row r="271" spans="1:8" x14ac:dyDescent="0.25">
      <c r="A271" s="6"/>
      <c r="B271" s="6"/>
      <c r="C271" s="6"/>
      <c r="D271" s="6"/>
      <c r="E271" s="6"/>
      <c r="F271" s="6"/>
      <c r="G271" s="6"/>
      <c r="H271" s="6"/>
    </row>
    <row r="272" spans="1:8" x14ac:dyDescent="0.25">
      <c r="A272" s="6"/>
      <c r="B272" s="6"/>
      <c r="C272" s="6"/>
      <c r="D272" s="6"/>
      <c r="E272" s="6"/>
      <c r="F272" s="6"/>
      <c r="G272" s="6"/>
      <c r="H272" s="6"/>
    </row>
    <row r="273" spans="1:8" x14ac:dyDescent="0.25">
      <c r="A273" s="6"/>
      <c r="B273" s="6"/>
      <c r="C273" s="6"/>
      <c r="D273" s="6"/>
      <c r="E273" s="6"/>
      <c r="F273" s="6"/>
      <c r="G273" s="6"/>
      <c r="H273" s="6"/>
    </row>
    <row r="274" spans="1:8" x14ac:dyDescent="0.25">
      <c r="A274" s="6"/>
      <c r="B274" s="6"/>
      <c r="C274" s="6"/>
      <c r="D274" s="6"/>
      <c r="E274" s="6"/>
      <c r="F274" s="6"/>
      <c r="G274" s="6"/>
      <c r="H274" s="6"/>
    </row>
    <row r="275" spans="1:8" x14ac:dyDescent="0.25">
      <c r="A275" s="6"/>
      <c r="B275" s="6"/>
      <c r="C275" s="6"/>
      <c r="D275" s="6"/>
      <c r="E275" s="6"/>
      <c r="F275" s="6"/>
      <c r="G275" s="6"/>
      <c r="H275" s="6"/>
    </row>
    <row r="276" spans="1:8" x14ac:dyDescent="0.25">
      <c r="A276" s="6"/>
      <c r="B276" s="6"/>
      <c r="C276" s="6"/>
      <c r="D276" s="6"/>
      <c r="E276" s="6"/>
      <c r="F276" s="6"/>
      <c r="G276" s="6"/>
      <c r="H276" s="6"/>
    </row>
    <row r="277" spans="1:8" x14ac:dyDescent="0.25">
      <c r="A277" s="6"/>
      <c r="B277" s="6"/>
      <c r="C277" s="6"/>
      <c r="D277" s="6"/>
      <c r="E277" s="6"/>
      <c r="F277" s="6"/>
      <c r="G277" s="6"/>
      <c r="H277" s="6"/>
    </row>
    <row r="278" spans="1:8" x14ac:dyDescent="0.25">
      <c r="A278" s="6"/>
      <c r="B278" s="6"/>
      <c r="C278" s="6"/>
      <c r="D278" s="6"/>
      <c r="E278" s="6"/>
      <c r="F278" s="6"/>
      <c r="G278" s="6"/>
      <c r="H278" s="6"/>
    </row>
    <row r="279" spans="1:8" x14ac:dyDescent="0.25">
      <c r="A279" s="6"/>
      <c r="B279" s="6"/>
      <c r="C279" s="6"/>
      <c r="D279" s="6"/>
      <c r="E279" s="6"/>
      <c r="F279" s="6"/>
      <c r="G279" s="6"/>
      <c r="H279" s="6"/>
    </row>
    <row r="280" spans="1:8" x14ac:dyDescent="0.25">
      <c r="A280" s="6"/>
      <c r="B280" s="6"/>
      <c r="C280" s="6"/>
      <c r="D280" s="6"/>
      <c r="E280" s="6"/>
      <c r="F280" s="6"/>
      <c r="G280" s="6"/>
      <c r="H280" s="6"/>
    </row>
    <row r="281" spans="1:8" x14ac:dyDescent="0.25">
      <c r="A281" s="6"/>
      <c r="B281" s="6"/>
      <c r="C281" s="6"/>
      <c r="D281" s="6"/>
      <c r="E281" s="6"/>
      <c r="F281" s="6"/>
      <c r="G281" s="6"/>
      <c r="H281" s="6"/>
    </row>
    <row r="282" spans="1:8" x14ac:dyDescent="0.25">
      <c r="A282" s="6"/>
      <c r="B282" s="6"/>
      <c r="C282" s="6"/>
      <c r="D282" s="6"/>
      <c r="E282" s="6"/>
      <c r="F282" s="6"/>
      <c r="G282" s="6"/>
      <c r="H282" s="6"/>
    </row>
    <row r="283" spans="1:8" x14ac:dyDescent="0.25">
      <c r="A283" s="6"/>
      <c r="B283" s="6"/>
      <c r="C283" s="6"/>
      <c r="D283" s="6"/>
      <c r="E283" s="6"/>
      <c r="F283" s="6"/>
      <c r="G283" s="6"/>
      <c r="H283" s="6"/>
    </row>
    <row r="284" spans="1:8" x14ac:dyDescent="0.25">
      <c r="A284" s="6"/>
      <c r="B284" s="6"/>
      <c r="C284" s="6"/>
      <c r="D284" s="6"/>
      <c r="E284" s="6"/>
      <c r="F284" s="6"/>
      <c r="G284" s="6"/>
      <c r="H284" s="6"/>
    </row>
    <row r="285" spans="1:8" x14ac:dyDescent="0.25">
      <c r="A285" s="6"/>
      <c r="B285" s="6"/>
      <c r="C285" s="6"/>
      <c r="D285" s="6"/>
      <c r="E285" s="6"/>
      <c r="F285" s="6"/>
      <c r="G285" s="6"/>
      <c r="H285" s="6"/>
    </row>
    <row r="286" spans="1:8" x14ac:dyDescent="0.25">
      <c r="A286" s="6"/>
      <c r="B286" s="6"/>
      <c r="C286" s="6"/>
      <c r="D286" s="6"/>
      <c r="E286" s="6"/>
      <c r="F286" s="6"/>
      <c r="G286" s="6"/>
      <c r="H286" s="6"/>
    </row>
    <row r="287" spans="1:8" x14ac:dyDescent="0.25">
      <c r="A287" s="6"/>
      <c r="B287" s="6"/>
      <c r="C287" s="6"/>
      <c r="D287" s="6"/>
      <c r="E287" s="6"/>
      <c r="F287" s="6"/>
      <c r="G287" s="6"/>
      <c r="H287" s="6"/>
    </row>
    <row r="288" spans="1:8" x14ac:dyDescent="0.25">
      <c r="A288" s="6"/>
      <c r="B288" s="6"/>
      <c r="C288" s="6"/>
      <c r="D288" s="6"/>
      <c r="E288" s="6"/>
      <c r="F288" s="6"/>
      <c r="G288" s="6"/>
      <c r="H288" s="6"/>
    </row>
    <row r="289" spans="1:8" x14ac:dyDescent="0.25">
      <c r="A289" s="6"/>
      <c r="B289" s="6"/>
      <c r="C289" s="6"/>
      <c r="D289" s="6"/>
      <c r="E289" s="6"/>
      <c r="F289" s="6"/>
      <c r="G289" s="6"/>
      <c r="H289" s="6"/>
    </row>
    <row r="290" spans="1:8" x14ac:dyDescent="0.25">
      <c r="A290" s="6"/>
      <c r="B290" s="6"/>
      <c r="C290" s="6"/>
      <c r="D290" s="6"/>
      <c r="E290" s="6"/>
      <c r="F290" s="6"/>
      <c r="G290" s="6"/>
      <c r="H290" s="6"/>
    </row>
    <row r="291" spans="1:8" x14ac:dyDescent="0.25">
      <c r="A291" s="6"/>
      <c r="B291" s="6"/>
      <c r="C291" s="6"/>
      <c r="D291" s="6"/>
      <c r="E291" s="6"/>
      <c r="F291" s="6"/>
      <c r="G291" s="6"/>
      <c r="H291" s="6"/>
    </row>
    <row r="292" spans="1:8" x14ac:dyDescent="0.25">
      <c r="A292" s="6"/>
      <c r="B292" s="6"/>
      <c r="C292" s="6"/>
      <c r="D292" s="6"/>
      <c r="E292" s="6"/>
      <c r="F292" s="6"/>
      <c r="G292" s="6"/>
      <c r="H292" s="6"/>
    </row>
    <row r="293" spans="1:8" x14ac:dyDescent="0.25">
      <c r="A293" s="6"/>
      <c r="B293" s="6"/>
      <c r="C293" s="6"/>
      <c r="D293" s="6"/>
      <c r="E293" s="6"/>
      <c r="F293" s="6"/>
      <c r="G293" s="6"/>
      <c r="H293" s="6"/>
    </row>
    <row r="294" spans="1:8" x14ac:dyDescent="0.25">
      <c r="A294" s="6"/>
      <c r="B294" s="6"/>
      <c r="C294" s="6"/>
      <c r="D294" s="6"/>
      <c r="E294" s="6"/>
      <c r="F294" s="6"/>
      <c r="G294" s="6"/>
      <c r="H294" s="6"/>
    </row>
    <row r="295" spans="1:8" x14ac:dyDescent="0.25">
      <c r="A295" s="6"/>
      <c r="B295" s="6"/>
      <c r="C295" s="6"/>
      <c r="D295" s="6"/>
      <c r="E295" s="6"/>
      <c r="F295" s="6"/>
      <c r="G295" s="6"/>
      <c r="H295" s="6"/>
    </row>
    <row r="296" spans="1:8" x14ac:dyDescent="0.25">
      <c r="A296" s="6"/>
      <c r="B296" s="6"/>
      <c r="C296" s="6"/>
      <c r="D296" s="6"/>
      <c r="E296" s="6"/>
      <c r="F296" s="6"/>
      <c r="G296" s="6"/>
      <c r="H296" s="6"/>
    </row>
    <row r="297" spans="1:8" x14ac:dyDescent="0.25">
      <c r="A297" s="6"/>
      <c r="B297" s="6"/>
      <c r="C297" s="6"/>
      <c r="D297" s="6"/>
      <c r="E297" s="6"/>
      <c r="F297" s="6"/>
      <c r="G297" s="6"/>
      <c r="H297" s="6"/>
    </row>
    <row r="298" spans="1:8" x14ac:dyDescent="0.25">
      <c r="A298" s="6"/>
      <c r="B298" s="6"/>
      <c r="C298" s="6"/>
      <c r="D298" s="6"/>
      <c r="E298" s="6"/>
      <c r="F298" s="6"/>
      <c r="G298" s="6"/>
      <c r="H298" s="6"/>
    </row>
    <row r="299" spans="1:8" x14ac:dyDescent="0.25">
      <c r="A299" s="6"/>
      <c r="B299" s="6"/>
      <c r="C299" s="6"/>
      <c r="D299" s="6"/>
      <c r="E299" s="6"/>
      <c r="F299" s="6"/>
      <c r="G299" s="6"/>
      <c r="H299" s="6"/>
    </row>
    <row r="300" spans="1:8" x14ac:dyDescent="0.25">
      <c r="A300" s="6"/>
      <c r="B300" s="6"/>
      <c r="C300" s="6"/>
      <c r="D300" s="6"/>
      <c r="E300" s="6"/>
      <c r="F300" s="6"/>
      <c r="G300" s="6"/>
      <c r="H300" s="6"/>
    </row>
    <row r="301" spans="1:8" x14ac:dyDescent="0.25">
      <c r="A301" s="6"/>
      <c r="B301" s="6"/>
      <c r="C301" s="6"/>
      <c r="D301" s="6"/>
      <c r="E301" s="6"/>
      <c r="F301" s="6"/>
      <c r="G301" s="6"/>
      <c r="H301" s="6"/>
    </row>
    <row r="302" spans="1:8" x14ac:dyDescent="0.25">
      <c r="A302" s="6"/>
      <c r="B302" s="6"/>
      <c r="C302" s="6"/>
      <c r="D302" s="6"/>
      <c r="E302" s="6"/>
      <c r="F302" s="6"/>
      <c r="G302" s="6"/>
      <c r="H302" s="6"/>
    </row>
    <row r="303" spans="1:8" x14ac:dyDescent="0.25">
      <c r="A303" s="6"/>
      <c r="B303" s="6"/>
      <c r="C303" s="6"/>
      <c r="D303" s="6"/>
      <c r="E303" s="6"/>
      <c r="F303" s="6"/>
      <c r="G303" s="6"/>
      <c r="H303" s="6"/>
    </row>
    <row r="304" spans="1:8" x14ac:dyDescent="0.25">
      <c r="A304" s="6"/>
      <c r="B304" s="6"/>
      <c r="C304" s="6"/>
      <c r="D304" s="6"/>
      <c r="E304" s="6"/>
      <c r="F304" s="6"/>
      <c r="G304" s="6"/>
      <c r="H304" s="6"/>
    </row>
    <row r="305" spans="1:8" x14ac:dyDescent="0.25">
      <c r="A305" s="6"/>
      <c r="B305" s="6"/>
      <c r="C305" s="6"/>
      <c r="D305" s="6"/>
      <c r="E305" s="6"/>
      <c r="F305" s="6"/>
      <c r="G305" s="6"/>
      <c r="H305" s="6"/>
    </row>
    <row r="306" spans="1:8" x14ac:dyDescent="0.25">
      <c r="A306" s="6"/>
      <c r="B306" s="6"/>
      <c r="C306" s="6"/>
      <c r="D306" s="6"/>
      <c r="E306" s="6"/>
      <c r="F306" s="6"/>
      <c r="G306" s="6"/>
      <c r="H306" s="6"/>
    </row>
    <row r="307" spans="1:8" x14ac:dyDescent="0.25">
      <c r="A307" s="6"/>
      <c r="B307" s="6"/>
      <c r="C307" s="6"/>
      <c r="D307" s="6"/>
      <c r="E307" s="6"/>
      <c r="F307" s="6"/>
      <c r="G307" s="6"/>
      <c r="H307" s="6"/>
    </row>
    <row r="308" spans="1:8" x14ac:dyDescent="0.25">
      <c r="A308" s="6"/>
      <c r="B308" s="6"/>
      <c r="C308" s="6"/>
      <c r="D308" s="6"/>
      <c r="E308" s="6"/>
      <c r="F308" s="6"/>
      <c r="G308" s="6"/>
      <c r="H308" s="6"/>
    </row>
    <row r="309" spans="1:8" x14ac:dyDescent="0.25">
      <c r="A309" s="6"/>
      <c r="B309" s="6"/>
      <c r="C309" s="6"/>
      <c r="D309" s="6"/>
      <c r="E309" s="6"/>
      <c r="F309" s="6"/>
      <c r="G309" s="6"/>
      <c r="H309" s="6"/>
    </row>
  </sheetData>
  <mergeCells count="16">
    <mergeCell ref="A73:H73"/>
    <mergeCell ref="A64:H64"/>
    <mergeCell ref="A65:H65"/>
    <mergeCell ref="A60:H60"/>
    <mergeCell ref="A67:H67"/>
    <mergeCell ref="A68:H68"/>
    <mergeCell ref="A69:H69"/>
    <mergeCell ref="A61:H61"/>
    <mergeCell ref="A62:H62"/>
    <mergeCell ref="A63:H63"/>
    <mergeCell ref="A66:H66"/>
    <mergeCell ref="A1:H1"/>
    <mergeCell ref="A2:H2"/>
    <mergeCell ref="A70:H70"/>
    <mergeCell ref="A71:H71"/>
    <mergeCell ref="A72:H72"/>
  </mergeCells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 Model</vt:lpstr>
      <vt:lpstr>States</vt:lpstr>
      <vt:lpstr>Output processing </vt:lpstr>
      <vt:lpstr>Figures MATLAB</vt:lpstr>
      <vt:lpstr>Figure OpenLCA</vt:lpstr>
      <vt:lpstr>OpenLCA GWP calculation</vt:lpstr>
      <vt:lpstr>OpenLCA BC impacts</vt:lpstr>
      <vt:lpstr>Avg GWP outdoor</vt:lpstr>
      <vt:lpstr>CO Tax</vt:lpstr>
      <vt:lpstr>CO Growers</vt:lpstr>
      <vt:lpstr>Fuel Economy</vt:lpstr>
    </vt:vector>
  </TitlesOfParts>
  <Company>Colorado 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Braunstein</dc:creator>
  <cp:lastModifiedBy>Vincent Desaulniers Brousseau</cp:lastModifiedBy>
  <cp:lastPrinted>2019-10-03T17:51:18Z</cp:lastPrinted>
  <dcterms:created xsi:type="dcterms:W3CDTF">2017-09-08T18:06:47Z</dcterms:created>
  <dcterms:modified xsi:type="dcterms:W3CDTF">2024-01-09T20:35:51Z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tural_gas_HHV" linkTarget="prop_natural_gas_HHV">
    <vt:lpwstr>#REF!</vt:lpwstr>
  </property>
  <property fmtid="{D5CDD505-2E9C-101B-9397-08002B2CF9AE}" pid="3" name="ng_heat_per_volume" linkTarget="prop_ng_heat_per_volume">
    <vt:lpwstr>#REF!</vt:lpwstr>
  </property>
  <property fmtid="{D5CDD505-2E9C-101B-9397-08002B2CF9AE}" pid="4" name="water_density" linkTarget="prop_water_density">
    <vt:lpwstr>#REF!</vt:lpwstr>
  </property>
  <property fmtid="{D5CDD505-2E9C-101B-9397-08002B2CF9AE}" pid="5" name="air_density" linkTarget="prop_air_density">
    <vt:lpwstr>#REF!</vt:lpwstr>
  </property>
  <property fmtid="{D5CDD505-2E9C-101B-9397-08002B2CF9AE}" pid="6" name="CO2_liquid_density" linkTarget="prop_CO2_liquid_density">
    <vt:lpwstr>#REF!</vt:lpwstr>
  </property>
  <property fmtid="{D5CDD505-2E9C-101B-9397-08002B2CF9AE}" pid="7" name="co2_specific_volume" linkTarget="prop_co2_specific_volume">
    <vt:lpwstr>#REF!</vt:lpwstr>
  </property>
  <property fmtid="{D5CDD505-2E9C-101B-9397-08002B2CF9AE}" pid="8" name="NG_density" linkTarget="prop_NG_density">
    <vt:lpwstr>#REF!</vt:lpwstr>
  </property>
  <property fmtid="{D5CDD505-2E9C-101B-9397-08002B2CF9AE}" pid="9" name="HHV_NG_volume" linkTarget="prop_HHV_NG_volume">
    <vt:r8>0</vt:r8>
  </property>
  <property fmtid="{D5CDD505-2E9C-101B-9397-08002B2CF9AE}" pid="10" name="peat_density" linkTarget="prop_peat_density">
    <vt:lpwstr>#REF!</vt:lpwstr>
  </property>
  <property fmtid="{D5CDD505-2E9C-101B-9397-08002B2CF9AE}" pid="11" name="fert_gen_density" linkTarget="prop_fert_gen_density">
    <vt:lpwstr>#REF!</vt:lpwstr>
  </property>
  <property fmtid="{D5CDD505-2E9C-101B-9397-08002B2CF9AE}" pid="12" name="perlite_density" linkTarget="prop_perlite_density">
    <vt:lpwstr>#REF!</vt:lpwstr>
  </property>
  <property fmtid="{D5CDD505-2E9C-101B-9397-08002B2CF9AE}" pid="13" name="coco_density" linkTarget="prop_coco_density">
    <vt:lpwstr>#REF!</vt:lpwstr>
  </property>
  <property fmtid="{D5CDD505-2E9C-101B-9397-08002B2CF9AE}" pid="14" name="neem_density" linkTarget="prop_neem_density">
    <vt:lpwstr>#REF!</vt:lpwstr>
  </property>
  <property fmtid="{D5CDD505-2E9C-101B-9397-08002B2CF9AE}" pid="15" name="soap_density" linkTarget="prop_soap_density">
    <vt:lpwstr>#REF!</vt:lpwstr>
  </property>
</Properties>
</file>