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direction session\Downloads\"/>
    </mc:Choice>
  </mc:AlternateContent>
  <xr:revisionPtr revIDLastSave="0" documentId="13_ncr:1_{C60AC984-FC39-4E26-92E1-C474F0752C91}" xr6:coauthVersionLast="47" xr6:coauthVersionMax="47" xr10:uidLastSave="{00000000-0000-0000-0000-000000000000}"/>
  <bookViews>
    <workbookView xWindow="-120" yWindow="-120" windowWidth="29040" windowHeight="15840" xr2:uid="{3AF2A223-0264-42E9-AFC5-E89737BAAFE5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2" i="1" l="1"/>
  <c r="E59" i="1" s="1"/>
  <c r="E25" i="1"/>
  <c r="J17" i="1"/>
  <c r="C17" i="1" s="1"/>
  <c r="J13" i="1"/>
  <c r="C13" i="1" s="1"/>
  <c r="J14" i="1"/>
  <c r="C14" i="1" s="1"/>
  <c r="J15" i="1"/>
  <c r="C15" i="1" s="1"/>
  <c r="J16" i="1"/>
  <c r="C16" i="1" s="1"/>
  <c r="J12" i="1"/>
  <c r="C12" i="1" s="1"/>
  <c r="D13" i="1" l="1"/>
  <c r="D14" i="1"/>
  <c r="D15" i="1"/>
  <c r="D16" i="1"/>
  <c r="D17" i="1"/>
  <c r="D12" i="1"/>
  <c r="F9" i="1"/>
  <c r="E8" i="1"/>
  <c r="F8" i="1" s="1"/>
  <c r="E7" i="1"/>
  <c r="F7" i="1" s="1"/>
  <c r="E51" i="1"/>
  <c r="F51" i="1" s="1"/>
  <c r="E58" i="1" s="1"/>
  <c r="E48" i="1"/>
  <c r="F48" i="1" s="1"/>
  <c r="E55" i="1" s="1"/>
  <c r="E49" i="1"/>
  <c r="F49" i="1" s="1"/>
  <c r="E56" i="1" s="1"/>
  <c r="E50" i="1"/>
  <c r="F50" i="1" s="1"/>
  <c r="E57" i="1" s="1"/>
  <c r="E47" i="1"/>
  <c r="F47" i="1" s="1"/>
  <c r="E54" i="1" s="1"/>
  <c r="M9" i="1"/>
  <c r="D39" i="1"/>
  <c r="E62" i="1" l="1"/>
  <c r="E64" i="1" s="1"/>
  <c r="E12" i="1"/>
  <c r="E16" i="1"/>
  <c r="E15" i="1"/>
  <c r="E17" i="1"/>
  <c r="E14" i="1"/>
  <c r="E13" i="1"/>
  <c r="M8" i="1"/>
  <c r="L7" i="1"/>
  <c r="M7" i="1" s="1"/>
  <c r="L6" i="1"/>
  <c r="M6" i="1" s="1"/>
  <c r="L5" i="1"/>
  <c r="M5" i="1" s="1"/>
  <c r="L4" i="1"/>
  <c r="M4" i="1" s="1"/>
  <c r="L3" i="1"/>
  <c r="M3" i="1" s="1"/>
  <c r="E30" i="1" l="1"/>
  <c r="E18" i="1"/>
  <c r="E19" i="1" s="1"/>
  <c r="D40" i="1"/>
  <c r="E21" i="1" l="1"/>
  <c r="E27" i="1"/>
  <c r="E34" i="1" s="1"/>
  <c r="D43" i="1"/>
  <c r="D44" i="1"/>
  <c r="D42" i="1"/>
  <c r="E20" i="1"/>
  <c r="E22" i="1" l="1"/>
  <c r="E28" i="1"/>
  <c r="E35" i="1" s="1"/>
</calcChain>
</file>

<file path=xl/sharedStrings.xml><?xml version="1.0" encoding="utf-8"?>
<sst xmlns="http://schemas.openxmlformats.org/spreadsheetml/2006/main" count="93" uniqueCount="72">
  <si>
    <t>Aflatoxin B1 (2 ppm)</t>
  </si>
  <si>
    <t>Aflatoxin B2 (0.5 ppm)</t>
  </si>
  <si>
    <t>Aflatoxin G1 (2 ppm)</t>
  </si>
  <si>
    <t>Aflatoxin G2 (0.5 ppm)</t>
  </si>
  <si>
    <t>Ochratoxin A (10 ppm)</t>
  </si>
  <si>
    <t>Deoxynivalenol (5mg)</t>
  </si>
  <si>
    <t>NA</t>
  </si>
  <si>
    <t>Vol (mL)</t>
  </si>
  <si>
    <t>Mass (ug)</t>
  </si>
  <si>
    <t>Cost of Standards</t>
  </si>
  <si>
    <t>B1</t>
  </si>
  <si>
    <t>B2</t>
  </si>
  <si>
    <t>G1</t>
  </si>
  <si>
    <t>G2</t>
  </si>
  <si>
    <t>OTA</t>
  </si>
  <si>
    <t>DON</t>
  </si>
  <si>
    <t>Price ($)</t>
  </si>
  <si>
    <t xml:space="preserve">Vial price </t>
  </si>
  <si>
    <t>Price (/ug)</t>
  </si>
  <si>
    <t xml:space="preserve">Cost of IAC </t>
  </si>
  <si>
    <t>Price (per 25 unit box)</t>
  </si>
  <si>
    <t>6 mycotoxin IAC</t>
  </si>
  <si>
    <t>$/unit</t>
  </si>
  <si>
    <t>AF mix (10 ug/mL)</t>
  </si>
  <si>
    <t>Cost of extra reagent</t>
  </si>
  <si>
    <t>Qty needed</t>
  </si>
  <si>
    <t>Aflatoxin B1-13C7 (0.5 ppm)</t>
  </si>
  <si>
    <t>Aflatoxin B2-13C7 (0.5 ppm)</t>
  </si>
  <si>
    <t>Aflatoxin G1-13C7 (0.5 ppm)</t>
  </si>
  <si>
    <t>Aflatoxin G2-13C7 (0.5 ppm)</t>
  </si>
  <si>
    <t>Ochratoxin A-d5 solution (10 ppm)</t>
  </si>
  <si>
    <t>Cost of Isotopic Standards</t>
  </si>
  <si>
    <t>Average vial concentration for IS (ng/mL)</t>
  </si>
  <si>
    <t>Total per sample (Isotopic standard)</t>
  </si>
  <si>
    <t>Cost per sample Isotopic standard</t>
  </si>
  <si>
    <t>Cost per sample (1 spiked sample)</t>
  </si>
  <si>
    <t>B1, B2, G1, G2 (250 ng/mL each)</t>
  </si>
  <si>
    <t>alternate suppliers</t>
  </si>
  <si>
    <t>Price ($/ug)</t>
  </si>
  <si>
    <r>
      <t xml:space="preserve">Cost analysis of analytical methods scenarios using sample-matched standard curve </t>
    </r>
    <r>
      <rPr>
        <b/>
        <sz val="11"/>
        <color theme="1"/>
        <rFont val="Calibri"/>
        <family val="2"/>
        <scheme val="minor"/>
      </rPr>
      <t>(Scenario A)</t>
    </r>
    <r>
      <rPr>
        <sz val="11"/>
        <color theme="1"/>
        <rFont val="Calibri"/>
        <family val="2"/>
        <scheme val="minor"/>
      </rPr>
      <t xml:space="preserve">, Immuno-affinity column (IAC; </t>
    </r>
    <r>
      <rPr>
        <b/>
        <sz val="11"/>
        <color theme="1"/>
        <rFont val="Calibri"/>
        <family val="2"/>
        <scheme val="minor"/>
      </rPr>
      <t>Scenario B)</t>
    </r>
    <r>
      <rPr>
        <sz val="11"/>
        <color theme="1"/>
        <rFont val="Calibri"/>
        <family val="2"/>
        <scheme val="minor"/>
      </rPr>
      <t xml:space="preserve">, or isotopic internal standard </t>
    </r>
    <r>
      <rPr>
        <b/>
        <sz val="11"/>
        <color theme="1"/>
        <rFont val="Calibri"/>
        <family val="2"/>
        <scheme val="minor"/>
      </rPr>
      <t>(Scenario C)</t>
    </r>
    <r>
      <rPr>
        <sz val="11"/>
        <color theme="1"/>
        <rFont val="Calibri"/>
        <family val="2"/>
        <scheme val="minor"/>
      </rPr>
      <t xml:space="preserve"> </t>
    </r>
  </si>
  <si>
    <t xml:space="preserve">Pre extraction spike mass needed (ug) </t>
  </si>
  <si>
    <t>Post-extraction spike mass needed (ug)</t>
  </si>
  <si>
    <t>Cost of spike per sample</t>
  </si>
  <si>
    <t>Sum per sample</t>
  </si>
  <si>
    <t>Scenario A, Identification/screening phase: 5 sample with 2 SPE/sample, 2 spike/sample (one pre- and one post-extraction= 10 spike), +1 Certified Reference Material (1SPE), +1 second source STD</t>
  </si>
  <si>
    <t>10 mL</t>
  </si>
  <si>
    <t>ID phase Total per sample w/ extra reagents</t>
  </si>
  <si>
    <t>Scenario A ID Phase</t>
  </si>
  <si>
    <t>Extra solvant (@77$/4L -&gt; 0.02$/mL)</t>
  </si>
  <si>
    <t>SPE column for cleanup (@188$/30 count-&gt; 6.27$/count)</t>
  </si>
  <si>
    <t>per sample ID</t>
  </si>
  <si>
    <t>per sample Quant</t>
  </si>
  <si>
    <t>Extra mobile phase = 0.4ml/min*20 min/inj = 8 ml/inj</t>
  </si>
  <si>
    <t>1 standard curve</t>
  </si>
  <si>
    <t>Scenario B; IAC scenario, 5 sample (5IAC), 1 Procedural blank (1IAC), 1 MRC (1IAC)</t>
  </si>
  <si>
    <t>Cost/sample</t>
  </si>
  <si>
    <t>Scenario C: Internal Isotope Standard scenario</t>
  </si>
  <si>
    <t>Deoxynivalenol-13C15</t>
  </si>
  <si>
    <t>Sum for 5 sample + 1 second source + 1 CRM + 10% buffer</t>
  </si>
  <si>
    <t>Sum for 10 sample + 1 second source + 1 CRM + 10% buffer</t>
  </si>
  <si>
    <t>Total per sample, 5 sample batch (just toxin standard)</t>
  </si>
  <si>
    <t>Total per sample, 10 sample batch (just toxin standard)</t>
  </si>
  <si>
    <t>1 count</t>
  </si>
  <si>
    <t>ID phase, Total per sample w/ extra reagents,</t>
  </si>
  <si>
    <t xml:space="preserve"> 5 sample batch</t>
  </si>
  <si>
    <t>10 sample batch</t>
  </si>
  <si>
    <t>Total cost/sample, 5 sample batch</t>
  </si>
  <si>
    <t>Total cost/sample, 10 sample batch</t>
  </si>
  <si>
    <t>Total cost/sample, 15 sample batch</t>
  </si>
  <si>
    <t xml:space="preserve">Scenario A, quantification phase : 1 sample requires 1 SPE, 5 post-extrac spikes, + 1 second source (1post extrac spike), 1 CRM (1pre-extrac spike), 1 procedural blanc </t>
  </si>
  <si>
    <t>spike ng/mL (in vial)</t>
  </si>
  <si>
    <t>spike ng/g (in sample)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</si>
</sst>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0.0000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4" fontId="0" fillId="0" borderId="0" xfId="1" applyFont="1"/>
    <xf numFmtId="164" fontId="0" fillId="0" borderId="0" xfId="0" applyNumberFormat="1"/>
    <xf numFmtId="2" fontId="0" fillId="0" borderId="0" xfId="1" applyNumberFormat="1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164" fontId="0" fillId="2" borderId="3" xfId="0" applyNumberFormat="1" applyFill="1" applyBorder="1"/>
    <xf numFmtId="0" fontId="2" fillId="2" borderId="4" xfId="0" applyFont="1" applyFill="1" applyBorder="1"/>
    <xf numFmtId="164" fontId="0" fillId="2" borderId="5" xfId="1" applyFont="1" applyFill="1" applyBorder="1"/>
    <xf numFmtId="164" fontId="2" fillId="2" borderId="6" xfId="0" applyNumberFormat="1" applyFont="1" applyFill="1" applyBorder="1"/>
    <xf numFmtId="164" fontId="2" fillId="0" borderId="0" xfId="1" applyFont="1"/>
    <xf numFmtId="0" fontId="3" fillId="0" borderId="0" xfId="2"/>
    <xf numFmtId="0" fontId="0" fillId="3" borderId="0" xfId="0" applyFill="1"/>
    <xf numFmtId="0" fontId="0" fillId="0" borderId="0" xfId="0" applyAlignment="1">
      <alignment wrapText="1"/>
    </xf>
    <xf numFmtId="0" fontId="0" fillId="3" borderId="1" xfId="0" applyFill="1" applyBorder="1"/>
    <xf numFmtId="0" fontId="0" fillId="3" borderId="2" xfId="0" applyFill="1" applyBorder="1"/>
    <xf numFmtId="164" fontId="0" fillId="3" borderId="3" xfId="0" applyNumberFormat="1" applyFill="1" applyBorder="1"/>
    <xf numFmtId="0" fontId="0" fillId="3" borderId="7" xfId="0" applyFill="1" applyBorder="1"/>
    <xf numFmtId="164" fontId="2" fillId="0" borderId="0" xfId="0" applyNumberFormat="1" applyFont="1"/>
    <xf numFmtId="165" fontId="0" fillId="0" borderId="0" xfId="1" applyNumberFormat="1" applyFont="1"/>
    <xf numFmtId="0" fontId="0" fillId="2" borderId="0" xfId="0" applyFill="1"/>
    <xf numFmtId="164" fontId="2" fillId="2" borderId="0" xfId="0" applyNumberFormat="1" applyFont="1" applyFill="1"/>
    <xf numFmtId="0" fontId="2" fillId="4" borderId="0" xfId="0" applyFont="1" applyFill="1"/>
    <xf numFmtId="0" fontId="0" fillId="4" borderId="0" xfId="0" applyFill="1"/>
    <xf numFmtId="164" fontId="2" fillId="4" borderId="0" xfId="0" applyNumberFormat="1" applyFont="1" applyFill="1"/>
    <xf numFmtId="164" fontId="2" fillId="3" borderId="7" xfId="0" applyNumberFormat="1" applyFont="1" applyFill="1" applyBorder="1"/>
    <xf numFmtId="0" fontId="2" fillId="3" borderId="0" xfId="0" applyFont="1" applyFill="1"/>
    <xf numFmtId="0" fontId="0" fillId="2" borderId="9" xfId="0" applyFill="1" applyBorder="1"/>
    <xf numFmtId="164" fontId="2" fillId="2" borderId="10" xfId="0" applyNumberFormat="1" applyFont="1" applyFill="1" applyBorder="1"/>
    <xf numFmtId="0" fontId="0" fillId="0" borderId="12" xfId="0" applyBorder="1"/>
    <xf numFmtId="0" fontId="0" fillId="0" borderId="13" xfId="0" applyBorder="1"/>
    <xf numFmtId="0" fontId="2" fillId="2" borderId="1" xfId="0" applyFont="1" applyFill="1" applyBorder="1"/>
    <xf numFmtId="164" fontId="0" fillId="2" borderId="2" xfId="1" applyFont="1" applyFill="1" applyBorder="1"/>
    <xf numFmtId="164" fontId="2" fillId="2" borderId="3" xfId="0" applyNumberFormat="1" applyFont="1" applyFill="1" applyBorder="1"/>
    <xf numFmtId="166" fontId="0" fillId="0" borderId="0" xfId="0" applyNumberFormat="1"/>
    <xf numFmtId="0" fontId="2" fillId="2" borderId="2" xfId="0" applyFont="1" applyFill="1" applyBorder="1"/>
    <xf numFmtId="0" fontId="2" fillId="2" borderId="5" xfId="0" applyFont="1" applyFill="1" applyBorder="1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A88BA-441D-4712-9D05-B80F422CE772}">
  <dimension ref="A1:M64"/>
  <sheetViews>
    <sheetView tabSelected="1" zoomScale="115" zoomScaleNormal="115" workbookViewId="0">
      <selection activeCell="K39" sqref="K39"/>
    </sheetView>
  </sheetViews>
  <sheetFormatPr defaultRowHeight="15" x14ac:dyDescent="0.25"/>
  <cols>
    <col min="1" max="1" width="17.140625" customWidth="1"/>
    <col min="2" max="2" width="49" customWidth="1"/>
    <col min="3" max="3" width="19.5703125" customWidth="1"/>
    <col min="4" max="4" width="18.5703125" customWidth="1"/>
    <col min="6" max="6" width="11.140625" customWidth="1"/>
    <col min="10" max="10" width="11.140625" customWidth="1"/>
    <col min="13" max="13" width="11.42578125" customWidth="1"/>
  </cols>
  <sheetData>
    <row r="1" spans="1:13" x14ac:dyDescent="0.25">
      <c r="H1" s="1" t="s">
        <v>37</v>
      </c>
    </row>
    <row r="2" spans="1:13" ht="42.95" customHeight="1" x14ac:dyDescent="0.25">
      <c r="A2" s="40" t="s">
        <v>39</v>
      </c>
      <c r="B2" s="40"/>
      <c r="C2" s="40"/>
      <c r="D2" s="40"/>
      <c r="E2" s="40"/>
      <c r="F2" s="40"/>
      <c r="H2" s="1"/>
      <c r="I2" s="1" t="s">
        <v>9</v>
      </c>
      <c r="J2" s="13" t="s">
        <v>17</v>
      </c>
      <c r="K2" s="1" t="s">
        <v>7</v>
      </c>
      <c r="L2" s="1" t="s">
        <v>8</v>
      </c>
      <c r="M2" s="1" t="s">
        <v>38</v>
      </c>
    </row>
    <row r="3" spans="1:13" x14ac:dyDescent="0.25">
      <c r="A3" s="41" t="s">
        <v>44</v>
      </c>
      <c r="B3" s="41"/>
      <c r="C3" s="41"/>
      <c r="D3" s="41"/>
      <c r="E3" s="41"/>
      <c r="F3" s="41"/>
      <c r="I3" t="s">
        <v>0</v>
      </c>
      <c r="J3" s="2">
        <v>329</v>
      </c>
      <c r="K3">
        <v>2</v>
      </c>
      <c r="L3">
        <f>2*2</f>
        <v>4</v>
      </c>
      <c r="M3" s="3">
        <f>J3/L3</f>
        <v>82.25</v>
      </c>
    </row>
    <row r="4" spans="1:13" x14ac:dyDescent="0.25">
      <c r="A4" s="41"/>
      <c r="B4" s="41"/>
      <c r="C4" s="41"/>
      <c r="D4" s="41"/>
      <c r="E4" s="41"/>
      <c r="F4" s="41"/>
      <c r="I4" t="s">
        <v>1</v>
      </c>
      <c r="J4" s="2">
        <v>329</v>
      </c>
      <c r="K4">
        <v>2</v>
      </c>
      <c r="L4">
        <f>2*0.5</f>
        <v>1</v>
      </c>
      <c r="M4" s="3">
        <f t="shared" ref="M4:M8" si="0">J4/L4</f>
        <v>329</v>
      </c>
    </row>
    <row r="5" spans="1:13" x14ac:dyDescent="0.25">
      <c r="A5" s="6" t="s">
        <v>47</v>
      </c>
      <c r="I5" t="s">
        <v>2</v>
      </c>
      <c r="J5" s="2">
        <v>329</v>
      </c>
      <c r="K5">
        <v>2</v>
      </c>
      <c r="L5">
        <f>2*2</f>
        <v>4</v>
      </c>
      <c r="M5" s="3">
        <f t="shared" si="0"/>
        <v>82.25</v>
      </c>
    </row>
    <row r="6" spans="1:13" x14ac:dyDescent="0.25">
      <c r="A6" s="1"/>
      <c r="B6" s="1" t="s">
        <v>9</v>
      </c>
      <c r="C6" s="13" t="s">
        <v>17</v>
      </c>
      <c r="D6" s="1" t="s">
        <v>7</v>
      </c>
      <c r="E6" s="1" t="s">
        <v>8</v>
      </c>
      <c r="F6" s="1" t="s">
        <v>38</v>
      </c>
      <c r="I6" t="s">
        <v>3</v>
      </c>
      <c r="J6" s="2">
        <v>329</v>
      </c>
      <c r="K6">
        <v>2</v>
      </c>
      <c r="L6">
        <f>2*0.5</f>
        <v>1</v>
      </c>
      <c r="M6" s="3">
        <f t="shared" si="0"/>
        <v>329</v>
      </c>
    </row>
    <row r="7" spans="1:13" x14ac:dyDescent="0.25">
      <c r="B7" t="s">
        <v>36</v>
      </c>
      <c r="C7">
        <v>1016.5</v>
      </c>
      <c r="D7">
        <v>6</v>
      </c>
      <c r="E7">
        <f>0.25*6</f>
        <v>1.5</v>
      </c>
      <c r="F7">
        <f>C7/E7/4</f>
        <v>169.41666666666666</v>
      </c>
      <c r="I7" t="s">
        <v>4</v>
      </c>
      <c r="J7" s="2">
        <v>451</v>
      </c>
      <c r="K7">
        <v>2</v>
      </c>
      <c r="L7">
        <f>10*2</f>
        <v>20</v>
      </c>
      <c r="M7" s="3">
        <f t="shared" si="0"/>
        <v>22.55</v>
      </c>
    </row>
    <row r="8" spans="1:13" x14ac:dyDescent="0.25">
      <c r="B8" t="s">
        <v>14</v>
      </c>
      <c r="C8">
        <v>678</v>
      </c>
      <c r="D8">
        <v>1</v>
      </c>
      <c r="E8">
        <f>10</f>
        <v>10</v>
      </c>
      <c r="F8">
        <f>C8/E8</f>
        <v>67.8</v>
      </c>
      <c r="I8" t="s">
        <v>5</v>
      </c>
      <c r="J8" s="2">
        <v>350</v>
      </c>
      <c r="K8" t="s">
        <v>6</v>
      </c>
      <c r="L8">
        <v>5000</v>
      </c>
      <c r="M8" s="3">
        <f t="shared" si="0"/>
        <v>7.0000000000000007E-2</v>
      </c>
    </row>
    <row r="9" spans="1:13" x14ac:dyDescent="0.25">
      <c r="B9" t="s">
        <v>15</v>
      </c>
      <c r="C9">
        <v>603</v>
      </c>
      <c r="D9">
        <v>1</v>
      </c>
      <c r="E9">
        <v>100</v>
      </c>
      <c r="F9">
        <f>C9/E9</f>
        <v>6.03</v>
      </c>
      <c r="I9" t="s">
        <v>23</v>
      </c>
      <c r="J9" s="2">
        <v>455</v>
      </c>
      <c r="K9">
        <v>1</v>
      </c>
      <c r="L9">
        <v>10</v>
      </c>
      <c r="M9" s="3">
        <f>J9/L9</f>
        <v>45.5</v>
      </c>
    </row>
    <row r="11" spans="1:13" ht="45" x14ac:dyDescent="0.25">
      <c r="B11" s="1" t="s">
        <v>42</v>
      </c>
      <c r="C11" s="5" t="s">
        <v>41</v>
      </c>
      <c r="D11" s="5" t="s">
        <v>40</v>
      </c>
      <c r="E11" s="1" t="s">
        <v>16</v>
      </c>
      <c r="J11" s="5" t="s">
        <v>70</v>
      </c>
      <c r="K11" s="5" t="s">
        <v>71</v>
      </c>
    </row>
    <row r="12" spans="1:13" x14ac:dyDescent="0.25">
      <c r="B12" t="s">
        <v>10</v>
      </c>
      <c r="C12" s="22">
        <f t="shared" ref="C12:D17" si="1">J12/1000</f>
        <v>7.4999625001874993E-5</v>
      </c>
      <c r="D12">
        <f t="shared" si="1"/>
        <v>5.0000000000000001E-3</v>
      </c>
      <c r="E12" s="3">
        <f>D12+C12*$F$7</f>
        <v>1.7706186469067655E-2</v>
      </c>
      <c r="J12" s="37">
        <f>K12/66.667</f>
        <v>7.4999625001874987E-2</v>
      </c>
      <c r="K12">
        <v>5</v>
      </c>
    </row>
    <row r="13" spans="1:13" x14ac:dyDescent="0.25">
      <c r="B13" t="s">
        <v>11</v>
      </c>
      <c r="C13" s="22">
        <f t="shared" si="1"/>
        <v>7.4999625001874993E-5</v>
      </c>
      <c r="D13">
        <f t="shared" si="1"/>
        <v>5.0000000000000001E-3</v>
      </c>
      <c r="E13" s="3">
        <f t="shared" ref="E13:E15" si="2">D13+C13*$F$7</f>
        <v>1.7706186469067655E-2</v>
      </c>
      <c r="J13" s="37">
        <f t="shared" ref="J13:J16" si="3">K13/66.667</f>
        <v>7.4999625001874987E-2</v>
      </c>
      <c r="K13">
        <v>5</v>
      </c>
    </row>
    <row r="14" spans="1:13" x14ac:dyDescent="0.25">
      <c r="B14" t="s">
        <v>12</v>
      </c>
      <c r="C14" s="22">
        <f t="shared" si="1"/>
        <v>7.4999625001874993E-5</v>
      </c>
      <c r="D14">
        <f t="shared" si="1"/>
        <v>5.0000000000000001E-3</v>
      </c>
      <c r="E14" s="3">
        <f t="shared" si="2"/>
        <v>1.7706186469067655E-2</v>
      </c>
      <c r="J14" s="37">
        <f t="shared" si="3"/>
        <v>7.4999625001874987E-2</v>
      </c>
      <c r="K14">
        <v>5</v>
      </c>
    </row>
    <row r="15" spans="1:13" x14ac:dyDescent="0.25">
      <c r="B15" t="s">
        <v>13</v>
      </c>
      <c r="C15" s="22">
        <f t="shared" si="1"/>
        <v>7.4999625001874993E-5</v>
      </c>
      <c r="D15">
        <f t="shared" si="1"/>
        <v>5.0000000000000001E-3</v>
      </c>
      <c r="E15" s="3">
        <f t="shared" si="2"/>
        <v>1.7706186469067655E-2</v>
      </c>
      <c r="J15" s="37">
        <f t="shared" si="3"/>
        <v>7.4999625001874987E-2</v>
      </c>
      <c r="K15">
        <v>5</v>
      </c>
    </row>
    <row r="16" spans="1:13" x14ac:dyDescent="0.25">
      <c r="B16" t="s">
        <v>14</v>
      </c>
      <c r="C16" s="22">
        <f t="shared" si="1"/>
        <v>2.9999850000749997E-4</v>
      </c>
      <c r="D16">
        <f t="shared" si="1"/>
        <v>0.02</v>
      </c>
      <c r="E16" s="3">
        <f>D16+C16*F8</f>
        <v>4.0339898300508499E-2</v>
      </c>
      <c r="J16" s="37">
        <f t="shared" si="3"/>
        <v>0.29999850000749995</v>
      </c>
      <c r="K16">
        <v>20</v>
      </c>
    </row>
    <row r="17" spans="1:11" x14ac:dyDescent="0.25">
      <c r="B17" t="s">
        <v>15</v>
      </c>
      <c r="C17" s="22">
        <f t="shared" si="1"/>
        <v>1.7999910000449997E-3</v>
      </c>
      <c r="D17">
        <f t="shared" si="1"/>
        <v>0.12</v>
      </c>
      <c r="E17" s="3">
        <f>C17+D17*F9</f>
        <v>0.72539999100004504</v>
      </c>
      <c r="J17" s="37">
        <f>K17/66.667</f>
        <v>1.7999910000449997</v>
      </c>
      <c r="K17">
        <v>120</v>
      </c>
    </row>
    <row r="18" spans="1:11" x14ac:dyDescent="0.25">
      <c r="B18" s="1" t="s">
        <v>43</v>
      </c>
      <c r="C18" s="4"/>
      <c r="E18" s="21">
        <f>SUM(E12:E17)</f>
        <v>0.83656463517682411</v>
      </c>
    </row>
    <row r="19" spans="1:11" x14ac:dyDescent="0.25">
      <c r="B19" s="1" t="s">
        <v>58</v>
      </c>
      <c r="C19" s="4"/>
      <c r="E19" s="21">
        <f>E18*11*1.1</f>
        <v>10.122432085639572</v>
      </c>
    </row>
    <row r="20" spans="1:11" ht="15.75" thickBot="1" x14ac:dyDescent="0.3">
      <c r="B20" s="1" t="s">
        <v>59</v>
      </c>
      <c r="C20" s="4"/>
      <c r="E20" s="21">
        <f>E18*21*1.1</f>
        <v>19.324643072584639</v>
      </c>
    </row>
    <row r="21" spans="1:11" ht="15.75" thickBot="1" x14ac:dyDescent="0.3">
      <c r="A21" s="14"/>
      <c r="B21" s="7" t="s">
        <v>60</v>
      </c>
      <c r="C21" s="8"/>
      <c r="D21" s="8"/>
      <c r="E21" s="9">
        <f>E19/5</f>
        <v>2.0244864171279144</v>
      </c>
    </row>
    <row r="22" spans="1:11" x14ac:dyDescent="0.25">
      <c r="B22" s="7" t="s">
        <v>61</v>
      </c>
      <c r="C22" s="8"/>
      <c r="D22" s="8"/>
      <c r="E22" s="9">
        <f>E20/10</f>
        <v>1.932464307258464</v>
      </c>
    </row>
    <row r="24" spans="1:11" x14ac:dyDescent="0.25">
      <c r="B24" s="1" t="s">
        <v>24</v>
      </c>
      <c r="D24" s="1" t="s">
        <v>25</v>
      </c>
      <c r="E24" s="1" t="s">
        <v>16</v>
      </c>
    </row>
    <row r="25" spans="1:11" x14ac:dyDescent="0.25">
      <c r="B25" t="s">
        <v>48</v>
      </c>
      <c r="D25" t="s">
        <v>45</v>
      </c>
      <c r="E25" s="3">
        <f>10*0.02</f>
        <v>0.2</v>
      </c>
    </row>
    <row r="26" spans="1:11" ht="15.75" thickBot="1" x14ac:dyDescent="0.3">
      <c r="A26" s="14"/>
      <c r="B26" t="s">
        <v>49</v>
      </c>
      <c r="D26" t="s">
        <v>62</v>
      </c>
      <c r="E26" s="3">
        <v>6.27</v>
      </c>
    </row>
    <row r="27" spans="1:11" x14ac:dyDescent="0.25">
      <c r="B27" s="34" t="s">
        <v>63</v>
      </c>
      <c r="C27" s="35"/>
      <c r="D27" s="38" t="s">
        <v>64</v>
      </c>
      <c r="E27" s="36">
        <f>(E19+E25+11*E26)/5</f>
        <v>15.858486417127915</v>
      </c>
      <c r="F27" s="1" t="s">
        <v>50</v>
      </c>
    </row>
    <row r="28" spans="1:11" ht="15.75" thickBot="1" x14ac:dyDescent="0.3">
      <c r="B28" s="10" t="s">
        <v>46</v>
      </c>
      <c r="C28" s="11"/>
      <c r="D28" s="39" t="s">
        <v>65</v>
      </c>
      <c r="E28" s="12">
        <f>(E20+2*E25+21*E26)/10</f>
        <v>15.139464307258461</v>
      </c>
      <c r="F28" s="1" t="s">
        <v>50</v>
      </c>
    </row>
    <row r="29" spans="1:11" ht="15.75" thickBot="1" x14ac:dyDescent="0.3"/>
    <row r="30" spans="1:11" x14ac:dyDescent="0.25">
      <c r="A30" s="42" t="s">
        <v>69</v>
      </c>
      <c r="B30" s="43"/>
      <c r="C30" s="43"/>
      <c r="D30" s="30"/>
      <c r="E30" s="31">
        <f>E26+6*(C12*E12+C13*E13+C14*E14+C15*E15+C16*E16+C17*E17)+1*(D12*E12+D13*E13+D14*E14+D15*+D16*E16+D17*E17)</f>
        <v>6.365256388868441</v>
      </c>
      <c r="F30" s="1" t="s">
        <v>51</v>
      </c>
    </row>
    <row r="31" spans="1:11" ht="15.75" thickBot="1" x14ac:dyDescent="0.3">
      <c r="A31" s="44"/>
      <c r="B31" s="45"/>
      <c r="C31" s="45"/>
      <c r="D31" s="32"/>
      <c r="E31" s="33"/>
    </row>
    <row r="32" spans="1:11" x14ac:dyDescent="0.25">
      <c r="B32" s="6" t="s">
        <v>52</v>
      </c>
      <c r="C32" s="23"/>
      <c r="D32" s="23"/>
      <c r="E32" s="24">
        <v>0.16</v>
      </c>
      <c r="F32" s="1" t="s">
        <v>51</v>
      </c>
    </row>
    <row r="34" spans="1:6" x14ac:dyDescent="0.25">
      <c r="E34" s="24">
        <f>E32+E30+E27</f>
        <v>22.383742805996356</v>
      </c>
      <c r="F34" s="1" t="s">
        <v>66</v>
      </c>
    </row>
    <row r="35" spans="1:6" x14ac:dyDescent="0.25">
      <c r="E35" s="24">
        <f>E28+E30+2*E32</f>
        <v>21.824720696126903</v>
      </c>
      <c r="F35" s="1" t="s">
        <v>67</v>
      </c>
    </row>
    <row r="37" spans="1:6" x14ac:dyDescent="0.25">
      <c r="A37" s="25" t="s">
        <v>54</v>
      </c>
      <c r="B37" s="26"/>
      <c r="C37" s="2"/>
    </row>
    <row r="38" spans="1:6" x14ac:dyDescent="0.25">
      <c r="B38" s="5" t="s">
        <v>19</v>
      </c>
      <c r="C38" s="2" t="s">
        <v>20</v>
      </c>
      <c r="D38" t="s">
        <v>22</v>
      </c>
    </row>
    <row r="39" spans="1:6" x14ac:dyDescent="0.25">
      <c r="B39" t="s">
        <v>21</v>
      </c>
      <c r="C39" s="3">
        <v>1793</v>
      </c>
      <c r="D39" s="3">
        <f>C39/25</f>
        <v>71.72</v>
      </c>
    </row>
    <row r="40" spans="1:6" x14ac:dyDescent="0.25">
      <c r="B40" t="s">
        <v>53</v>
      </c>
      <c r="D40" s="3">
        <f>5*(C12*E12+C13*E13+C14*E14+C15*E15+C16*E16+C17*E17)</f>
        <v>6.6156359679749293E-3</v>
      </c>
    </row>
    <row r="42" spans="1:6" x14ac:dyDescent="0.25">
      <c r="B42" s="25" t="s">
        <v>55</v>
      </c>
      <c r="C42" s="25"/>
      <c r="D42" s="27">
        <f>(D39*7+D40)/5</f>
        <v>100.40932312719359</v>
      </c>
      <c r="E42" s="1" t="s">
        <v>66</v>
      </c>
    </row>
    <row r="43" spans="1:6" x14ac:dyDescent="0.25">
      <c r="D43" s="27">
        <f>(D39*12+D40)/10</f>
        <v>86.064661563596786</v>
      </c>
      <c r="E43" s="1" t="s">
        <v>67</v>
      </c>
    </row>
    <row r="44" spans="1:6" x14ac:dyDescent="0.25">
      <c r="D44" s="27">
        <f>(D39*17+D40)/15</f>
        <v>81.283107709064538</v>
      </c>
      <c r="E44" s="1" t="s">
        <v>68</v>
      </c>
    </row>
    <row r="45" spans="1:6" x14ac:dyDescent="0.25">
      <c r="A45" s="29" t="s">
        <v>56</v>
      </c>
      <c r="B45" s="15"/>
    </row>
    <row r="46" spans="1:6" x14ac:dyDescent="0.25">
      <c r="B46" s="1" t="s">
        <v>31</v>
      </c>
      <c r="C46" s="13" t="s">
        <v>17</v>
      </c>
      <c r="D46" s="1" t="s">
        <v>7</v>
      </c>
      <c r="E46" s="1" t="s">
        <v>8</v>
      </c>
      <c r="F46" s="1" t="s">
        <v>18</v>
      </c>
    </row>
    <row r="47" spans="1:6" x14ac:dyDescent="0.25">
      <c r="B47" t="s">
        <v>26</v>
      </c>
      <c r="C47" s="2">
        <v>2880</v>
      </c>
      <c r="D47">
        <v>1</v>
      </c>
      <c r="E47">
        <f>D47*0.5</f>
        <v>0.5</v>
      </c>
      <c r="F47" s="3">
        <f>C47/E47</f>
        <v>5760</v>
      </c>
    </row>
    <row r="48" spans="1:6" x14ac:dyDescent="0.25">
      <c r="B48" t="s">
        <v>27</v>
      </c>
      <c r="C48" s="2">
        <v>2880</v>
      </c>
      <c r="D48">
        <v>1</v>
      </c>
      <c r="E48">
        <f t="shared" ref="E48:E50" si="4">D48*0.5</f>
        <v>0.5</v>
      </c>
      <c r="F48" s="3">
        <f t="shared" ref="F48:F52" si="5">C48/E48</f>
        <v>5760</v>
      </c>
    </row>
    <row r="49" spans="2:6" x14ac:dyDescent="0.25">
      <c r="B49" t="s">
        <v>28</v>
      </c>
      <c r="C49" s="2">
        <v>2880</v>
      </c>
      <c r="D49">
        <v>1</v>
      </c>
      <c r="E49">
        <f t="shared" si="4"/>
        <v>0.5</v>
      </c>
      <c r="F49" s="3">
        <f t="shared" si="5"/>
        <v>5760</v>
      </c>
    </row>
    <row r="50" spans="2:6" x14ac:dyDescent="0.25">
      <c r="B50" t="s">
        <v>29</v>
      </c>
      <c r="C50" s="2">
        <v>2880</v>
      </c>
      <c r="D50">
        <v>1</v>
      </c>
      <c r="E50">
        <f t="shared" si="4"/>
        <v>0.5</v>
      </c>
      <c r="F50" s="3">
        <f t="shared" si="5"/>
        <v>5760</v>
      </c>
    </row>
    <row r="51" spans="2:6" x14ac:dyDescent="0.25">
      <c r="B51" s="16" t="s">
        <v>30</v>
      </c>
      <c r="C51" s="2">
        <v>1349</v>
      </c>
      <c r="D51">
        <v>2</v>
      </c>
      <c r="E51">
        <f>D51*10</f>
        <v>20</v>
      </c>
      <c r="F51" s="3">
        <f t="shared" si="5"/>
        <v>67.45</v>
      </c>
    </row>
    <row r="52" spans="2:6" x14ac:dyDescent="0.25">
      <c r="B52" t="s">
        <v>57</v>
      </c>
      <c r="C52" s="2">
        <v>2184</v>
      </c>
      <c r="E52">
        <v>25</v>
      </c>
      <c r="F52" s="3">
        <f t="shared" si="5"/>
        <v>87.36</v>
      </c>
    </row>
    <row r="53" spans="2:6" ht="45" x14ac:dyDescent="0.25">
      <c r="B53" t="s">
        <v>34</v>
      </c>
      <c r="C53" s="5" t="s">
        <v>32</v>
      </c>
      <c r="D53" s="5"/>
    </row>
    <row r="54" spans="2:6" x14ac:dyDescent="0.25">
      <c r="B54" t="s">
        <v>10</v>
      </c>
      <c r="C54" s="4">
        <v>7.4999625001874987E-2</v>
      </c>
      <c r="E54" s="3">
        <f>C54/1000*F47</f>
        <v>0.43199784001079994</v>
      </c>
    </row>
    <row r="55" spans="2:6" x14ac:dyDescent="0.25">
      <c r="B55" t="s">
        <v>11</v>
      </c>
      <c r="C55" s="4">
        <v>7.4999625001874987E-2</v>
      </c>
      <c r="E55" s="3">
        <f t="shared" ref="E55:E59" si="6">C55/1000*F48</f>
        <v>0.43199784001079994</v>
      </c>
    </row>
    <row r="56" spans="2:6" x14ac:dyDescent="0.25">
      <c r="B56" t="s">
        <v>12</v>
      </c>
      <c r="C56" s="4">
        <v>7.4999625001874987E-2</v>
      </c>
      <c r="E56" s="3">
        <f t="shared" si="6"/>
        <v>0.43199784001079994</v>
      </c>
    </row>
    <row r="57" spans="2:6" x14ac:dyDescent="0.25">
      <c r="B57" t="s">
        <v>13</v>
      </c>
      <c r="C57" s="4">
        <v>7.4999625001874987E-2</v>
      </c>
      <c r="E57" s="3">
        <f t="shared" si="6"/>
        <v>0.43199784001079994</v>
      </c>
    </row>
    <row r="58" spans="2:6" x14ac:dyDescent="0.25">
      <c r="B58" t="s">
        <v>14</v>
      </c>
      <c r="C58" s="4">
        <v>0.29999850000749995</v>
      </c>
      <c r="E58" s="3">
        <f t="shared" si="6"/>
        <v>2.0234898825505873E-2</v>
      </c>
    </row>
    <row r="59" spans="2:6" x14ac:dyDescent="0.25">
      <c r="B59" t="s">
        <v>15</v>
      </c>
      <c r="C59" s="4">
        <v>1.8</v>
      </c>
      <c r="E59" s="3">
        <f t="shared" si="6"/>
        <v>0.157248</v>
      </c>
    </row>
    <row r="61" spans="2:6" ht="15.75" thickBot="1" x14ac:dyDescent="0.3"/>
    <row r="62" spans="2:6" x14ac:dyDescent="0.25">
      <c r="B62" s="17" t="s">
        <v>33</v>
      </c>
      <c r="C62" s="18"/>
      <c r="D62" s="18"/>
      <c r="E62" s="19">
        <f>SUM(E54:E59)</f>
        <v>1.9054742588687057</v>
      </c>
    </row>
    <row r="64" spans="2:6" x14ac:dyDescent="0.25">
      <c r="B64" s="20" t="s">
        <v>35</v>
      </c>
      <c r="C64" s="20"/>
      <c r="D64" s="20"/>
      <c r="E64" s="28">
        <f>E26+E62</f>
        <v>8.1754742588687055</v>
      </c>
    </row>
  </sheetData>
  <mergeCells count="3">
    <mergeCell ref="A2:F2"/>
    <mergeCell ref="A3:F4"/>
    <mergeCell ref="A30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>HC-PHAC - SC-ASPC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Desaulniers Brousseau, Vincent (HC/SC)</dc:creator>
  <cp:lastModifiedBy>Vincent Desaulniers Brousseau</cp:lastModifiedBy>
  <dcterms:created xsi:type="dcterms:W3CDTF">2024-01-29T15:17:09Z</dcterms:created>
  <dcterms:modified xsi:type="dcterms:W3CDTF">2024-03-01T22:38:21Z</dcterms:modified>
</cp:coreProperties>
</file>