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.old\Users\HHH\Desktop\SITES\Projet 5 OC\"/>
    </mc:Choice>
  </mc:AlternateContent>
  <xr:revisionPtr revIDLastSave="0" documentId="13_ncr:1_{C7F078FE-A14E-41A2-BD0B-954552074A0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onnées à saisir" sheetId="1" r:id="rId1"/>
    <sheet name="Plan financier à imprimer" sheetId="2" r:id="rId2"/>
  </sheets>
  <definedNames>
    <definedName name="_xlnm.Print_Area" localSheetId="1">'Plan financier à imprimer'!$A$1:$CS$50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5" i="2" l="1"/>
  <c r="BL15" i="2"/>
  <c r="BM15" i="2"/>
  <c r="BJ15" i="2"/>
  <c r="B67" i="1" l="1"/>
  <c r="L145" i="1" l="1"/>
  <c r="M145" i="1"/>
  <c r="L146" i="1"/>
  <c r="M146" i="1"/>
  <c r="K147" i="1"/>
  <c r="K148" i="1"/>
  <c r="K149" i="1"/>
  <c r="K146" i="1"/>
  <c r="J146" i="1"/>
  <c r="K145" i="1"/>
  <c r="J145" i="1"/>
  <c r="L147" i="1"/>
  <c r="M147" i="1"/>
  <c r="L148" i="1"/>
  <c r="M148" i="1"/>
  <c r="M149" i="1" s="1"/>
  <c r="L149" i="1"/>
  <c r="L141" i="1"/>
  <c r="M141" i="1"/>
  <c r="F146" i="1"/>
  <c r="E146" i="1"/>
  <c r="D146" i="1"/>
  <c r="C146" i="1"/>
  <c r="B146" i="1"/>
  <c r="F145" i="1"/>
  <c r="E145" i="1"/>
  <c r="D145" i="1"/>
  <c r="C145" i="1"/>
  <c r="B145" i="1"/>
  <c r="E147" i="1"/>
  <c r="F147" i="1"/>
  <c r="E148" i="1"/>
  <c r="E149" i="1" s="1"/>
  <c r="AL41" i="2" s="1"/>
  <c r="F148" i="1"/>
  <c r="F149" i="1"/>
  <c r="AM41" i="2" s="1"/>
  <c r="E141" i="1"/>
  <c r="AL39" i="2" s="1"/>
  <c r="F141" i="1"/>
  <c r="AB22" i="2" s="1"/>
  <c r="P72" i="1"/>
  <c r="O72" i="1"/>
  <c r="K72" i="1"/>
  <c r="J72" i="1"/>
  <c r="AM40" i="2"/>
  <c r="AM38" i="2"/>
  <c r="AM37" i="2"/>
  <c r="BA20" i="2" s="1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L40" i="2"/>
  <c r="AL38" i="2"/>
  <c r="AL37" i="2"/>
  <c r="AY20" i="2" s="1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B20" i="2"/>
  <c r="AB16" i="2"/>
  <c r="AA20" i="2"/>
  <c r="AA16" i="2"/>
  <c r="F97" i="1"/>
  <c r="E97" i="1"/>
  <c r="AM39" i="2" l="1"/>
  <c r="BA21" i="2" s="1"/>
  <c r="AA22" i="2"/>
  <c r="AY21" i="2"/>
  <c r="AM18" i="2"/>
  <c r="BA18" i="2" s="1"/>
  <c r="AL18" i="2"/>
  <c r="AY18" i="2" s="1"/>
  <c r="AB17" i="2"/>
  <c r="AB21" i="2"/>
  <c r="I148" i="1" l="1"/>
  <c r="I147" i="1"/>
  <c r="K141" i="1"/>
  <c r="J141" i="1"/>
  <c r="I141" i="1"/>
  <c r="D141" i="1"/>
  <c r="C141" i="1"/>
  <c r="B141" i="1"/>
  <c r="Q39" i="2" l="1"/>
  <c r="J148" i="1" l="1"/>
  <c r="J147" i="1"/>
  <c r="C148" i="1"/>
  <c r="D148" i="1"/>
  <c r="B148" i="1"/>
  <c r="C147" i="1"/>
  <c r="D147" i="1"/>
  <c r="B147" i="1"/>
  <c r="AJ39" i="2"/>
  <c r="B39" i="1"/>
  <c r="D71" i="1"/>
  <c r="D72" i="1"/>
  <c r="B71" i="1"/>
  <c r="C71" i="1" s="1"/>
  <c r="B72" i="1"/>
  <c r="C72" i="1" s="1"/>
  <c r="D70" i="1"/>
  <c r="B70" i="1"/>
  <c r="K47" i="2"/>
  <c r="K46" i="2"/>
  <c r="K45" i="2"/>
  <c r="K44" i="2"/>
  <c r="K43" i="2"/>
  <c r="K42" i="2"/>
  <c r="AE34" i="2"/>
  <c r="AE33" i="2"/>
  <c r="AE32" i="2"/>
  <c r="AE46" i="2"/>
  <c r="X10" i="2"/>
  <c r="AK34" i="2"/>
  <c r="AJ34" i="2"/>
  <c r="AI34" i="2"/>
  <c r="AK33" i="2"/>
  <c r="AJ33" i="2"/>
  <c r="AI33" i="2"/>
  <c r="AK32" i="2"/>
  <c r="AJ32" i="2"/>
  <c r="AI32" i="2"/>
  <c r="AK31" i="2"/>
  <c r="AJ31" i="2"/>
  <c r="AI31" i="2"/>
  <c r="AK30" i="2"/>
  <c r="AJ30" i="2"/>
  <c r="AI30" i="2"/>
  <c r="AK29" i="2"/>
  <c r="AJ29" i="2"/>
  <c r="AI29" i="2"/>
  <c r="AK28" i="2"/>
  <c r="AJ28" i="2"/>
  <c r="AI28" i="2"/>
  <c r="AK27" i="2"/>
  <c r="AJ27" i="2"/>
  <c r="AI27" i="2"/>
  <c r="AK26" i="2"/>
  <c r="AJ26" i="2"/>
  <c r="AI26" i="2"/>
  <c r="AK25" i="2"/>
  <c r="AJ25" i="2"/>
  <c r="AI25" i="2"/>
  <c r="AK24" i="2"/>
  <c r="AJ24" i="2"/>
  <c r="AI24" i="2"/>
  <c r="AK23" i="2"/>
  <c r="AJ23" i="2"/>
  <c r="AI23" i="2"/>
  <c r="AK22" i="2"/>
  <c r="AJ22" i="2"/>
  <c r="AI22" i="2"/>
  <c r="AK21" i="2"/>
  <c r="AJ21" i="2"/>
  <c r="AI21" i="2"/>
  <c r="AK20" i="2"/>
  <c r="AJ20" i="2"/>
  <c r="AI20" i="2"/>
  <c r="AK19" i="2"/>
  <c r="AJ19" i="2"/>
  <c r="AI19" i="2"/>
  <c r="Q40" i="2"/>
  <c r="Q38" i="2" s="1"/>
  <c r="BT20" i="2" s="1"/>
  <c r="CD16" i="2" s="1"/>
  <c r="Q44" i="2"/>
  <c r="Q43" i="2"/>
  <c r="Q42" i="2"/>
  <c r="Q46" i="2"/>
  <c r="Q45" i="2"/>
  <c r="AK37" i="2"/>
  <c r="AW20" i="2" s="1"/>
  <c r="AJ37" i="2"/>
  <c r="AU20" i="2" s="1"/>
  <c r="AI37" i="2"/>
  <c r="CQ30" i="2" s="1"/>
  <c r="CJ42" i="2"/>
  <c r="CI42" i="2"/>
  <c r="CM7" i="2"/>
  <c r="CC7" i="2"/>
  <c r="CA36" i="2"/>
  <c r="CA34" i="2"/>
  <c r="CA33" i="2"/>
  <c r="CA32" i="2"/>
  <c r="CA31" i="2"/>
  <c r="CA30" i="2"/>
  <c r="CM6" i="2"/>
  <c r="CC6" i="2"/>
  <c r="BR7" i="2"/>
  <c r="BR6" i="2"/>
  <c r="BH39" i="2"/>
  <c r="BH37" i="2"/>
  <c r="BG7" i="2"/>
  <c r="BG6" i="2"/>
  <c r="N72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4" i="1"/>
  <c r="C44" i="1" s="1"/>
  <c r="A44" i="1"/>
  <c r="B42" i="1"/>
  <c r="C42" i="1" s="1"/>
  <c r="A42" i="1"/>
  <c r="B40" i="1"/>
  <c r="C40" i="1" s="1"/>
  <c r="A40" i="1"/>
  <c r="Q14" i="2"/>
  <c r="K14" i="2"/>
  <c r="T34" i="2" s="1"/>
  <c r="Z20" i="2"/>
  <c r="AA21" i="2" s="1"/>
  <c r="Y20" i="2"/>
  <c r="X20" i="2"/>
  <c r="Z16" i="2"/>
  <c r="AA17" i="2" s="1"/>
  <c r="Y16" i="2"/>
  <c r="X16" i="2"/>
  <c r="V7" i="2"/>
  <c r="V6" i="2"/>
  <c r="O44" i="2"/>
  <c r="O43" i="2"/>
  <c r="O42" i="2"/>
  <c r="N44" i="2"/>
  <c r="N43" i="2"/>
  <c r="N42" i="2"/>
  <c r="AR7" i="2"/>
  <c r="AR6" i="2"/>
  <c r="CQ21" i="2"/>
  <c r="CP21" i="2"/>
  <c r="CO21" i="2"/>
  <c r="CN21" i="2"/>
  <c r="CM21" i="2"/>
  <c r="CL21" i="2"/>
  <c r="CK21" i="2"/>
  <c r="CH21" i="2"/>
  <c r="CG21" i="2"/>
  <c r="CF21" i="2"/>
  <c r="CE21" i="2"/>
  <c r="CD21" i="2"/>
  <c r="AH41" i="2"/>
  <c r="AK40" i="2"/>
  <c r="AJ40" i="2"/>
  <c r="AI40" i="2"/>
  <c r="CQ33" i="2" s="1"/>
  <c r="AK38" i="2"/>
  <c r="AJ38" i="2"/>
  <c r="AI38" i="2"/>
  <c r="CP31" i="2" s="1"/>
  <c r="D114" i="1"/>
  <c r="CQ20" i="2" s="1"/>
  <c r="D113" i="1"/>
  <c r="CP20" i="2" s="1"/>
  <c r="CP28" i="2" s="1"/>
  <c r="D112" i="1"/>
  <c r="CO20" i="2" s="1"/>
  <c r="D111" i="1"/>
  <c r="CN20" i="2" s="1"/>
  <c r="CN28" i="2" s="1"/>
  <c r="D110" i="1"/>
  <c r="CM20" i="2" s="1"/>
  <c r="D109" i="1"/>
  <c r="CL20" i="2" s="1"/>
  <c r="D108" i="1"/>
  <c r="CK20" i="2" s="1"/>
  <c r="D107" i="1"/>
  <c r="CH20" i="2" s="1"/>
  <c r="D106" i="1"/>
  <c r="CG20" i="2" s="1"/>
  <c r="D105" i="1"/>
  <c r="CF20" i="2" s="1"/>
  <c r="D104" i="1"/>
  <c r="CE20" i="2" s="1"/>
  <c r="D103" i="1"/>
  <c r="CD20" i="2" s="1"/>
  <c r="CD28" i="2" s="1"/>
  <c r="AK39" i="2"/>
  <c r="Y22" i="2"/>
  <c r="X22" i="2"/>
  <c r="L72" i="1"/>
  <c r="M72" i="1"/>
  <c r="Z22" i="2"/>
  <c r="H72" i="1"/>
  <c r="I72" i="1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G7" i="2"/>
  <c r="AG6" i="2"/>
  <c r="M7" i="2"/>
  <c r="M6" i="2"/>
  <c r="Q47" i="2"/>
  <c r="BT23" i="2" s="1"/>
  <c r="CD19" i="2" s="1"/>
  <c r="CR19" i="2" s="1"/>
  <c r="K40" i="2"/>
  <c r="K39" i="2"/>
  <c r="Q32" i="2"/>
  <c r="BS29" i="2" s="1"/>
  <c r="K32" i="2"/>
  <c r="Q31" i="2"/>
  <c r="Q29" i="2"/>
  <c r="Q28" i="2"/>
  <c r="Q27" i="2"/>
  <c r="Q26" i="2"/>
  <c r="Q25" i="2"/>
  <c r="Q23" i="2"/>
  <c r="Q22" i="2"/>
  <c r="Q21" i="2"/>
  <c r="Q20" i="2"/>
  <c r="Q19" i="2"/>
  <c r="Q18" i="2"/>
  <c r="Q17" i="2"/>
  <c r="Q16" i="2"/>
  <c r="Q15" i="2"/>
  <c r="K31" i="2"/>
  <c r="K29" i="2"/>
  <c r="T47" i="2" s="1"/>
  <c r="K28" i="2"/>
  <c r="T46" i="2" s="1"/>
  <c r="K27" i="2"/>
  <c r="T45" i="2" s="1"/>
  <c r="K26" i="2"/>
  <c r="T44" i="2" s="1"/>
  <c r="K25" i="2"/>
  <c r="T43" i="2" s="1"/>
  <c r="K23" i="2"/>
  <c r="T38" i="2" s="1"/>
  <c r="K22" i="2"/>
  <c r="T37" i="2" s="1"/>
  <c r="K21" i="2"/>
  <c r="K20" i="2"/>
  <c r="K19" i="2"/>
  <c r="K18" i="2"/>
  <c r="T36" i="2" s="1"/>
  <c r="K17" i="2"/>
  <c r="K16" i="2"/>
  <c r="T35" i="2" s="1"/>
  <c r="K15" i="2"/>
  <c r="C45" i="2"/>
  <c r="C44" i="2"/>
  <c r="C43" i="2"/>
  <c r="C34" i="2"/>
  <c r="X9" i="2" s="1"/>
  <c r="X11" i="2" s="1"/>
  <c r="C29" i="2"/>
  <c r="C24" i="2"/>
  <c r="C48" i="2"/>
  <c r="D97" i="1"/>
  <c r="C97" i="1"/>
  <c r="B97" i="1"/>
  <c r="B34" i="1"/>
  <c r="CF30" i="2"/>
  <c r="J41" i="1"/>
  <c r="K41" i="1" s="1"/>
  <c r="J43" i="1"/>
  <c r="K43" i="1" s="1"/>
  <c r="J45" i="1"/>
  <c r="J46" i="1"/>
  <c r="K46" i="1" s="1"/>
  <c r="K45" i="1"/>
  <c r="L45" i="1" s="1"/>
  <c r="M45" i="1" s="1"/>
  <c r="J47" i="1"/>
  <c r="K47" i="1" s="1"/>
  <c r="CP30" i="2" l="1"/>
  <c r="N70" i="1"/>
  <c r="O70" i="1"/>
  <c r="P70" i="1"/>
  <c r="L43" i="1"/>
  <c r="O71" i="1"/>
  <c r="P71" i="1"/>
  <c r="L71" i="1"/>
  <c r="N71" i="1"/>
  <c r="AW46" i="2" s="1"/>
  <c r="BV18" i="2" s="1"/>
  <c r="M71" i="1"/>
  <c r="CH30" i="2"/>
  <c r="AS20" i="2"/>
  <c r="CK30" i="2"/>
  <c r="L46" i="1"/>
  <c r="M46" i="1" s="1"/>
  <c r="CN30" i="2"/>
  <c r="CG30" i="2"/>
  <c r="CM33" i="2"/>
  <c r="CD30" i="2"/>
  <c r="CO30" i="2"/>
  <c r="CM30" i="2"/>
  <c r="CO38" i="2"/>
  <c r="I115" i="1"/>
  <c r="AI12" i="2" s="1"/>
  <c r="B143" i="1" s="1"/>
  <c r="CF33" i="2"/>
  <c r="BT22" i="2"/>
  <c r="CD18" i="2" s="1"/>
  <c r="CR18" i="2" s="1"/>
  <c r="D40" i="1"/>
  <c r="X34" i="2"/>
  <c r="CF38" i="2"/>
  <c r="CF28" i="2"/>
  <c r="X35" i="2"/>
  <c r="D42" i="1"/>
  <c r="Y35" i="2" s="1"/>
  <c r="E71" i="1"/>
  <c r="K71" i="1" s="1"/>
  <c r="CG33" i="2"/>
  <c r="CO33" i="2"/>
  <c r="Y17" i="2"/>
  <c r="Z21" i="2"/>
  <c r="M43" i="1"/>
  <c r="AI11" i="2"/>
  <c r="E72" i="1"/>
  <c r="CP33" i="2"/>
  <c r="CK33" i="2"/>
  <c r="CN38" i="2"/>
  <c r="L47" i="1"/>
  <c r="M47" i="1" s="1"/>
  <c r="CE30" i="2"/>
  <c r="CL30" i="2"/>
  <c r="CL31" i="2"/>
  <c r="CL33" i="2"/>
  <c r="CE33" i="2"/>
  <c r="CN33" i="2"/>
  <c r="CD26" i="2"/>
  <c r="CR26" i="2" s="1"/>
  <c r="BT16" i="2"/>
  <c r="CE31" i="2"/>
  <c r="CO22" i="2"/>
  <c r="CM22" i="2"/>
  <c r="CN22" i="2"/>
  <c r="AI18" i="2"/>
  <c r="CF29" i="2" s="1"/>
  <c r="AJ18" i="2"/>
  <c r="AU18" i="2" s="1"/>
  <c r="AK18" i="2"/>
  <c r="AW18" i="2" s="1"/>
  <c r="CH33" i="2"/>
  <c r="CD33" i="2"/>
  <c r="CF31" i="2"/>
  <c r="CN31" i="2"/>
  <c r="CM31" i="2"/>
  <c r="CO31" i="2"/>
  <c r="CG31" i="2"/>
  <c r="CQ31" i="2"/>
  <c r="CH31" i="2"/>
  <c r="CK31" i="2"/>
  <c r="CD31" i="2"/>
  <c r="Z17" i="2"/>
  <c r="Y21" i="2"/>
  <c r="I149" i="1"/>
  <c r="B149" i="1"/>
  <c r="AI41" i="2" s="1"/>
  <c r="CP34" i="2" s="1"/>
  <c r="CM38" i="2"/>
  <c r="X37" i="2"/>
  <c r="D48" i="1"/>
  <c r="Y37" i="2" s="1"/>
  <c r="X43" i="2"/>
  <c r="X45" i="2"/>
  <c r="X47" i="2"/>
  <c r="CK38" i="2"/>
  <c r="CK22" i="2"/>
  <c r="CK28" i="2"/>
  <c r="CG28" i="2"/>
  <c r="CR20" i="2"/>
  <c r="CG38" i="2"/>
  <c r="CG22" i="2"/>
  <c r="X38" i="2"/>
  <c r="X44" i="2"/>
  <c r="X46" i="2"/>
  <c r="D53" i="1"/>
  <c r="Y46" i="2" s="1"/>
  <c r="CF22" i="2"/>
  <c r="D54" i="1"/>
  <c r="Y47" i="2" s="1"/>
  <c r="D49" i="1"/>
  <c r="Y38" i="2" s="1"/>
  <c r="AI39" i="2"/>
  <c r="CD32" i="2" s="1"/>
  <c r="CH38" i="2"/>
  <c r="CL38" i="2"/>
  <c r="D51" i="1"/>
  <c r="Y44" i="2" s="1"/>
  <c r="L41" i="1"/>
  <c r="M41" i="1" s="1"/>
  <c r="D52" i="1"/>
  <c r="Y45" i="2" s="1"/>
  <c r="D50" i="1"/>
  <c r="Y43" i="2" s="1"/>
  <c r="Q24" i="2"/>
  <c r="CD24" i="2" s="1"/>
  <c r="CR24" i="2" s="1"/>
  <c r="CE38" i="2"/>
  <c r="CP38" i="2"/>
  <c r="CQ38" i="2"/>
  <c r="CD22" i="2"/>
  <c r="E53" i="1"/>
  <c r="Z46" i="2" s="1"/>
  <c r="CM28" i="2"/>
  <c r="CO28" i="2"/>
  <c r="Q12" i="2"/>
  <c r="CQ22" i="2"/>
  <c r="CE28" i="2"/>
  <c r="CH22" i="2"/>
  <c r="CL22" i="2"/>
  <c r="CP22" i="2"/>
  <c r="CQ28" i="2"/>
  <c r="CR21" i="2"/>
  <c r="CE22" i="2"/>
  <c r="CH28" i="2"/>
  <c r="CL28" i="2"/>
  <c r="Q41" i="2"/>
  <c r="Q49" i="2" s="1"/>
  <c r="D44" i="1"/>
  <c r="E44" i="1" s="1"/>
  <c r="X36" i="2"/>
  <c r="L70" i="1"/>
  <c r="M70" i="1"/>
  <c r="E70" i="1"/>
  <c r="C67" i="1"/>
  <c r="C70" i="1"/>
  <c r="CR16" i="2"/>
  <c r="C39" i="1"/>
  <c r="I143" i="1" l="1"/>
  <c r="AI10" i="2"/>
  <c r="AS15" i="2" s="1"/>
  <c r="AT20" i="2" s="1"/>
  <c r="H70" i="1"/>
  <c r="K70" i="1"/>
  <c r="AM43" i="2" s="1"/>
  <c r="BA25" i="2" s="1"/>
  <c r="I70" i="1"/>
  <c r="J70" i="1"/>
  <c r="E54" i="1"/>
  <c r="Z47" i="2" s="1"/>
  <c r="N73" i="1"/>
  <c r="P73" i="1"/>
  <c r="BA46" i="2"/>
  <c r="BX18" i="2" s="1"/>
  <c r="AY46" i="2"/>
  <c r="O73" i="1"/>
  <c r="J71" i="1"/>
  <c r="BT21" i="2"/>
  <c r="CD17" i="2" s="1"/>
  <c r="CR17" i="2" s="1"/>
  <c r="AJ12" i="2"/>
  <c r="AK12" i="2" s="1"/>
  <c r="AL12" i="2" s="1"/>
  <c r="B142" i="1"/>
  <c r="CR30" i="2"/>
  <c r="F71" i="1"/>
  <c r="I71" i="1"/>
  <c r="H71" i="1"/>
  <c r="AS46" i="2"/>
  <c r="BT18" i="2" s="1"/>
  <c r="AU46" i="2"/>
  <c r="BU18" i="2" s="1"/>
  <c r="F53" i="1"/>
  <c r="Y34" i="2"/>
  <c r="E40" i="1"/>
  <c r="Z34" i="2" s="1"/>
  <c r="CD29" i="2"/>
  <c r="CR31" i="2"/>
  <c r="CM29" i="2"/>
  <c r="CR33" i="2"/>
  <c r="CK29" i="2"/>
  <c r="E42" i="1"/>
  <c r="F42" i="1" s="1"/>
  <c r="AA35" i="2" s="1"/>
  <c r="G71" i="1"/>
  <c r="CP29" i="2"/>
  <c r="I142" i="1"/>
  <c r="G72" i="1"/>
  <c r="F72" i="1"/>
  <c r="CQ29" i="2"/>
  <c r="AS18" i="2"/>
  <c r="CG29" i="2"/>
  <c r="CH29" i="2"/>
  <c r="CL29" i="2"/>
  <c r="CE29" i="2"/>
  <c r="AJ11" i="2"/>
  <c r="AJ15" i="2" s="1"/>
  <c r="M73" i="1"/>
  <c r="AI15" i="2"/>
  <c r="AI14" i="2" s="1"/>
  <c r="CO29" i="2"/>
  <c r="CN29" i="2"/>
  <c r="BT15" i="2"/>
  <c r="Y41" i="2"/>
  <c r="X41" i="2"/>
  <c r="CH34" i="2"/>
  <c r="CD34" i="2"/>
  <c r="CD35" i="2" s="1"/>
  <c r="CL34" i="2"/>
  <c r="CK34" i="2"/>
  <c r="CO34" i="2"/>
  <c r="CE34" i="2"/>
  <c r="CM34" i="2"/>
  <c r="CF34" i="2"/>
  <c r="CQ34" i="2"/>
  <c r="CN34" i="2"/>
  <c r="CG34" i="2"/>
  <c r="J149" i="1"/>
  <c r="C149" i="1"/>
  <c r="AJ41" i="2" s="1"/>
  <c r="CF32" i="2"/>
  <c r="CE32" i="2"/>
  <c r="Q33" i="2"/>
  <c r="CD23" i="2"/>
  <c r="CD25" i="2" s="1"/>
  <c r="Y36" i="2"/>
  <c r="G70" i="1"/>
  <c r="F70" i="1"/>
  <c r="CP32" i="2"/>
  <c r="CP35" i="2" s="1"/>
  <c r="CH32" i="2"/>
  <c r="CG32" i="2"/>
  <c r="CO32" i="2"/>
  <c r="X32" i="2"/>
  <c r="CQ32" i="2"/>
  <c r="CN32" i="2"/>
  <c r="E50" i="1"/>
  <c r="Z43" i="2" s="1"/>
  <c r="L73" i="1"/>
  <c r="CE27" i="2" s="1"/>
  <c r="CR22" i="2"/>
  <c r="CR28" i="2"/>
  <c r="CM32" i="2"/>
  <c r="CK32" i="2"/>
  <c r="AS21" i="2"/>
  <c r="CL32" i="2"/>
  <c r="E51" i="1"/>
  <c r="F54" i="1"/>
  <c r="AA47" i="2" s="1"/>
  <c r="E49" i="1"/>
  <c r="E52" i="1"/>
  <c r="E48" i="1"/>
  <c r="D39" i="1"/>
  <c r="E39" i="1" s="1"/>
  <c r="AK44" i="2" s="1"/>
  <c r="AI44" i="2"/>
  <c r="Z36" i="2"/>
  <c r="F44" i="1"/>
  <c r="C143" i="1" l="1"/>
  <c r="AT21" i="2"/>
  <c r="BI37" i="2"/>
  <c r="AI17" i="2"/>
  <c r="AI36" i="2" s="1"/>
  <c r="AI42" i="2" s="1"/>
  <c r="AS14" i="2"/>
  <c r="AT18" i="2"/>
  <c r="J143" i="1"/>
  <c r="Y32" i="2"/>
  <c r="Y49" i="2" s="1"/>
  <c r="CD38" i="2"/>
  <c r="CR38" i="2" s="1"/>
  <c r="E143" i="1"/>
  <c r="AM12" i="2"/>
  <c r="L143" i="1"/>
  <c r="AK43" i="2"/>
  <c r="AW25" i="2" s="1"/>
  <c r="AW26" i="2" s="1"/>
  <c r="BA26" i="2"/>
  <c r="AL43" i="2"/>
  <c r="AY25" i="2" s="1"/>
  <c r="AY26" i="2" s="1"/>
  <c r="BW18" i="2"/>
  <c r="I73" i="1"/>
  <c r="AJ43" i="2"/>
  <c r="AU25" i="2" s="1"/>
  <c r="AI43" i="2"/>
  <c r="CE36" i="2" s="1"/>
  <c r="G42" i="1"/>
  <c r="H42" i="1" s="1"/>
  <c r="I42" i="1" s="1"/>
  <c r="J42" i="1" s="1"/>
  <c r="G44" i="1"/>
  <c r="AB36" i="2" s="1"/>
  <c r="AA36" i="2"/>
  <c r="G53" i="1"/>
  <c r="AA46" i="2"/>
  <c r="F40" i="1"/>
  <c r="AA34" i="2" s="1"/>
  <c r="AK11" i="2"/>
  <c r="CR23" i="2"/>
  <c r="AJ10" i="2"/>
  <c r="BJ11" i="2" s="1"/>
  <c r="BJ37" i="2" s="1"/>
  <c r="C142" i="1"/>
  <c r="J142" i="1"/>
  <c r="Z35" i="2"/>
  <c r="X49" i="2"/>
  <c r="CR29" i="2"/>
  <c r="AU16" i="2"/>
  <c r="BJ12" i="2" s="1"/>
  <c r="AJ14" i="2"/>
  <c r="AS16" i="2"/>
  <c r="AS17" i="2" s="1"/>
  <c r="AT17" i="2" s="1"/>
  <c r="D143" i="1"/>
  <c r="K143" i="1"/>
  <c r="CE35" i="2"/>
  <c r="CG35" i="2"/>
  <c r="CM35" i="2"/>
  <c r="CN35" i="2"/>
  <c r="CK35" i="2"/>
  <c r="CR34" i="2"/>
  <c r="CO35" i="2"/>
  <c r="CH35" i="2"/>
  <c r="CL35" i="2"/>
  <c r="CF35" i="2"/>
  <c r="CQ35" i="2"/>
  <c r="D149" i="1"/>
  <c r="AK41" i="2" s="1"/>
  <c r="AU21" i="2"/>
  <c r="CR32" i="2"/>
  <c r="CL27" i="2"/>
  <c r="CP27" i="2"/>
  <c r="CQ27" i="2"/>
  <c r="CD27" i="2"/>
  <c r="CK27" i="2"/>
  <c r="CH27" i="2"/>
  <c r="CO27" i="2"/>
  <c r="CN27" i="2"/>
  <c r="CM27" i="2"/>
  <c r="Z45" i="2"/>
  <c r="CG27" i="2"/>
  <c r="CF27" i="2"/>
  <c r="Z37" i="2"/>
  <c r="F48" i="1"/>
  <c r="AA37" i="2" s="1"/>
  <c r="Z44" i="2"/>
  <c r="F51" i="1"/>
  <c r="AA44" i="2" s="1"/>
  <c r="F52" i="1"/>
  <c r="AA45" i="2" s="1"/>
  <c r="Z38" i="2"/>
  <c r="F49" i="1"/>
  <c r="AA38" i="2" s="1"/>
  <c r="G54" i="1"/>
  <c r="AB47" i="2" s="1"/>
  <c r="F50" i="1"/>
  <c r="AA43" i="2" s="1"/>
  <c r="CR25" i="2"/>
  <c r="AS23" i="2"/>
  <c r="AW23" i="2"/>
  <c r="AJ44" i="2"/>
  <c r="F39" i="1"/>
  <c r="AL44" i="2" s="1"/>
  <c r="F143" i="1" l="1"/>
  <c r="M143" i="1"/>
  <c r="AK10" i="2"/>
  <c r="BK11" i="2" s="1"/>
  <c r="BK37" i="2" s="1"/>
  <c r="AL11" i="2"/>
  <c r="H44" i="1"/>
  <c r="I44" i="1" s="1"/>
  <c r="J44" i="1" s="1"/>
  <c r="AB35" i="2"/>
  <c r="AY23" i="2"/>
  <c r="CF36" i="2"/>
  <c r="CF37" i="2" s="1"/>
  <c r="CF40" i="2" s="1"/>
  <c r="AI53" i="2"/>
  <c r="B144" i="1" s="1"/>
  <c r="AU26" i="2"/>
  <c r="D142" i="1"/>
  <c r="CM36" i="2"/>
  <c r="CM37" i="2" s="1"/>
  <c r="CM40" i="2" s="1"/>
  <c r="K142" i="1"/>
  <c r="CQ36" i="2"/>
  <c r="CQ37" i="2" s="1"/>
  <c r="CQ40" i="2" s="1"/>
  <c r="CK36" i="2"/>
  <c r="CK37" i="2" s="1"/>
  <c r="CK40" i="2" s="1"/>
  <c r="CN36" i="2"/>
  <c r="CN37" i="2" s="1"/>
  <c r="CN40" i="2" s="1"/>
  <c r="CO36" i="2"/>
  <c r="CO37" i="2" s="1"/>
  <c r="CO40" i="2" s="1"/>
  <c r="CD36" i="2"/>
  <c r="CD37" i="2" s="1"/>
  <c r="CD40" i="2" s="1"/>
  <c r="CD41" i="2" s="1"/>
  <c r="AI45" i="2"/>
  <c r="AI46" i="2" s="1"/>
  <c r="AI48" i="2" s="1"/>
  <c r="CP36" i="2"/>
  <c r="CP37" i="2" s="1"/>
  <c r="CP40" i="2" s="1"/>
  <c r="CG36" i="2"/>
  <c r="CG37" i="2" s="1"/>
  <c r="CG40" i="2" s="1"/>
  <c r="AS25" i="2"/>
  <c r="AT25" i="2" s="1"/>
  <c r="CH36" i="2"/>
  <c r="CH37" i="2" s="1"/>
  <c r="CH40" i="2" s="1"/>
  <c r="CL36" i="2"/>
  <c r="CL37" i="2" s="1"/>
  <c r="CL40" i="2" s="1"/>
  <c r="CE37" i="2"/>
  <c r="CE40" i="2" s="1"/>
  <c r="AA32" i="2"/>
  <c r="AA41" i="2"/>
  <c r="AB46" i="2"/>
  <c r="H53" i="1"/>
  <c r="I53" i="1" s="1"/>
  <c r="G39" i="1"/>
  <c r="H39" i="1" s="1"/>
  <c r="G40" i="1"/>
  <c r="AU15" i="2"/>
  <c r="AV25" i="2" s="1"/>
  <c r="AJ17" i="2"/>
  <c r="AJ36" i="2" s="1"/>
  <c r="AJ42" i="2" s="1"/>
  <c r="AJ45" i="2" s="1"/>
  <c r="AJ46" i="2" s="1"/>
  <c r="AU14" i="2"/>
  <c r="AT16" i="2"/>
  <c r="AK15" i="2"/>
  <c r="AS19" i="2"/>
  <c r="AT19" i="2" s="1"/>
  <c r="BI12" i="2"/>
  <c r="BI14" i="2" s="1"/>
  <c r="BI15" i="2" s="1"/>
  <c r="BI16" i="2" s="1"/>
  <c r="BI20" i="2" s="1"/>
  <c r="Z32" i="2"/>
  <c r="Z41" i="2"/>
  <c r="CR35" i="2"/>
  <c r="AW21" i="2"/>
  <c r="CR27" i="2"/>
  <c r="G48" i="1"/>
  <c r="AB37" i="2" s="1"/>
  <c r="G50" i="1"/>
  <c r="AB43" i="2" s="1"/>
  <c r="G49" i="1"/>
  <c r="AB38" i="2" s="1"/>
  <c r="H54" i="1"/>
  <c r="I54" i="1" s="1"/>
  <c r="G51" i="1"/>
  <c r="AB44" i="2" s="1"/>
  <c r="G52" i="1"/>
  <c r="AB45" i="2" s="1"/>
  <c r="K42" i="1"/>
  <c r="L42" i="1" s="1"/>
  <c r="BJ39" i="2"/>
  <c r="BJ40" i="2" s="1"/>
  <c r="BJ14" i="2"/>
  <c r="BJ16" i="2" s="1"/>
  <c r="AW44" i="2"/>
  <c r="AS44" i="2"/>
  <c r="AT23" i="2"/>
  <c r="AU23" i="2"/>
  <c r="AV16" i="2" l="1"/>
  <c r="AU17" i="2"/>
  <c r="AU19" i="2" s="1"/>
  <c r="AV19" i="2" s="1"/>
  <c r="AV23" i="2"/>
  <c r="AW14" i="2"/>
  <c r="AW15" i="2"/>
  <c r="AX26" i="2" s="1"/>
  <c r="L142" i="1"/>
  <c r="AM11" i="2"/>
  <c r="E142" i="1"/>
  <c r="AV26" i="2"/>
  <c r="AV20" i="2"/>
  <c r="AV18" i="2"/>
  <c r="AV21" i="2"/>
  <c r="K44" i="1"/>
  <c r="L44" i="1" s="1"/>
  <c r="BL17" i="2"/>
  <c r="BK17" i="2"/>
  <c r="AM44" i="2"/>
  <c r="AJ53" i="2"/>
  <c r="BI19" i="2"/>
  <c r="AS22" i="2"/>
  <c r="AT22" i="2" s="1"/>
  <c r="CR36" i="2"/>
  <c r="AS26" i="2"/>
  <c r="AT26" i="2" s="1"/>
  <c r="J53" i="1"/>
  <c r="K53" i="1" s="1"/>
  <c r="AB41" i="2"/>
  <c r="H52" i="1"/>
  <c r="I52" i="1" s="1"/>
  <c r="J52" i="1" s="1"/>
  <c r="K52" i="1" s="1"/>
  <c r="L52" i="1" s="1"/>
  <c r="J54" i="1"/>
  <c r="K54" i="1" s="1"/>
  <c r="AA49" i="2"/>
  <c r="AB34" i="2"/>
  <c r="AB32" i="2" s="1"/>
  <c r="H40" i="1"/>
  <c r="BI39" i="2"/>
  <c r="BI40" i="2" s="1"/>
  <c r="BT17" i="2" s="1"/>
  <c r="BT19" i="2" s="1"/>
  <c r="AK14" i="2"/>
  <c r="AK17" i="2" s="1"/>
  <c r="AK36" i="2" s="1"/>
  <c r="AK53" i="2" s="1"/>
  <c r="AW16" i="2"/>
  <c r="BK12" i="2" s="1"/>
  <c r="BK39" i="2" s="1"/>
  <c r="BK40" i="2" s="1"/>
  <c r="AL15" i="2"/>
  <c r="AL10" i="2"/>
  <c r="Z49" i="2"/>
  <c r="M42" i="1"/>
  <c r="CR37" i="2"/>
  <c r="H48" i="1"/>
  <c r="H50" i="1"/>
  <c r="H51" i="1"/>
  <c r="I51" i="1" s="1"/>
  <c r="H49" i="1"/>
  <c r="M44" i="1"/>
  <c r="I39" i="1"/>
  <c r="J39" i="1" s="1"/>
  <c r="K39" i="1" s="1"/>
  <c r="CD42" i="2"/>
  <c r="CE39" i="2"/>
  <c r="CE41" i="2" s="1"/>
  <c r="AU44" i="2"/>
  <c r="BJ17" i="2"/>
  <c r="AJ48" i="2"/>
  <c r="BJ19" i="2"/>
  <c r="AV17" i="2" l="1"/>
  <c r="AX20" i="2"/>
  <c r="L53" i="1"/>
  <c r="M53" i="1" s="1"/>
  <c r="AB49" i="2"/>
  <c r="AX21" i="2"/>
  <c r="AX25" i="2"/>
  <c r="AX23" i="2"/>
  <c r="AX18" i="2"/>
  <c r="AL14" i="2"/>
  <c r="AL17" i="2" s="1"/>
  <c r="AL36" i="2" s="1"/>
  <c r="AY16" i="2"/>
  <c r="BL12" i="2" s="1"/>
  <c r="BL11" i="2"/>
  <c r="BL37" i="2" s="1"/>
  <c r="AY14" i="2"/>
  <c r="AY15" i="2"/>
  <c r="M142" i="1"/>
  <c r="F142" i="1"/>
  <c r="BA23" i="2"/>
  <c r="K144" i="1"/>
  <c r="D144" i="1"/>
  <c r="J144" i="1"/>
  <c r="C144" i="1"/>
  <c r="AS24" i="2"/>
  <c r="AS27" i="2" s="1"/>
  <c r="AT27" i="2" s="1"/>
  <c r="BI18" i="2"/>
  <c r="L54" i="1"/>
  <c r="M54" i="1" s="1"/>
  <c r="I40" i="1"/>
  <c r="J40" i="1" s="1"/>
  <c r="K40" i="1" s="1"/>
  <c r="L40" i="1" s="1"/>
  <c r="BV17" i="2"/>
  <c r="BV19" i="2" s="1"/>
  <c r="BU17" i="2"/>
  <c r="BU19" i="2" s="1"/>
  <c r="AW17" i="2"/>
  <c r="AX17" i="2" s="1"/>
  <c r="BK18" i="2"/>
  <c r="BK14" i="2"/>
  <c r="BK16" i="2" s="1"/>
  <c r="BK20" i="2" s="1"/>
  <c r="BK22" i="2" s="1"/>
  <c r="AK42" i="2"/>
  <c r="AK45" i="2" s="1"/>
  <c r="AK46" i="2" s="1"/>
  <c r="AK48" i="2" s="1"/>
  <c r="AX16" i="2"/>
  <c r="AM15" i="2"/>
  <c r="BA16" i="2" s="1"/>
  <c r="AM10" i="2"/>
  <c r="I49" i="1"/>
  <c r="J49" i="1" s="1"/>
  <c r="M52" i="1"/>
  <c r="J51" i="1"/>
  <c r="K51" i="1" s="1"/>
  <c r="I48" i="1"/>
  <c r="AU22" i="2"/>
  <c r="AV22" i="2" s="1"/>
  <c r="I50" i="1"/>
  <c r="J50" i="1" s="1"/>
  <c r="K50" i="1" s="1"/>
  <c r="L50" i="1" s="1"/>
  <c r="M50" i="1" s="1"/>
  <c r="BJ20" i="2"/>
  <c r="BJ18" i="2"/>
  <c r="L39" i="1"/>
  <c r="M39" i="1" s="1"/>
  <c r="BI21" i="2"/>
  <c r="D153" i="1" s="1"/>
  <c r="E153" i="1" s="1"/>
  <c r="BI22" i="2"/>
  <c r="CF39" i="2"/>
  <c r="CF41" i="2" s="1"/>
  <c r="CE42" i="2"/>
  <c r="BM12" i="2" l="1"/>
  <c r="BB16" i="2"/>
  <c r="BM11" i="2"/>
  <c r="BM37" i="2" s="1"/>
  <c r="BA14" i="2"/>
  <c r="BA15" i="2"/>
  <c r="BB23" i="2" s="1"/>
  <c r="AZ20" i="2"/>
  <c r="AZ21" i="2"/>
  <c r="AZ18" i="2"/>
  <c r="AZ26" i="2"/>
  <c r="AZ25" i="2"/>
  <c r="AZ23" i="2"/>
  <c r="AL42" i="2"/>
  <c r="AL45" i="2" s="1"/>
  <c r="AL46" i="2" s="1"/>
  <c r="AL48" i="2" s="1"/>
  <c r="AL53" i="2"/>
  <c r="BA44" i="2"/>
  <c r="BM17" i="2"/>
  <c r="AY44" i="2"/>
  <c r="AS28" i="2"/>
  <c r="AT28" i="2" s="1"/>
  <c r="AT24" i="2"/>
  <c r="BL39" i="2"/>
  <c r="BL40" i="2" s="1"/>
  <c r="BW17" i="2" s="1"/>
  <c r="BW19" i="2" s="1"/>
  <c r="BL14" i="2"/>
  <c r="BL16" i="2" s="1"/>
  <c r="BL20" i="2" s="1"/>
  <c r="BL22" i="2" s="1"/>
  <c r="BL18" i="2"/>
  <c r="M40" i="1"/>
  <c r="BK21" i="2"/>
  <c r="BK19" i="2"/>
  <c r="AM14" i="2"/>
  <c r="AM17" i="2" s="1"/>
  <c r="AM36" i="2" s="1"/>
  <c r="AW19" i="2"/>
  <c r="AX19" i="2" s="1"/>
  <c r="K49" i="1"/>
  <c r="L49" i="1" s="1"/>
  <c r="M49" i="1" s="1"/>
  <c r="L51" i="1"/>
  <c r="M51" i="1" s="1"/>
  <c r="AU24" i="2"/>
  <c r="AV24" i="2" s="1"/>
  <c r="J48" i="1"/>
  <c r="K48" i="1" s="1"/>
  <c r="L48" i="1" s="1"/>
  <c r="M48" i="1" s="1"/>
  <c r="CG39" i="2"/>
  <c r="CG41" i="2" s="1"/>
  <c r="CF42" i="2"/>
  <c r="BJ22" i="2"/>
  <c r="BJ21" i="2"/>
  <c r="BA17" i="2" l="1"/>
  <c r="BB21" i="2"/>
  <c r="BB20" i="2"/>
  <c r="BB18" i="2"/>
  <c r="BB25" i="2"/>
  <c r="BB26" i="2"/>
  <c r="BL19" i="2"/>
  <c r="AM42" i="2"/>
  <c r="AM45" i="2" s="1"/>
  <c r="AM46" i="2" s="1"/>
  <c r="AM53" i="2"/>
  <c r="L144" i="1"/>
  <c r="E144" i="1"/>
  <c r="AS43" i="2"/>
  <c r="AS45" i="2" s="1"/>
  <c r="AS47" i="2" s="1"/>
  <c r="AS29" i="2"/>
  <c r="AT29" i="2" s="1"/>
  <c r="BL21" i="2"/>
  <c r="AY17" i="2"/>
  <c r="AZ17" i="2" s="1"/>
  <c r="AZ16" i="2"/>
  <c r="AW22" i="2"/>
  <c r="AX22" i="2" s="1"/>
  <c r="AU27" i="2"/>
  <c r="AV27" i="2" s="1"/>
  <c r="CG42" i="2"/>
  <c r="CH39" i="2"/>
  <c r="CH41" i="2" s="1"/>
  <c r="BB17" i="2" l="1"/>
  <c r="BA19" i="2"/>
  <c r="BM19" i="2"/>
  <c r="AM48" i="2"/>
  <c r="M144" i="1"/>
  <c r="F144" i="1"/>
  <c r="BT24" i="2"/>
  <c r="BT25" i="2" s="1"/>
  <c r="BT26" i="2" s="1"/>
  <c r="BT27" i="2" s="1"/>
  <c r="AY19" i="2"/>
  <c r="AZ19" i="2" s="1"/>
  <c r="BM39" i="2"/>
  <c r="BM40" i="2" s="1"/>
  <c r="BX17" i="2" s="1"/>
  <c r="BX19" i="2" s="1"/>
  <c r="BM14" i="2"/>
  <c r="BM16" i="2" s="1"/>
  <c r="BM20" i="2" s="1"/>
  <c r="BM18" i="2"/>
  <c r="AW24" i="2"/>
  <c r="AX24" i="2" s="1"/>
  <c r="AU28" i="2"/>
  <c r="AV28" i="2" s="1"/>
  <c r="CK39" i="2"/>
  <c r="CK41" i="2" s="1"/>
  <c r="CH42" i="2"/>
  <c r="AY22" i="2" l="1"/>
  <c r="AZ22" i="2" s="1"/>
  <c r="BB19" i="2"/>
  <c r="BA22" i="2"/>
  <c r="BM21" i="2"/>
  <c r="BM22" i="2"/>
  <c r="AW27" i="2"/>
  <c r="AX27" i="2" s="1"/>
  <c r="AU29" i="2"/>
  <c r="AV29" i="2" s="1"/>
  <c r="AU43" i="2"/>
  <c r="AU45" i="2" s="1"/>
  <c r="CK42" i="2"/>
  <c r="CL39" i="2"/>
  <c r="CL41" i="2" s="1"/>
  <c r="AY24" i="2" l="1"/>
  <c r="AZ24" i="2" s="1"/>
  <c r="BB22" i="2"/>
  <c r="BA24" i="2"/>
  <c r="AW28" i="2"/>
  <c r="AX28" i="2" s="1"/>
  <c r="BU24" i="2"/>
  <c r="BU25" i="2" s="1"/>
  <c r="BU26" i="2" s="1"/>
  <c r="BU27" i="2" s="1"/>
  <c r="AU47" i="2"/>
  <c r="CM39" i="2"/>
  <c r="CM41" i="2" s="1"/>
  <c r="CL42" i="2"/>
  <c r="AY27" i="2" l="1"/>
  <c r="AZ27" i="2" s="1"/>
  <c r="BA27" i="2"/>
  <c r="BB24" i="2"/>
  <c r="AW29" i="2"/>
  <c r="AX29" i="2" s="1"/>
  <c r="AW43" i="2"/>
  <c r="AW45" i="2" s="1"/>
  <c r="CM42" i="2"/>
  <c r="CN39" i="2"/>
  <c r="CN41" i="2" s="1"/>
  <c r="AY28" i="2" l="1"/>
  <c r="AZ28" i="2" s="1"/>
  <c r="BB27" i="2"/>
  <c r="BA28" i="2"/>
  <c r="BV24" i="2"/>
  <c r="BV25" i="2" s="1"/>
  <c r="BV26" i="2" s="1"/>
  <c r="BV27" i="2" s="1"/>
  <c r="AW47" i="2"/>
  <c r="CN42" i="2"/>
  <c r="CO39" i="2"/>
  <c r="CO41" i="2" s="1"/>
  <c r="AY29" i="2" l="1"/>
  <c r="AZ29" i="2" s="1"/>
  <c r="AY43" i="2"/>
  <c r="AY45" i="2" s="1"/>
  <c r="BW24" i="2" s="1"/>
  <c r="BW25" i="2" s="1"/>
  <c r="BW26" i="2" s="1"/>
  <c r="BW27" i="2" s="1"/>
  <c r="BA29" i="2"/>
  <c r="BB29" i="2" s="1"/>
  <c r="BB28" i="2"/>
  <c r="BA43" i="2"/>
  <c r="BA45" i="2" s="1"/>
  <c r="CO42" i="2"/>
  <c r="CP39" i="2"/>
  <c r="CP41" i="2" s="1"/>
  <c r="AY47" i="2" l="1"/>
  <c r="BA47" i="2"/>
  <c r="BX24" i="2"/>
  <c r="BX25" i="2" s="1"/>
  <c r="BX26" i="2" s="1"/>
  <c r="BX27" i="2" s="1"/>
  <c r="CP42" i="2"/>
  <c r="CQ39" i="2"/>
  <c r="CQ41" i="2" s="1"/>
  <c r="CQ42" i="2" l="1"/>
  <c r="CR42" i="2" s="1"/>
  <c r="D157" i="1" s="1"/>
  <c r="E157" i="1" s="1"/>
</calcChain>
</file>

<file path=xl/sharedStrings.xml><?xml version="1.0" encoding="utf-8"?>
<sst xmlns="http://schemas.openxmlformats.org/spreadsheetml/2006/main" count="462" uniqueCount="307">
  <si>
    <t>Votre statut juridique :</t>
  </si>
  <si>
    <t>Micro-entreprise</t>
  </si>
  <si>
    <t>Votre numéro de téléphone :</t>
  </si>
  <si>
    <t>Saisissez dans cet onglet toutes les données de votre projet</t>
  </si>
  <si>
    <t>Nom de votre projet ou description de votre activité</t>
  </si>
  <si>
    <t>Frais d’ouverture de compteurs</t>
  </si>
  <si>
    <t>Eau, électricité, gaz</t>
  </si>
  <si>
    <t>Frais de dépôt ou d’enregistrement</t>
  </si>
  <si>
    <t>Par exemple pour intégrer un réseau de franchise</t>
  </si>
  <si>
    <t>Achat fonds de commerce ou parts</t>
  </si>
  <si>
    <t>Dans le cas d'une reprise</t>
  </si>
  <si>
    <t>Droit au bail</t>
  </si>
  <si>
    <t>Pour la signature des contrats et baux commerciaux</t>
  </si>
  <si>
    <t>Pour l'aménagement du local</t>
  </si>
  <si>
    <t>Matériel, outillage, machines, véhicules…</t>
  </si>
  <si>
    <t>Matériel de bureau</t>
  </si>
  <si>
    <t>Fournitures, ordinateur, imprimante</t>
  </si>
  <si>
    <t>Stock de matières et produits</t>
  </si>
  <si>
    <t>Matières premières, produits finis ou semi-finis</t>
  </si>
  <si>
    <t>Enseigne et éléments de communication</t>
  </si>
  <si>
    <t>Cartes de visite, brochures, logo, site internet, éléments graphiques</t>
  </si>
  <si>
    <t>Assurances</t>
  </si>
  <si>
    <t>Téléphone, internet</t>
  </si>
  <si>
    <t>Frais de déplacement et hébergement</t>
  </si>
  <si>
    <t>Salaires employés</t>
  </si>
  <si>
    <t>Charges sociales employés</t>
  </si>
  <si>
    <t>Mutuelle</t>
  </si>
  <si>
    <t>Fournitures diverses</t>
  </si>
  <si>
    <t>Entretien matériel et vêtements</t>
  </si>
  <si>
    <t>Nettoyage des locaux</t>
  </si>
  <si>
    <t>Loyer et charges locatives</t>
  </si>
  <si>
    <t>Expert comptable, avocats</t>
  </si>
  <si>
    <t>Frais bancaires et terminal carte bleue</t>
  </si>
  <si>
    <t>Charges financières</t>
  </si>
  <si>
    <t xml:space="preserve">Frais d’établissement </t>
  </si>
  <si>
    <t>Dépôt marque, brevet, modèle</t>
  </si>
  <si>
    <t>Droits d’entrée</t>
  </si>
  <si>
    <t>Caution ou dépôt de garantie</t>
  </si>
  <si>
    <t>Frais de notaire ou d’avocat</t>
  </si>
  <si>
    <t>Travaux et aménagements</t>
  </si>
  <si>
    <t>Matériel</t>
  </si>
  <si>
    <t>Trésorerie de départ</t>
  </si>
  <si>
    <t>Année 1</t>
  </si>
  <si>
    <t>Année 2</t>
  </si>
  <si>
    <t>Année 3</t>
  </si>
  <si>
    <t>Autres abonnements</t>
  </si>
  <si>
    <t>Taxes, CFE</t>
  </si>
  <si>
    <t>Budget publicité et communication</t>
  </si>
  <si>
    <t>Autres charges (inscrire libellé ci-dessous) :</t>
  </si>
  <si>
    <t>TOTAL</t>
  </si>
  <si>
    <t>Frais de dossier</t>
  </si>
  <si>
    <t>Montant prêt n°1</t>
  </si>
  <si>
    <t>Montant prêt n°2</t>
  </si>
  <si>
    <t>Montant prêt n°3</t>
  </si>
  <si>
    <t>Nombre de jours travaillés</t>
  </si>
  <si>
    <t>Chiffre d'affaires moyen / jour</t>
  </si>
  <si>
    <r>
      <t>Prévoyez ici le chiffre d'affaires de votre activité (</t>
    </r>
    <r>
      <rPr>
        <i/>
        <u/>
        <sz val="11"/>
        <color rgb="FFFF0000"/>
        <rFont val="Calibri"/>
        <family val="2"/>
        <scheme val="minor"/>
      </rPr>
      <t>hors taxes</t>
    </r>
    <r>
      <rPr>
        <i/>
        <sz val="11"/>
        <color theme="1"/>
        <rFont val="Calibri"/>
        <family val="2"/>
        <scheme val="minor"/>
      </rPr>
      <t>).</t>
    </r>
  </si>
  <si>
    <t>Chiffre d'affaires mensuel</t>
  </si>
  <si>
    <t xml:space="preserve">  Pourcentage d'augmentation du chiffre d'affaire entre l'année 1 et l'année 2 :</t>
  </si>
  <si>
    <t xml:space="preserve">  Pourcentage d'augmentation du chiffre d'affaire entre l'année 2 et l'année 3 :</t>
  </si>
  <si>
    <t>Les charges variables sont liées au niveau d’activité ou à la production. Il s’agit des achats de marchandises destinées à être revendues, des achats de matières destinées à être transformées, des commissions versées à des agents commerciaux…</t>
  </si>
  <si>
    <t>1) Vos besoins de démarrage :</t>
  </si>
  <si>
    <t>2) Le financement de vos besoins de démarrage :</t>
  </si>
  <si>
    <t>3) Vos charges fixes :</t>
  </si>
  <si>
    <t>5) Vos charges variables :</t>
  </si>
  <si>
    <t>Renseignez les cases VERTES uniquement :</t>
  </si>
  <si>
    <t>D'après les éléments que vous avez indiqués, votre projet est :</t>
  </si>
  <si>
    <t>D'après les éléments que vous avez indiqués, votre trésorerie de départ est :</t>
  </si>
  <si>
    <t>6) Votre besoin en fonds de roulement :</t>
  </si>
  <si>
    <t>Votre adresse e-mail :</t>
  </si>
  <si>
    <t>Projet :</t>
  </si>
  <si>
    <t>Porteur de projet :</t>
  </si>
  <si>
    <t>Immobilisations corporelles</t>
  </si>
  <si>
    <t>Emprunt</t>
  </si>
  <si>
    <t>Achat immobilier</t>
  </si>
  <si>
    <t>Immobilisations incorporelles</t>
  </si>
  <si>
    <t>Montant € hors taxes</t>
  </si>
  <si>
    <t>TOTAL BESOINS</t>
  </si>
  <si>
    <t xml:space="preserve">Apport personnel </t>
  </si>
  <si>
    <t>Apports en nature (en valeur)</t>
  </si>
  <si>
    <t>TOTAL RESSOURCES</t>
  </si>
  <si>
    <t>Achats consommés</t>
  </si>
  <si>
    <t>Charges externes</t>
  </si>
  <si>
    <t>Impôts et taxes</t>
  </si>
  <si>
    <t>8) Contrôle de votre seuil de rentabilité :</t>
  </si>
  <si>
    <t>9) Contrôle du niveau de votre trésorerie de départ :</t>
  </si>
  <si>
    <t>7) Salaires employés et rémunération chef d'entreprise</t>
  </si>
  <si>
    <t>Charges sociales dirigeant(s)</t>
  </si>
  <si>
    <t>Prélèvement dirigeant(s)</t>
  </si>
  <si>
    <t>Dotations aux amortissements</t>
  </si>
  <si>
    <t>Impôt sur les sociétés</t>
  </si>
  <si>
    <t>Oui</t>
  </si>
  <si>
    <t>Non</t>
  </si>
  <si>
    <t>Employés</t>
  </si>
  <si>
    <t>Vente de marchandises ou de services ?</t>
  </si>
  <si>
    <t>Services</t>
  </si>
  <si>
    <t>Le(s) dirigeant(s) bénéficient-ils de l'ACCRE ?</t>
  </si>
  <si>
    <r>
      <t xml:space="preserve">Calcul des charges sociales </t>
    </r>
    <r>
      <rPr>
        <b/>
        <sz val="11"/>
        <color rgb="FFFF0000"/>
        <rFont val="Calibri"/>
        <family val="2"/>
        <scheme val="minor"/>
      </rPr>
      <t>sans ACCRE</t>
    </r>
  </si>
  <si>
    <t>Année 4</t>
  </si>
  <si>
    <t>Année 5</t>
  </si>
  <si>
    <t>Année 6</t>
  </si>
  <si>
    <t>Année 7</t>
  </si>
  <si>
    <t>Année 8</t>
  </si>
  <si>
    <t>Année 9</t>
  </si>
  <si>
    <t>Année 10</t>
  </si>
  <si>
    <t>Montant à amortir</t>
  </si>
  <si>
    <t>mensualité</t>
  </si>
  <si>
    <t>Analyse linéaire</t>
  </si>
  <si>
    <t>Intérêts sur toute la durée</t>
  </si>
  <si>
    <t>Marchandises (y compris hébergement et restauration)</t>
  </si>
  <si>
    <t>Impôt sur le revenu</t>
  </si>
  <si>
    <r>
      <t xml:space="preserve">Sélectionnez dans la liste déroulante </t>
    </r>
    <r>
      <rPr>
        <b/>
        <i/>
        <sz val="11"/>
        <color rgb="FFFF0000"/>
        <rFont val="Calibri"/>
        <family val="2"/>
        <scheme val="minor"/>
      </rPr>
      <t>(obligatoire)</t>
    </r>
  </si>
  <si>
    <t>CFE = cotisation foncière des entreprises</t>
  </si>
  <si>
    <t>Total charges dirigeant (somme.si)</t>
  </si>
  <si>
    <t>EURL (IS)</t>
  </si>
  <si>
    <t>Entreprise individuelle au réel (IR)</t>
  </si>
  <si>
    <t>SARL (IS)</t>
  </si>
  <si>
    <t>SAS (IS)</t>
  </si>
  <si>
    <t>SASU (IS)</t>
  </si>
  <si>
    <t>IR</t>
  </si>
  <si>
    <t>IS</t>
  </si>
  <si>
    <t>Chiffre à prendre en compte pour le calcul RSI EI</t>
  </si>
  <si>
    <t>Mixte</t>
  </si>
  <si>
    <t>Chiffre d'affaires HT vente de marchandises</t>
  </si>
  <si>
    <t>Chiffre d'affaires HT services</t>
  </si>
  <si>
    <t xml:space="preserve"> Produits d'exploitation</t>
  </si>
  <si>
    <t xml:space="preserve"> Charges d'exploitation</t>
  </si>
  <si>
    <t xml:space="preserve"> Marge brute</t>
  </si>
  <si>
    <t xml:space="preserve"> Charges externes</t>
  </si>
  <si>
    <t xml:space="preserve"> Valeur ajoutée</t>
  </si>
  <si>
    <t xml:space="preserve"> Excédent brut d'exploitation</t>
  </si>
  <si>
    <t xml:space="preserve"> Résultat avant impôts</t>
  </si>
  <si>
    <t>SERVICES</t>
  </si>
  <si>
    <t>Frais bancaires, charges financières</t>
  </si>
  <si>
    <t>Investissements et financements</t>
  </si>
  <si>
    <t xml:space="preserve"> INVESTISSEMENTS</t>
  </si>
  <si>
    <t xml:space="preserve"> FINANCEMENT DES INVESTISSEMENTS</t>
  </si>
  <si>
    <t>Prêt n°1 (nom de la banque)</t>
  </si>
  <si>
    <t>Prêt n°2 (nom de la banque)</t>
  </si>
  <si>
    <t>Prêt n°3 (nom de la banque)</t>
  </si>
  <si>
    <t>Subvention n°1 (libellé)</t>
  </si>
  <si>
    <t>Subvention n°2 (libellé)</t>
  </si>
  <si>
    <t>taux</t>
  </si>
  <si>
    <t>durée mois</t>
  </si>
  <si>
    <t>Salaires et charges sociales</t>
  </si>
  <si>
    <t>Statut juridique :</t>
  </si>
  <si>
    <t>% augmentation</t>
  </si>
  <si>
    <t>Salaires des employés</t>
  </si>
  <si>
    <t xml:space="preserve"> Charges sociales employés</t>
  </si>
  <si>
    <t>Rémunération du (des) dirigeants</t>
  </si>
  <si>
    <t xml:space="preserve"> Charges sociales du (des) dirigeant(s)</t>
  </si>
  <si>
    <t>Détail des amortissements</t>
  </si>
  <si>
    <t>Amortissements incorporels</t>
  </si>
  <si>
    <t>Amortissements corporels</t>
  </si>
  <si>
    <t>Total amortissements</t>
  </si>
  <si>
    <t>Soldes intermédiaires de gestion</t>
  </si>
  <si>
    <t>Chiffre d'affaires</t>
  </si>
  <si>
    <t>Ventes + production réelle</t>
  </si>
  <si>
    <t>Charges de personnel</t>
  </si>
  <si>
    <t xml:space="preserve"> Marge globale</t>
  </si>
  <si>
    <t xml:space="preserve"> Résultat d'exploitation</t>
  </si>
  <si>
    <t>Résultat financier</t>
  </si>
  <si>
    <t>Capacité d'autofinancement</t>
  </si>
  <si>
    <t xml:space="preserve"> Résultat courant</t>
  </si>
  <si>
    <t xml:space="preserve"> Résultat de l'exercice</t>
  </si>
  <si>
    <t>Autofinancement net</t>
  </si>
  <si>
    <t>%</t>
  </si>
  <si>
    <t>Intérêts année 1</t>
  </si>
  <si>
    <t>Intérêts année 2</t>
  </si>
  <si>
    <t>Intérêts année 3</t>
  </si>
  <si>
    <t>Principal année 1</t>
  </si>
  <si>
    <t>Principal année 2</t>
  </si>
  <si>
    <t>Principal année 3</t>
  </si>
  <si>
    <t>total à rembourser</t>
  </si>
  <si>
    <t>principal mensuel</t>
  </si>
  <si>
    <t>Intérêt / mois</t>
  </si>
  <si>
    <t>Seuil de rentabilité économique</t>
  </si>
  <si>
    <t>Total des coûts variables</t>
  </si>
  <si>
    <t>Marge sur coûts variables</t>
  </si>
  <si>
    <t>Coûts fixes</t>
  </si>
  <si>
    <t>Résultat courant avant impôts</t>
  </si>
  <si>
    <t>Excédent / insuffisance</t>
  </si>
  <si>
    <t>Point mort en chiffre d'affaires par jour ouvré</t>
  </si>
  <si>
    <t>Besoin en fonds de roulement</t>
  </si>
  <si>
    <t>Quel est, en % du prix de vente, le coût d'achat de vos marchandises ?</t>
  </si>
  <si>
    <t xml:space="preserve"> (concerne uniquement le chiffre d'affaires vente de marchandises)</t>
  </si>
  <si>
    <t xml:space="preserve"> Ressources</t>
  </si>
  <si>
    <t xml:space="preserve"> Besoins</t>
  </si>
  <si>
    <t>Volume dettes fournisseurs HT</t>
  </si>
  <si>
    <t>Volume crédit client HT</t>
  </si>
  <si>
    <t>délai jours</t>
  </si>
  <si>
    <t xml:space="preserve"> Besoin en fonds de roulement</t>
  </si>
  <si>
    <t>Analyse clients / fournisseurs :</t>
  </si>
  <si>
    <t xml:space="preserve"> Ventes + Production réelle</t>
  </si>
  <si>
    <t xml:space="preserve"> Taux de marge sur coûts variables</t>
  </si>
  <si>
    <t xml:space="preserve"> Total des charges</t>
  </si>
  <si>
    <t xml:space="preserve"> Seuil de rentabilité (chiffre d'affaires)</t>
  </si>
  <si>
    <t xml:space="preserve"> Total des besoins</t>
  </si>
  <si>
    <t>Variation du Besoin en fonds de roulement</t>
  </si>
  <si>
    <t>Remboursement d'emprunts</t>
  </si>
  <si>
    <t xml:space="preserve">   Immobilisations</t>
  </si>
  <si>
    <t>Apport personnel</t>
  </si>
  <si>
    <t>Emprunts</t>
  </si>
  <si>
    <t>Subventions</t>
  </si>
  <si>
    <t>Autres financements</t>
  </si>
  <si>
    <t>Capacité d'auto-financement</t>
  </si>
  <si>
    <t xml:space="preserve"> Total des ressources</t>
  </si>
  <si>
    <t>Variation de trésorerie</t>
  </si>
  <si>
    <t>Budget prévisionnel de trésorerie</t>
  </si>
  <si>
    <t>Mois 1</t>
  </si>
  <si>
    <t>Mois 2</t>
  </si>
  <si>
    <t>Mois 3</t>
  </si>
  <si>
    <t>Vente de marchandises</t>
  </si>
  <si>
    <t>Vente de services</t>
  </si>
  <si>
    <t>Chiffre d'affaires (total)</t>
  </si>
  <si>
    <t>Mois 4</t>
  </si>
  <si>
    <t>Budget prévisionnel de trésorerie (suite)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</si>
  <si>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</si>
  <si>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</si>
  <si>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</si>
  <si>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</si>
  <si>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</si>
  <si>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</si>
  <si>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</si>
  <si>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</si>
  <si>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Immobilisations (total)</t>
  </si>
  <si>
    <t>Échéances emprunt</t>
  </si>
  <si>
    <t>Achats de marchandises</t>
  </si>
  <si>
    <t>Total charges de personnel</t>
  </si>
  <si>
    <t>Total des décaissements</t>
  </si>
  <si>
    <t>Solde précédent</t>
  </si>
  <si>
    <t>Total des encaissements</t>
  </si>
  <si>
    <t>Ce sont les frais de création de l’entreprise (formalités)</t>
  </si>
  <si>
    <t>Logiciels, formations</t>
  </si>
  <si>
    <t>Pour la signature de contrats de prêt</t>
  </si>
  <si>
    <t>Acquisition d'immeuble</t>
  </si>
  <si>
    <r>
      <t xml:space="preserve">  (saisir des chiffres </t>
    </r>
    <r>
      <rPr>
        <i/>
        <u/>
        <sz val="10"/>
        <color theme="1"/>
        <rFont val="Calibri"/>
        <family val="2"/>
        <scheme val="minor"/>
      </rPr>
      <t>annuels</t>
    </r>
    <r>
      <rPr>
        <i/>
        <sz val="10"/>
        <color theme="1"/>
        <rFont val="Calibri"/>
        <family val="2"/>
        <scheme val="minor"/>
      </rPr>
      <t>)</t>
    </r>
  </si>
  <si>
    <r>
      <t xml:space="preserve">   sélectionnez dans la liste de choix </t>
    </r>
    <r>
      <rPr>
        <b/>
        <i/>
        <sz val="11"/>
        <color rgb="FFFF0000"/>
        <rFont val="Calibri"/>
        <family val="2"/>
        <scheme val="minor"/>
      </rPr>
      <t>(obligatoire)</t>
    </r>
  </si>
  <si>
    <t>Bénéfice de l'Accre :</t>
  </si>
  <si>
    <t>Solde du mois</t>
  </si>
  <si>
    <t>Solde de trésorerie (cumul)</t>
  </si>
  <si>
    <t>Première année</t>
  </si>
  <si>
    <t xml:space="preserve">  Durée d'amortissement des investissements :</t>
  </si>
  <si>
    <t>Compteurs d'eau, électricité, gaz…</t>
  </si>
  <si>
    <r>
      <t xml:space="preserve">Listez toutes les dépenses ou investissements que vous devrez faire </t>
    </r>
    <r>
      <rPr>
        <i/>
        <u/>
        <sz val="11"/>
        <color theme="1"/>
        <rFont val="Calibri"/>
        <family val="2"/>
        <scheme val="minor"/>
      </rPr>
      <t xml:space="preserve">avant même de démarrer l’activité, </t>
    </r>
    <r>
      <rPr>
        <i/>
        <u/>
        <sz val="11"/>
        <color rgb="FFFF0000"/>
        <rFont val="Calibri"/>
        <family val="2"/>
        <scheme val="minor"/>
      </rPr>
      <t>en hors taxes (ou TTC si vous n'êtes pas soumis à la TVA)</t>
    </r>
  </si>
  <si>
    <t>Montant année 1</t>
  </si>
  <si>
    <t>Montant année 2</t>
  </si>
  <si>
    <t>Montant année 3</t>
  </si>
  <si>
    <t>Montant</t>
  </si>
  <si>
    <t>Votre ville ou commune d'activité :</t>
  </si>
  <si>
    <r>
      <t xml:space="preserve"> (</t>
    </r>
    <r>
      <rPr>
        <b/>
        <i/>
        <u/>
        <sz val="11"/>
        <color rgb="FFFF0000"/>
        <rFont val="Calibri"/>
        <family val="2"/>
        <scheme val="minor"/>
      </rPr>
      <t>obligatoire</t>
    </r>
    <r>
      <rPr>
        <i/>
        <sz val="11"/>
        <color rgb="FFFF0000"/>
        <rFont val="Calibri"/>
        <family val="2"/>
        <scheme val="minor"/>
      </rPr>
      <t xml:space="preserve"> ;</t>
    </r>
    <r>
      <rPr>
        <i/>
        <sz val="11"/>
        <color theme="1"/>
        <rFont val="Calibri"/>
        <family val="2"/>
        <scheme val="minor"/>
      </rPr>
      <t xml:space="preserve"> durée de vie des acquisitions de départ, en années)</t>
    </r>
  </si>
  <si>
    <r>
      <t xml:space="preserve">Salaires employés </t>
    </r>
    <r>
      <rPr>
        <b/>
        <sz val="11"/>
        <color theme="1"/>
        <rFont val="Calibri"/>
        <family val="2"/>
        <scheme val="minor"/>
      </rPr>
      <t>(net)</t>
    </r>
  </si>
  <si>
    <r>
      <t xml:space="preserve">Rémunération </t>
    </r>
    <r>
      <rPr>
        <b/>
        <sz val="11"/>
        <color theme="1"/>
        <rFont val="Calibri"/>
        <family val="2"/>
        <scheme val="minor"/>
      </rPr>
      <t>nette</t>
    </r>
    <r>
      <rPr>
        <sz val="11"/>
        <color theme="1"/>
        <rFont val="Calibri"/>
        <family val="2"/>
        <scheme val="minor"/>
      </rPr>
      <t xml:space="preserve"> dirigeant(s)</t>
    </r>
  </si>
  <si>
    <t>1ère année</t>
  </si>
  <si>
    <t xml:space="preserve"> Résultat net comptable (résultat de l'exercice)</t>
  </si>
  <si>
    <r>
      <t xml:space="preserve">Durée moyenne des crédits accordés aux clients </t>
    </r>
    <r>
      <rPr>
        <b/>
        <sz val="11"/>
        <color theme="1"/>
        <rFont val="Calibri"/>
        <family val="2"/>
        <scheme val="minor"/>
      </rPr>
      <t>en jours</t>
    </r>
  </si>
  <si>
    <r>
      <t xml:space="preserve">Durée moyenne des dettes fournisseurs </t>
    </r>
    <r>
      <rPr>
        <b/>
        <sz val="11"/>
        <color theme="1"/>
        <rFont val="Calibri"/>
        <family val="2"/>
        <scheme val="minor"/>
      </rPr>
      <t>en jours</t>
    </r>
  </si>
  <si>
    <t xml:space="preserve"> (temps qu'un client met pour vous payer)</t>
  </si>
  <si>
    <t xml:space="preserve"> (temps que vous mettez pour payer un fournisseur)</t>
  </si>
  <si>
    <t>Le plan financier apparaitra dans l'onglet suivant</t>
  </si>
  <si>
    <t>Rappel trésorerie début année 1 :</t>
  </si>
  <si>
    <t>Apport personnel ou familial</t>
  </si>
  <si>
    <t>Somme d’argent gardée en prévision du démarrage de l’activité pour financer le cycle d'exploitation</t>
  </si>
  <si>
    <r>
      <t xml:space="preserve">Listez vos charges courantes récurrentes, </t>
    </r>
    <r>
      <rPr>
        <i/>
        <u/>
        <sz val="11"/>
        <color rgb="FFFF0000"/>
        <rFont val="Calibri"/>
        <family val="2"/>
        <scheme val="minor"/>
      </rPr>
      <t>en hors taxe (ou TTC si vous n'êtes pas soumis à la TVA).</t>
    </r>
  </si>
  <si>
    <t>Ce modèle de plan financier est proposé par WikiCréa (www.creerentreprise.fr)</t>
  </si>
  <si>
    <t>Acquisition stocks</t>
  </si>
  <si>
    <t>Excédent de trésorerie</t>
  </si>
  <si>
    <r>
      <t xml:space="preserve">10) Visualisez et imprimez votre plan financier : </t>
    </r>
    <r>
      <rPr>
        <b/>
        <u/>
        <sz val="20"/>
        <color rgb="FFFF0000"/>
        <rFont val="Calibri"/>
        <family val="2"/>
        <scheme val="minor"/>
      </rPr>
      <t>voir onglet suivant</t>
    </r>
  </si>
  <si>
    <t>Carburant, transports</t>
  </si>
  <si>
    <t>Prénom, nom :</t>
  </si>
  <si>
    <t>Intitulé de votre projet :</t>
  </si>
  <si>
    <t>Acquisition des stocks</t>
  </si>
  <si>
    <t>Etude financière 
prévisionnelle sur 5 ans</t>
  </si>
  <si>
    <t>Montant année 4</t>
  </si>
  <si>
    <t>Montant année 5</t>
  </si>
  <si>
    <t xml:space="preserve">  Pourcentage d'augmentation du chiffre d'affaire entre l'année 3 et l'année 4 :</t>
  </si>
  <si>
    <t xml:space="preserve">  Pourcentage d'augmentation du chiffre d'affaire entre l'année 4 et l'année 5 :</t>
  </si>
  <si>
    <t>% d'augmentation du CA, entre année 1 et année 2 :</t>
  </si>
  <si>
    <t>% d'augmentation du CA, entre année 2 et année 3 :</t>
  </si>
  <si>
    <t>% d'augmentation du CA, entre année 3 et année 4 :</t>
  </si>
  <si>
    <t>% d'augmentation du CA, entre année 4 et année 5 :</t>
  </si>
  <si>
    <t>Compte de résultats prévisionnel sur 5 ans</t>
  </si>
  <si>
    <t>Plan de financement à cinq ans</t>
  </si>
  <si>
    <t>Statut social du/des dirigeants :</t>
  </si>
  <si>
    <t xml:space="preserve"> - Remboursement emprunts</t>
  </si>
  <si>
    <t xml:space="preserve"> + Dotation amortissements</t>
  </si>
  <si>
    <t>Dotation amortissements</t>
  </si>
  <si>
    <t>Capacité autofinancement</t>
  </si>
  <si>
    <t>Principal année 4</t>
  </si>
  <si>
    <t>Principal année 5</t>
  </si>
  <si>
    <t>Intérêts année 4</t>
  </si>
  <si>
    <t>Intérêts année 5</t>
  </si>
  <si>
    <t>MARCHANDISES</t>
  </si>
  <si>
    <r>
      <rPr>
        <b/>
        <u/>
        <sz val="14"/>
        <color theme="1"/>
        <rFont val="Calibri"/>
        <family val="2"/>
        <scheme val="minor"/>
      </rPr>
      <t xml:space="preserve">Année 1 - </t>
    </r>
    <r>
      <rPr>
        <b/>
        <u/>
        <sz val="14"/>
        <color rgb="FFFF0000"/>
        <rFont val="Calibri"/>
        <family val="2"/>
        <scheme val="minor"/>
      </rPr>
      <t>Vente de marchandises</t>
    </r>
  </si>
  <si>
    <r>
      <rPr>
        <b/>
        <u/>
        <sz val="14"/>
        <color theme="1"/>
        <rFont val="Calibri"/>
        <family val="2"/>
        <scheme val="minor"/>
      </rPr>
      <t>Année 1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u/>
        <sz val="14"/>
        <color rgb="FFFF0000"/>
        <rFont val="Calibri"/>
        <family val="2"/>
        <scheme val="minor"/>
      </rPr>
      <t>Services</t>
    </r>
  </si>
  <si>
    <r>
      <t xml:space="preserve">Calcul avec </t>
    </r>
    <r>
      <rPr>
        <b/>
        <sz val="11"/>
        <color rgb="FFFF0000"/>
        <rFont val="Calibri"/>
        <family val="2"/>
        <scheme val="minor"/>
      </rPr>
      <t>ACCRE</t>
    </r>
  </si>
  <si>
    <t>Ce tableau ne pas en compte les flux de TVA ni le besoin en fonds de roulement.</t>
  </si>
  <si>
    <t>D'autre part, l'impôt sur les sociétés n'est pas intégré car payé l'année suivante.</t>
  </si>
  <si>
    <r>
      <t xml:space="preserve">4) Votre chiffre d'affaires de la </t>
    </r>
    <r>
      <rPr>
        <b/>
        <u/>
        <sz val="14"/>
        <color theme="9" tint="-0.499984740745262"/>
        <rFont val="Calibri"/>
        <family val="2"/>
        <scheme val="minor"/>
      </rPr>
      <t>première année</t>
    </r>
    <r>
      <rPr>
        <b/>
        <sz val="14"/>
        <color theme="9" tint="-0.499984740745262"/>
        <rFont val="Calibri"/>
        <family val="2"/>
        <scheme val="minor"/>
      </rPr>
      <t xml:space="preserve"> :</t>
    </r>
  </si>
  <si>
    <t>Agence digitale Webstudio33</t>
  </si>
  <si>
    <t>Thilly, Kilic, Draghi</t>
  </si>
  <si>
    <t>Bordeaux</t>
  </si>
  <si>
    <t>05 56 89 56 12</t>
  </si>
  <si>
    <t>webstudio33@</t>
  </si>
  <si>
    <t>-</t>
  </si>
  <si>
    <t>Investisseurs</t>
  </si>
  <si>
    <t>Récurrence (frais de maintenance)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</si>
</sst>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-* #,##0.00\ _€_-;\-* #,##0.00\ _€_-;_-* &quot;-&quot;??\ _€_-;_-@_-"/>
    <numFmt numFmtId="165" formatCode="0#&quot; &quot;##&quot; &quot;##&quot; &quot;##&quot; &quot;##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4"/>
      <color theme="1"/>
      <name val="Calibri"/>
      <family val="2"/>
      <scheme val="minor"/>
    </font>
    <font>
      <b/>
      <sz val="24"/>
      <color rgb="FFC75F09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i/>
      <sz val="11"/>
      <color theme="3" tint="0.59999389629810485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Tahoma"/>
      <family val="2"/>
    </font>
    <font>
      <b/>
      <sz val="14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sz val="16"/>
      <color theme="10"/>
      <name val="Calibri"/>
      <family val="2"/>
      <scheme val="minor"/>
    </font>
    <font>
      <b/>
      <i/>
      <sz val="14"/>
      <color theme="6" tint="-0.249977111117893"/>
      <name val="Calibri"/>
      <family val="2"/>
      <scheme val="minor"/>
    </font>
    <font>
      <b/>
      <i/>
      <sz val="12"/>
      <color theme="6" tint="-0.249977111117893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7B7B"/>
        <bgColor indexed="64"/>
      </patternFill>
    </fill>
  </fills>
  <borders count="59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3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left" indent="4"/>
    </xf>
    <xf numFmtId="0" fontId="9" fillId="0" borderId="0" xfId="0" applyFont="1" applyAlignment="1">
      <alignment horizontal="left" indent="4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164" fontId="2" fillId="0" borderId="4" xfId="0" applyNumberFormat="1" applyFont="1" applyBorder="1"/>
    <xf numFmtId="17" fontId="0" fillId="0" borderId="0" xfId="0" applyNumberFormat="1" applyAlignment="1">
      <alignment horizontal="left" indent="17"/>
    </xf>
    <xf numFmtId="0" fontId="2" fillId="0" borderId="0" xfId="0" applyFont="1" applyAlignment="1">
      <alignment horizontal="right" vertical="center" wrapText="1"/>
    </xf>
    <xf numFmtId="164" fontId="0" fillId="0" borderId="0" xfId="1" applyFont="1"/>
    <xf numFmtId="164" fontId="2" fillId="0" borderId="4" xfId="1" applyFont="1" applyBorder="1"/>
    <xf numFmtId="0" fontId="2" fillId="0" borderId="0" xfId="0" applyFont="1" applyAlignment="1">
      <alignment horizontal="left" indent="25"/>
    </xf>
    <xf numFmtId="0" fontId="12" fillId="0" borderId="0" xfId="0" applyFont="1"/>
    <xf numFmtId="0" fontId="15" fillId="0" borderId="4" xfId="0" applyFont="1" applyBorder="1" applyAlignment="1">
      <alignment horizontal="center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0" borderId="0" xfId="0" applyFill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6" xfId="0" applyBorder="1"/>
    <xf numFmtId="0" fontId="2" fillId="0" borderId="28" xfId="0" applyFont="1" applyBorder="1"/>
    <xf numFmtId="0" fontId="2" fillId="0" borderId="28" xfId="0" applyFont="1" applyBorder="1" applyAlignment="1">
      <alignment horizontal="left" indent="1"/>
    </xf>
    <xf numFmtId="0" fontId="0" fillId="0" borderId="28" xfId="0" applyBorder="1" applyAlignment="1">
      <alignment horizontal="left" indent="3"/>
    </xf>
    <xf numFmtId="164" fontId="0" fillId="0" borderId="30" xfId="1" applyFont="1" applyBorder="1"/>
    <xf numFmtId="164" fontId="0" fillId="0" borderId="32" xfId="1" applyFont="1" applyBorder="1"/>
    <xf numFmtId="0" fontId="7" fillId="0" borderId="28" xfId="0" applyFont="1" applyBorder="1" applyAlignment="1">
      <alignment horizontal="left" indent="3"/>
    </xf>
    <xf numFmtId="164" fontId="2" fillId="3" borderId="21" xfId="1" applyFont="1" applyFill="1" applyBorder="1"/>
    <xf numFmtId="0" fontId="0" fillId="0" borderId="25" xfId="0" applyBorder="1" applyAlignment="1">
      <alignment horizontal="left" indent="3"/>
    </xf>
    <xf numFmtId="0" fontId="2" fillId="0" borderId="26" xfId="0" applyFont="1" applyBorder="1"/>
    <xf numFmtId="0" fontId="2" fillId="0" borderId="28" xfId="0" applyFont="1" applyFill="1" applyBorder="1" applyAlignment="1">
      <alignment horizontal="left" indent="1"/>
    </xf>
    <xf numFmtId="0" fontId="0" fillId="0" borderId="0" xfId="0" applyFill="1" applyBorder="1"/>
    <xf numFmtId="0" fontId="7" fillId="0" borderId="28" xfId="0" applyFont="1" applyFill="1" applyBorder="1" applyAlignment="1">
      <alignment horizontal="left" indent="3"/>
    </xf>
    <xf numFmtId="0" fontId="0" fillId="0" borderId="28" xfId="0" applyFill="1" applyBorder="1" applyAlignment="1">
      <alignment horizontal="left" indent="3"/>
    </xf>
    <xf numFmtId="0" fontId="2" fillId="0" borderId="0" xfId="0" applyFont="1" applyFill="1" applyBorder="1"/>
    <xf numFmtId="0" fontId="0" fillId="0" borderId="25" xfId="0" applyFill="1" applyBorder="1" applyAlignment="1">
      <alignment horizontal="left" indent="3"/>
    </xf>
    <xf numFmtId="0" fontId="0" fillId="0" borderId="26" xfId="0" applyFill="1" applyBorder="1"/>
    <xf numFmtId="164" fontId="0" fillId="0" borderId="0" xfId="1" applyFont="1" applyFill="1" applyBorder="1"/>
    <xf numFmtId="0" fontId="2" fillId="0" borderId="0" xfId="0" applyFont="1" applyFill="1" applyBorder="1" applyAlignment="1">
      <alignment vertical="center"/>
    </xf>
    <xf numFmtId="0" fontId="2" fillId="0" borderId="22" xfId="0" applyFont="1" applyFill="1" applyBorder="1"/>
    <xf numFmtId="0" fontId="2" fillId="0" borderId="23" xfId="0" applyFont="1" applyFill="1" applyBorder="1" applyAlignment="1">
      <alignment vertical="center"/>
    </xf>
    <xf numFmtId="164" fontId="2" fillId="0" borderId="27" xfId="1" applyFont="1" applyFill="1" applyBorder="1"/>
    <xf numFmtId="164" fontId="0" fillId="0" borderId="2" xfId="1" applyFont="1" applyFill="1" applyBorder="1"/>
    <xf numFmtId="164" fontId="2" fillId="0" borderId="36" xfId="1" applyFont="1" applyFill="1" applyBorder="1"/>
    <xf numFmtId="164" fontId="0" fillId="0" borderId="36" xfId="1" applyFont="1" applyFill="1" applyBorder="1"/>
    <xf numFmtId="0" fontId="2" fillId="3" borderId="33" xfId="0" applyFont="1" applyFill="1" applyBorder="1"/>
    <xf numFmtId="0" fontId="0" fillId="3" borderId="37" xfId="0" applyFill="1" applyBorder="1"/>
    <xf numFmtId="164" fontId="2" fillId="3" borderId="34" xfId="1" applyFont="1" applyFill="1" applyBorder="1"/>
    <xf numFmtId="164" fontId="2" fillId="3" borderId="38" xfId="1" applyFont="1" applyFill="1" applyBorder="1"/>
    <xf numFmtId="164" fontId="7" fillId="0" borderId="28" xfId="0" applyNumberFormat="1" applyFont="1" applyBorder="1" applyAlignment="1">
      <alignment horizontal="left" indent="3"/>
    </xf>
    <xf numFmtId="0" fontId="2" fillId="0" borderId="28" xfId="0" applyFont="1" applyFill="1" applyBorder="1" applyAlignment="1">
      <alignment horizontal="left" vertical="center" indent="1"/>
    </xf>
    <xf numFmtId="164" fontId="0" fillId="0" borderId="1" xfId="1" applyFont="1" applyFill="1" applyBorder="1"/>
    <xf numFmtId="164" fontId="2" fillId="0" borderId="1" xfId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indent="4"/>
    </xf>
    <xf numFmtId="16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164" fontId="2" fillId="0" borderId="0" xfId="0" applyNumberFormat="1" applyFont="1" applyBorder="1"/>
    <xf numFmtId="8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9" fillId="0" borderId="0" xfId="0" applyFont="1" applyAlignment="1">
      <alignment horizontal="left" indent="2"/>
    </xf>
    <xf numFmtId="164" fontId="0" fillId="0" borderId="0" xfId="0" applyNumberFormat="1"/>
    <xf numFmtId="0" fontId="7" fillId="0" borderId="0" xfId="0" applyFont="1" applyFill="1" applyBorder="1"/>
    <xf numFmtId="0" fontId="23" fillId="0" borderId="0" xfId="0" applyFont="1"/>
    <xf numFmtId="0" fontId="25" fillId="0" borderId="0" xfId="0" applyFont="1"/>
    <xf numFmtId="0" fontId="7" fillId="0" borderId="0" xfId="0" applyFont="1" applyAlignment="1">
      <alignment horizontal="left" indent="1"/>
    </xf>
    <xf numFmtId="0" fontId="26" fillId="0" borderId="0" xfId="2" applyNumberFormat="1" applyFont="1" applyBorder="1"/>
    <xf numFmtId="0" fontId="26" fillId="0" borderId="0" xfId="0" applyFont="1" applyBorder="1" applyAlignment="1">
      <alignment horizontal="right"/>
    </xf>
    <xf numFmtId="164" fontId="2" fillId="0" borderId="0" xfId="1" applyFont="1" applyFill="1" applyBorder="1"/>
    <xf numFmtId="0" fontId="7" fillId="0" borderId="0" xfId="0" applyFont="1" applyBorder="1" applyAlignment="1">
      <alignment horizontal="left" indent="3"/>
    </xf>
    <xf numFmtId="164" fontId="7" fillId="0" borderId="0" xfId="1" applyFont="1" applyFill="1" applyBorder="1"/>
    <xf numFmtId="0" fontId="2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0" fontId="7" fillId="0" borderId="0" xfId="0" applyFont="1" applyFill="1" applyBorder="1" applyAlignment="1">
      <alignment horizontal="left" indent="3"/>
    </xf>
    <xf numFmtId="0" fontId="0" fillId="0" borderId="25" xfId="0" applyBorder="1"/>
    <xf numFmtId="0" fontId="2" fillId="0" borderId="22" xfId="0" applyFont="1" applyBorder="1" applyAlignment="1">
      <alignment horizontal="left" indent="1"/>
    </xf>
    <xf numFmtId="0" fontId="0" fillId="0" borderId="37" xfId="0" applyBorder="1"/>
    <xf numFmtId="0" fontId="2" fillId="0" borderId="33" xfId="0" applyFont="1" applyBorder="1" applyAlignment="1">
      <alignment horizontal="left" indent="1"/>
    </xf>
    <xf numFmtId="0" fontId="0" fillId="0" borderId="0" xfId="0" applyAlignment="1">
      <alignment horizontal="center"/>
    </xf>
    <xf numFmtId="164" fontId="13" fillId="0" borderId="33" xfId="0" applyNumberFormat="1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38" xfId="0" applyFont="1" applyBorder="1" applyAlignment="1">
      <alignment horizontal="left"/>
    </xf>
    <xf numFmtId="0" fontId="0" fillId="0" borderId="23" xfId="0" applyFill="1" applyBorder="1"/>
    <xf numFmtId="164" fontId="1" fillId="0" borderId="29" xfId="1" applyFont="1" applyFill="1" applyBorder="1"/>
    <xf numFmtId="0" fontId="2" fillId="0" borderId="26" xfId="0" applyFont="1" applyFill="1" applyBorder="1"/>
    <xf numFmtId="0" fontId="0" fillId="0" borderId="28" xfId="0" applyFont="1" applyFill="1" applyBorder="1" applyAlignment="1">
      <alignment horizontal="left" vertical="center" indent="1"/>
    </xf>
    <xf numFmtId="0" fontId="2" fillId="3" borderId="2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1" fillId="0" borderId="0" xfId="1" applyFont="1" applyFill="1" applyBorder="1"/>
    <xf numFmtId="164" fontId="2" fillId="3" borderId="37" xfId="1" applyFont="1" applyFill="1" applyBorder="1"/>
    <xf numFmtId="164" fontId="2" fillId="0" borderId="26" xfId="1" applyFont="1" applyFill="1" applyBorder="1"/>
    <xf numFmtId="164" fontId="2" fillId="3" borderId="44" xfId="1" applyFont="1" applyFill="1" applyBorder="1"/>
    <xf numFmtId="164" fontId="2" fillId="0" borderId="45" xfId="1" applyFont="1" applyFill="1" applyBorder="1"/>
    <xf numFmtId="0" fontId="2" fillId="3" borderId="4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42" xfId="1" applyFont="1" applyFill="1" applyBorder="1"/>
    <xf numFmtId="164" fontId="1" fillId="0" borderId="1" xfId="1" applyFont="1" applyFill="1" applyBorder="1"/>
    <xf numFmtId="164" fontId="2" fillId="0" borderId="47" xfId="1" applyFont="1" applyFill="1" applyBorder="1"/>
    <xf numFmtId="13" fontId="0" fillId="0" borderId="0" xfId="0" applyNumberFormat="1"/>
    <xf numFmtId="8" fontId="2" fillId="0" borderId="0" xfId="0" applyNumberFormat="1" applyFont="1"/>
    <xf numFmtId="0" fontId="0" fillId="0" borderId="25" xfId="0" applyFont="1" applyFill="1" applyBorder="1" applyAlignment="1">
      <alignment horizontal="left" vertical="center" indent="1"/>
    </xf>
    <xf numFmtId="0" fontId="27" fillId="0" borderId="0" xfId="0" applyFont="1"/>
    <xf numFmtId="0" fontId="28" fillId="0" borderId="0" xfId="0" applyFont="1"/>
    <xf numFmtId="0" fontId="0" fillId="0" borderId="33" xfId="0" applyFont="1" applyFill="1" applyBorder="1" applyAlignment="1">
      <alignment horizontal="left" vertical="center" indent="1"/>
    </xf>
    <xf numFmtId="0" fontId="0" fillId="0" borderId="37" xfId="0" applyFill="1" applyBorder="1"/>
    <xf numFmtId="0" fontId="29" fillId="3" borderId="33" xfId="0" applyFont="1" applyFill="1" applyBorder="1" applyAlignment="1">
      <alignment vertical="center"/>
    </xf>
    <xf numFmtId="0" fontId="13" fillId="3" borderId="2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7" fillId="0" borderId="0" xfId="0" applyFont="1" applyFill="1" applyBorder="1" applyAlignment="1">
      <alignment horizontal="center"/>
    </xf>
    <xf numFmtId="0" fontId="0" fillId="4" borderId="0" xfId="0" applyFill="1"/>
    <xf numFmtId="0" fontId="27" fillId="0" borderId="0" xfId="0" applyFont="1" applyAlignment="1">
      <alignment horizontal="center"/>
    </xf>
    <xf numFmtId="0" fontId="17" fillId="0" borderId="0" xfId="0" applyFont="1" applyFill="1" applyBorder="1" applyAlignment="1">
      <alignment vertical="center"/>
    </xf>
    <xf numFmtId="0" fontId="23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 indent="1"/>
    </xf>
    <xf numFmtId="164" fontId="1" fillId="0" borderId="0" xfId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13" fillId="0" borderId="0" xfId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vertical="center"/>
    </xf>
    <xf numFmtId="0" fontId="0" fillId="0" borderId="22" xfId="0" applyFont="1" applyFill="1" applyBorder="1" applyAlignment="1">
      <alignment horizontal="left" vertical="center" indent="1"/>
    </xf>
    <xf numFmtId="0" fontId="23" fillId="0" borderId="0" xfId="0" applyFont="1" applyAlignment="1">
      <alignment horizontal="right"/>
    </xf>
    <xf numFmtId="0" fontId="0" fillId="0" borderId="0" xfId="0" applyFont="1"/>
    <xf numFmtId="164" fontId="0" fillId="0" borderId="0" xfId="0" applyNumberFormat="1" applyFont="1"/>
    <xf numFmtId="164" fontId="2" fillId="3" borderId="49" xfId="1" applyFont="1" applyFill="1" applyBorder="1"/>
    <xf numFmtId="164" fontId="2" fillId="0" borderId="51" xfId="1" applyFont="1" applyFill="1" applyBorder="1"/>
    <xf numFmtId="164" fontId="2" fillId="3" borderId="57" xfId="1" applyFont="1" applyFill="1" applyBorder="1"/>
    <xf numFmtId="164" fontId="2" fillId="0" borderId="58" xfId="1" applyFont="1" applyFill="1" applyBorder="1"/>
    <xf numFmtId="0" fontId="4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indent="25"/>
    </xf>
    <xf numFmtId="0" fontId="3" fillId="0" borderId="16" xfId="0" applyFont="1" applyBorder="1" applyAlignment="1">
      <alignment horizontal="left" indent="1"/>
    </xf>
    <xf numFmtId="0" fontId="26" fillId="0" borderId="0" xfId="0" applyFont="1"/>
    <xf numFmtId="0" fontId="0" fillId="0" borderId="0" xfId="0" applyFont="1" applyFill="1" applyBorder="1"/>
    <xf numFmtId="0" fontId="7" fillId="0" borderId="25" xfId="0" applyFont="1" applyFill="1" applyBorder="1" applyAlignment="1">
      <alignment horizontal="left" vertical="center" indent="1"/>
    </xf>
    <xf numFmtId="0" fontId="33" fillId="0" borderId="0" xfId="0" applyFont="1"/>
    <xf numFmtId="164" fontId="31" fillId="0" borderId="2" xfId="1" applyFont="1" applyFill="1" applyBorder="1"/>
    <xf numFmtId="164" fontId="31" fillId="0" borderId="39" xfId="1" applyFont="1" applyFill="1" applyBorder="1"/>
    <xf numFmtId="0" fontId="31" fillId="0" borderId="0" xfId="0" applyFont="1"/>
    <xf numFmtId="164" fontId="31" fillId="0" borderId="52" xfId="1" applyFont="1" applyFill="1" applyBorder="1"/>
    <xf numFmtId="164" fontId="31" fillId="0" borderId="3" xfId="1" applyFont="1" applyFill="1" applyBorder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164" fontId="0" fillId="2" borderId="0" xfId="1" applyFont="1" applyFill="1" applyProtection="1">
      <protection locked="0"/>
    </xf>
    <xf numFmtId="1" fontId="0" fillId="2" borderId="0" xfId="2" applyNumberFormat="1" applyFont="1" applyFill="1" applyAlignment="1" applyProtection="1">
      <alignment horizontal="center"/>
      <protection locked="0"/>
    </xf>
    <xf numFmtId="10" fontId="7" fillId="2" borderId="3" xfId="2" applyNumberFormat="1" applyFont="1" applyFill="1" applyBorder="1" applyAlignment="1" applyProtection="1">
      <alignment horizontal="left" indent="4"/>
      <protection locked="0"/>
    </xf>
    <xf numFmtId="0" fontId="0" fillId="2" borderId="0" xfId="0" applyFill="1" applyAlignment="1" applyProtection="1">
      <alignment horizontal="left" indent="1"/>
      <protection locked="0"/>
    </xf>
    <xf numFmtId="164" fontId="0" fillId="2" borderId="1" xfId="1" applyFont="1" applyFill="1" applyBorder="1" applyProtection="1">
      <protection locked="0"/>
    </xf>
    <xf numFmtId="164" fontId="0" fillId="2" borderId="2" xfId="1" applyFont="1" applyFill="1" applyBorder="1" applyProtection="1">
      <protection locked="0"/>
    </xf>
    <xf numFmtId="164" fontId="0" fillId="2" borderId="3" xfId="1" applyFont="1" applyFill="1" applyBorder="1" applyProtection="1">
      <protection locked="0"/>
    </xf>
    <xf numFmtId="164" fontId="0" fillId="2" borderId="1" xfId="1" applyFont="1" applyFill="1" applyBorder="1" applyAlignment="1" applyProtection="1">
      <alignment horizontal="left" indent="1"/>
      <protection locked="0"/>
    </xf>
    <xf numFmtId="0" fontId="0" fillId="2" borderId="0" xfId="0" applyFill="1" applyProtection="1">
      <protection locked="0"/>
    </xf>
    <xf numFmtId="9" fontId="0" fillId="2" borderId="0" xfId="2" applyFont="1" applyFill="1" applyAlignment="1" applyProtection="1">
      <alignment horizontal="center"/>
      <protection locked="0"/>
    </xf>
    <xf numFmtId="0" fontId="0" fillId="2" borderId="21" xfId="2" applyNumberFormat="1" applyFont="1" applyFill="1" applyBorder="1" applyAlignment="1" applyProtection="1">
      <alignment horizontal="center"/>
      <protection locked="0"/>
    </xf>
    <xf numFmtId="9" fontId="0" fillId="2" borderId="21" xfId="2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0" borderId="0" xfId="0" applyFont="1" applyFill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 indent="1"/>
    </xf>
    <xf numFmtId="164" fontId="30" fillId="0" borderId="56" xfId="1" applyFont="1" applyFill="1" applyBorder="1"/>
    <xf numFmtId="0" fontId="16" fillId="0" borderId="0" xfId="0" applyFont="1" applyAlignment="1">
      <alignment horizontal="left" indent="2"/>
    </xf>
    <xf numFmtId="0" fontId="34" fillId="0" borderId="0" xfId="0" applyFont="1" applyAlignment="1">
      <alignment horizontal="left" indent="4"/>
    </xf>
    <xf numFmtId="0" fontId="34" fillId="0" borderId="0" xfId="0" applyFont="1" applyAlignment="1">
      <alignment horizontal="left"/>
    </xf>
    <xf numFmtId="0" fontId="7" fillId="2" borderId="3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164" fontId="2" fillId="0" borderId="0" xfId="0" applyNumberFormat="1" applyFont="1"/>
    <xf numFmtId="2" fontId="30" fillId="0" borderId="0" xfId="0" applyNumberFormat="1" applyFont="1"/>
    <xf numFmtId="10" fontId="26" fillId="0" borderId="0" xfId="0" applyNumberFormat="1" applyFont="1" applyBorder="1"/>
    <xf numFmtId="0" fontId="35" fillId="0" borderId="0" xfId="3" applyFont="1" applyFill="1" applyBorder="1" applyAlignment="1">
      <alignment vertical="center" wrapText="1"/>
    </xf>
    <xf numFmtId="0" fontId="36" fillId="0" borderId="0" xfId="3" applyFont="1" applyFill="1" applyBorder="1" applyAlignment="1">
      <alignment vertical="center" wrapText="1"/>
    </xf>
    <xf numFmtId="0" fontId="37" fillId="0" borderId="0" xfId="0" applyFont="1"/>
    <xf numFmtId="0" fontId="38" fillId="0" borderId="0" xfId="0" applyFont="1" applyAlignment="1">
      <alignment horizontal="left" indent="2"/>
    </xf>
    <xf numFmtId="0" fontId="39" fillId="0" borderId="0" xfId="0" applyFont="1"/>
    <xf numFmtId="0" fontId="40" fillId="0" borderId="0" xfId="0" applyFont="1"/>
    <xf numFmtId="164" fontId="39" fillId="0" borderId="1" xfId="1" applyFont="1" applyFill="1" applyBorder="1"/>
    <xf numFmtId="0" fontId="42" fillId="0" borderId="0" xfId="0" applyFont="1"/>
    <xf numFmtId="0" fontId="41" fillId="0" borderId="0" xfId="3" applyFont="1" applyFill="1" applyBorder="1" applyAlignment="1">
      <alignment vertical="center" wrapText="1"/>
    </xf>
    <xf numFmtId="0" fontId="43" fillId="0" borderId="0" xfId="0" applyFont="1"/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4" fontId="48" fillId="0" borderId="35" xfId="0" applyNumberFormat="1" applyFont="1" applyBorder="1"/>
    <xf numFmtId="4" fontId="48" fillId="0" borderId="23" xfId="1" applyNumberFormat="1" applyFont="1" applyBorder="1"/>
    <xf numFmtId="4" fontId="48" fillId="0" borderId="35" xfId="1" applyNumberFormat="1" applyFont="1" applyBorder="1"/>
    <xf numFmtId="4" fontId="48" fillId="0" borderId="24" xfId="1" applyNumberFormat="1" applyFont="1" applyBorder="1"/>
    <xf numFmtId="0" fontId="49" fillId="0" borderId="2" xfId="0" applyFont="1" applyBorder="1"/>
    <xf numFmtId="0" fontId="49" fillId="0" borderId="3" xfId="0" applyFont="1" applyBorder="1"/>
    <xf numFmtId="0" fontId="49" fillId="0" borderId="29" xfId="0" applyFont="1" applyBorder="1"/>
    <xf numFmtId="4" fontId="50" fillId="0" borderId="2" xfId="0" applyNumberFormat="1" applyFont="1" applyBorder="1"/>
    <xf numFmtId="4" fontId="50" fillId="0" borderId="3" xfId="1" applyNumberFormat="1" applyFont="1" applyBorder="1"/>
    <xf numFmtId="4" fontId="50" fillId="0" borderId="2" xfId="1" applyNumberFormat="1" applyFont="1" applyBorder="1"/>
    <xf numFmtId="4" fontId="50" fillId="0" borderId="29" xfId="1" applyNumberFormat="1" applyFont="1" applyBorder="1"/>
    <xf numFmtId="4" fontId="48" fillId="0" borderId="43" xfId="1" applyNumberFormat="1" applyFont="1" applyBorder="1"/>
    <xf numFmtId="0" fontId="49" fillId="0" borderId="36" xfId="0" applyFont="1" applyBorder="1"/>
    <xf numFmtId="0" fontId="49" fillId="0" borderId="45" xfId="0" applyFont="1" applyBorder="1"/>
    <xf numFmtId="0" fontId="49" fillId="0" borderId="27" xfId="0" applyFont="1" applyBorder="1"/>
    <xf numFmtId="4" fontId="48" fillId="0" borderId="34" xfId="0" applyNumberFormat="1" applyFont="1" applyBorder="1"/>
    <xf numFmtId="4" fontId="48" fillId="0" borderId="44" xfId="0" applyNumberFormat="1" applyFont="1" applyBorder="1"/>
    <xf numFmtId="4" fontId="48" fillId="0" borderId="38" xfId="0" applyNumberFormat="1" applyFont="1" applyBorder="1"/>
    <xf numFmtId="164" fontId="48" fillId="0" borderId="35" xfId="0" applyNumberFormat="1" applyFont="1" applyFill="1" applyBorder="1" applyAlignment="1">
      <alignment vertical="center"/>
    </xf>
    <xf numFmtId="164" fontId="48" fillId="0" borderId="23" xfId="0" applyNumberFormat="1" applyFont="1" applyFill="1" applyBorder="1" applyAlignment="1">
      <alignment vertical="center" wrapText="1"/>
    </xf>
    <xf numFmtId="164" fontId="48" fillId="0" borderId="35" xfId="0" applyNumberFormat="1" applyFont="1" applyFill="1" applyBorder="1" applyAlignment="1">
      <alignment vertical="center" wrapText="1"/>
    </xf>
    <xf numFmtId="164" fontId="48" fillId="0" borderId="24" xfId="0" applyNumberFormat="1" applyFont="1" applyFill="1" applyBorder="1" applyAlignment="1">
      <alignment vertical="center" wrapText="1"/>
    </xf>
    <xf numFmtId="164" fontId="50" fillId="0" borderId="2" xfId="1" applyFont="1" applyFill="1" applyBorder="1"/>
    <xf numFmtId="9" fontId="50" fillId="0" borderId="2" xfId="2" applyFont="1" applyFill="1" applyBorder="1" applyAlignment="1">
      <alignment horizontal="center"/>
    </xf>
    <xf numFmtId="9" fontId="50" fillId="0" borderId="0" xfId="1" applyNumberFormat="1" applyFont="1" applyFill="1" applyBorder="1" applyAlignment="1">
      <alignment horizontal="center"/>
    </xf>
    <xf numFmtId="9" fontId="50" fillId="0" borderId="2" xfId="1" applyNumberFormat="1" applyFont="1" applyFill="1" applyBorder="1" applyAlignment="1">
      <alignment horizontal="center"/>
    </xf>
    <xf numFmtId="9" fontId="50" fillId="0" borderId="29" xfId="1" applyNumberFormat="1" applyFont="1" applyFill="1" applyBorder="1" applyAlignment="1">
      <alignment horizontal="center"/>
    </xf>
    <xf numFmtId="164" fontId="48" fillId="0" borderId="2" xfId="1" applyFont="1" applyFill="1" applyBorder="1"/>
    <xf numFmtId="164" fontId="48" fillId="0" borderId="0" xfId="1" applyFont="1" applyFill="1" applyBorder="1"/>
    <xf numFmtId="164" fontId="48" fillId="0" borderId="29" xfId="1" applyFont="1" applyFill="1" applyBorder="1"/>
    <xf numFmtId="164" fontId="48" fillId="0" borderId="36" xfId="1" applyFont="1" applyFill="1" applyBorder="1"/>
    <xf numFmtId="164" fontId="48" fillId="0" borderId="48" xfId="0" applyNumberFormat="1" applyFont="1" applyFill="1" applyBorder="1" applyAlignment="1">
      <alignment vertical="center"/>
    </xf>
    <xf numFmtId="9" fontId="50" fillId="0" borderId="39" xfId="2" applyFont="1" applyFill="1" applyBorder="1" applyAlignment="1">
      <alignment horizontal="center"/>
    </xf>
    <xf numFmtId="164" fontId="48" fillId="0" borderId="39" xfId="1" applyFont="1" applyFill="1" applyBorder="1"/>
    <xf numFmtId="164" fontId="48" fillId="0" borderId="40" xfId="1" applyFont="1" applyFill="1" applyBorder="1"/>
    <xf numFmtId="164" fontId="49" fillId="0" borderId="35" xfId="1" applyFont="1" applyFill="1" applyBorder="1"/>
    <xf numFmtId="164" fontId="49" fillId="0" borderId="2" xfId="1" applyFont="1" applyFill="1" applyBorder="1"/>
    <xf numFmtId="164" fontId="48" fillId="3" borderId="34" xfId="1" applyFont="1" applyFill="1" applyBorder="1"/>
    <xf numFmtId="164" fontId="48" fillId="3" borderId="44" xfId="1" applyFont="1" applyFill="1" applyBorder="1"/>
    <xf numFmtId="164" fontId="49" fillId="0" borderId="3" xfId="1" applyFont="1" applyFill="1" applyBorder="1"/>
    <xf numFmtId="164" fontId="48" fillId="3" borderId="37" xfId="1" applyFont="1" applyFill="1" applyBorder="1"/>
    <xf numFmtId="164" fontId="49" fillId="0" borderId="0" xfId="1" applyFont="1" applyFill="1" applyBorder="1"/>
    <xf numFmtId="9" fontId="48" fillId="3" borderId="34" xfId="2" applyFont="1" applyFill="1" applyBorder="1" applyAlignment="1">
      <alignment horizontal="center"/>
    </xf>
    <xf numFmtId="164" fontId="50" fillId="0" borderId="36" xfId="1" applyFont="1" applyFill="1" applyBorder="1"/>
    <xf numFmtId="164" fontId="48" fillId="0" borderId="23" xfId="0" applyNumberFormat="1" applyFont="1" applyFill="1" applyBorder="1" applyAlignment="1">
      <alignment vertical="center"/>
    </xf>
    <xf numFmtId="9" fontId="48" fillId="3" borderId="37" xfId="2" applyFont="1" applyFill="1" applyBorder="1" applyAlignment="1">
      <alignment horizontal="center"/>
    </xf>
    <xf numFmtId="164" fontId="50" fillId="0" borderId="26" xfId="1" applyFont="1" applyFill="1" applyBorder="1"/>
    <xf numFmtId="164" fontId="48" fillId="0" borderId="24" xfId="0" applyNumberFormat="1" applyFont="1" applyFill="1" applyBorder="1" applyAlignment="1">
      <alignment vertical="center"/>
    </xf>
    <xf numFmtId="164" fontId="49" fillId="0" borderId="29" xfId="1" applyFont="1" applyFill="1" applyBorder="1"/>
    <xf numFmtId="9" fontId="48" fillId="3" borderId="38" xfId="2" applyFont="1" applyFill="1" applyBorder="1" applyAlignment="1">
      <alignment horizontal="center"/>
    </xf>
    <xf numFmtId="164" fontId="48" fillId="3" borderId="38" xfId="1" applyFont="1" applyFill="1" applyBorder="1"/>
    <xf numFmtId="164" fontId="50" fillId="0" borderId="27" xfId="1" applyFont="1" applyFill="1" applyBorder="1"/>
    <xf numFmtId="164" fontId="49" fillId="0" borderId="50" xfId="1" applyFont="1" applyBorder="1" applyAlignment="1">
      <alignment horizontal="right" vertical="center"/>
    </xf>
    <xf numFmtId="164" fontId="49" fillId="0" borderId="35" xfId="1" applyFont="1" applyBorder="1" applyAlignment="1">
      <alignment horizontal="right" vertical="center"/>
    </xf>
    <xf numFmtId="164" fontId="49" fillId="0" borderId="23" xfId="1" applyFont="1" applyBorder="1" applyAlignment="1">
      <alignment horizontal="right" vertical="center"/>
    </xf>
    <xf numFmtId="164" fontId="49" fillId="0" borderId="24" xfId="1" applyFont="1" applyBorder="1" applyAlignment="1">
      <alignment horizontal="right" vertical="center"/>
    </xf>
    <xf numFmtId="0" fontId="48" fillId="3" borderId="49" xfId="0" applyFont="1" applyFill="1" applyBorder="1" applyAlignment="1">
      <alignment horizontal="center" vertical="center"/>
    </xf>
    <xf numFmtId="0" fontId="48" fillId="3" borderId="34" xfId="0" applyFont="1" applyFill="1" applyBorder="1" applyAlignment="1">
      <alignment horizontal="center" vertical="center"/>
    </xf>
    <xf numFmtId="0" fontId="48" fillId="3" borderId="37" xfId="0" applyFont="1" applyFill="1" applyBorder="1" applyAlignment="1">
      <alignment horizontal="center" vertical="center"/>
    </xf>
    <xf numFmtId="0" fontId="48" fillId="3" borderId="38" xfId="0" applyFont="1" applyFill="1" applyBorder="1" applyAlignment="1">
      <alignment horizontal="center" vertical="center"/>
    </xf>
    <xf numFmtId="164" fontId="48" fillId="3" borderId="49" xfId="1" applyFont="1" applyFill="1" applyBorder="1" applyAlignment="1">
      <alignment horizontal="center" vertical="center"/>
    </xf>
    <xf numFmtId="164" fontId="48" fillId="3" borderId="34" xfId="1" applyFont="1" applyFill="1" applyBorder="1" applyAlignment="1">
      <alignment horizontal="center" vertical="center"/>
    </xf>
    <xf numFmtId="164" fontId="48" fillId="3" borderId="37" xfId="1" applyFont="1" applyFill="1" applyBorder="1" applyAlignment="1">
      <alignment horizontal="center" vertical="center"/>
    </xf>
    <xf numFmtId="164" fontId="48" fillId="3" borderId="38" xfId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/>
    </xf>
    <xf numFmtId="0" fontId="49" fillId="3" borderId="37" xfId="0" applyFont="1" applyFill="1" applyBorder="1"/>
    <xf numFmtId="0" fontId="50" fillId="0" borderId="37" xfId="0" applyFont="1" applyFill="1" applyBorder="1" applyAlignment="1">
      <alignment horizontal="center"/>
    </xf>
    <xf numFmtId="0" fontId="48" fillId="3" borderId="37" xfId="0" applyFont="1" applyFill="1" applyBorder="1" applyAlignment="1">
      <alignment vertical="center"/>
    </xf>
    <xf numFmtId="164" fontId="49" fillId="0" borderId="35" xfId="0" applyNumberFormat="1" applyFont="1" applyFill="1" applyBorder="1" applyAlignment="1">
      <alignment vertical="center"/>
    </xf>
    <xf numFmtId="164" fontId="48" fillId="3" borderId="34" xfId="2" applyNumberFormat="1" applyFont="1" applyFill="1" applyBorder="1" applyAlignment="1">
      <alignment horizontal="center"/>
    </xf>
    <xf numFmtId="164" fontId="48" fillId="3" borderId="34" xfId="1" applyFont="1" applyFill="1" applyBorder="1" applyAlignment="1">
      <alignment horizontal="center"/>
    </xf>
    <xf numFmtId="164" fontId="48" fillId="3" borderId="37" xfId="1" applyFont="1" applyFill="1" applyBorder="1" applyAlignment="1">
      <alignment horizontal="center"/>
    </xf>
    <xf numFmtId="164" fontId="48" fillId="3" borderId="38" xfId="1" applyFont="1" applyFill="1" applyBorder="1" applyAlignment="1">
      <alignment horizontal="center"/>
    </xf>
    <xf numFmtId="164" fontId="49" fillId="0" borderId="24" xfId="0" applyNumberFormat="1" applyFont="1" applyFill="1" applyBorder="1" applyAlignment="1">
      <alignment vertical="center" wrapText="1"/>
    </xf>
    <xf numFmtId="164" fontId="49" fillId="0" borderId="24" xfId="1" applyFont="1" applyFill="1" applyBorder="1"/>
    <xf numFmtId="164" fontId="49" fillId="0" borderId="39" xfId="1" applyFont="1" applyFill="1" applyBorder="1"/>
    <xf numFmtId="164" fontId="49" fillId="0" borderId="50" xfId="0" applyNumberFormat="1" applyFont="1" applyFill="1" applyBorder="1" applyAlignment="1">
      <alignment vertical="center"/>
    </xf>
    <xf numFmtId="164" fontId="49" fillId="0" borderId="43" xfId="0" applyNumberFormat="1" applyFont="1" applyFill="1" applyBorder="1" applyAlignment="1">
      <alignment vertical="center"/>
    </xf>
    <xf numFmtId="164" fontId="48" fillId="0" borderId="55" xfId="0" applyNumberFormat="1" applyFont="1" applyFill="1" applyBorder="1" applyAlignment="1">
      <alignment vertical="center"/>
    </xf>
    <xf numFmtId="164" fontId="49" fillId="0" borderId="52" xfId="1" applyFont="1" applyFill="1" applyBorder="1"/>
    <xf numFmtId="164" fontId="48" fillId="0" borderId="56" xfId="1" applyFont="1" applyFill="1" applyBorder="1"/>
    <xf numFmtId="164" fontId="49" fillId="0" borderId="50" xfId="1" applyFont="1" applyFill="1" applyBorder="1"/>
    <xf numFmtId="164" fontId="49" fillId="0" borderId="43" xfId="1" applyFont="1" applyFill="1" applyBorder="1"/>
    <xf numFmtId="164" fontId="48" fillId="0" borderId="55" xfId="1" applyFont="1" applyFill="1" applyBorder="1"/>
    <xf numFmtId="164" fontId="48" fillId="3" borderId="49" xfId="1" applyFont="1" applyFill="1" applyBorder="1"/>
    <xf numFmtId="164" fontId="48" fillId="3" borderId="57" xfId="1" applyFont="1" applyFill="1" applyBorder="1"/>
    <xf numFmtId="164" fontId="48" fillId="0" borderId="3" xfId="1" applyFont="1" applyFill="1" applyBorder="1"/>
    <xf numFmtId="164" fontId="48" fillId="0" borderId="52" xfId="1" applyFont="1" applyFill="1" applyBorder="1"/>
    <xf numFmtId="164" fontId="51" fillId="0" borderId="56" xfId="1" applyFont="1" applyFill="1" applyBorder="1"/>
    <xf numFmtId="164" fontId="48" fillId="0" borderId="32" xfId="1" applyFont="1" applyBorder="1"/>
    <xf numFmtId="164" fontId="50" fillId="0" borderId="32" xfId="1" applyFont="1" applyBorder="1"/>
    <xf numFmtId="0" fontId="49" fillId="0" borderId="31" xfId="0" applyFont="1" applyBorder="1"/>
    <xf numFmtId="164" fontId="50" fillId="0" borderId="29" xfId="1" applyFont="1" applyFill="1" applyBorder="1"/>
    <xf numFmtId="9" fontId="53" fillId="0" borderId="35" xfId="1" applyNumberFormat="1" applyFont="1" applyFill="1" applyBorder="1"/>
    <xf numFmtId="9" fontId="53" fillId="0" borderId="2" xfId="1" applyNumberFormat="1" applyFont="1" applyFill="1" applyBorder="1"/>
    <xf numFmtId="9" fontId="53" fillId="0" borderId="2" xfId="2" applyFont="1" applyFill="1" applyBorder="1"/>
    <xf numFmtId="9" fontId="54" fillId="3" borderId="34" xfId="2" applyFont="1" applyFill="1" applyBorder="1"/>
    <xf numFmtId="9" fontId="53" fillId="0" borderId="36" xfId="2" applyFont="1" applyFill="1" applyBorder="1"/>
    <xf numFmtId="9" fontId="53" fillId="0" borderId="23" xfId="1" applyNumberFormat="1" applyFont="1" applyFill="1" applyBorder="1"/>
    <xf numFmtId="9" fontId="53" fillId="0" borderId="0" xfId="1" applyNumberFormat="1" applyFont="1" applyFill="1" applyBorder="1"/>
    <xf numFmtId="9" fontId="54" fillId="3" borderId="37" xfId="2" applyFont="1" applyFill="1" applyBorder="1"/>
    <xf numFmtId="9" fontId="53" fillId="0" borderId="0" xfId="2" applyFont="1" applyFill="1" applyBorder="1"/>
    <xf numFmtId="9" fontId="53" fillId="0" borderId="26" xfId="2" applyFont="1" applyFill="1" applyBorder="1"/>
    <xf numFmtId="9" fontId="53" fillId="0" borderId="44" xfId="2" applyFont="1" applyFill="1" applyBorder="1"/>
    <xf numFmtId="9" fontId="53" fillId="0" borderId="24" xfId="1" applyNumberFormat="1" applyFont="1" applyFill="1" applyBorder="1"/>
    <xf numFmtId="9" fontId="53" fillId="0" borderId="29" xfId="1" applyNumberFormat="1" applyFont="1" applyFill="1" applyBorder="1"/>
    <xf numFmtId="9" fontId="53" fillId="0" borderId="29" xfId="2" applyFont="1" applyFill="1" applyBorder="1"/>
    <xf numFmtId="9" fontId="54" fillId="3" borderId="38" xfId="2" applyFont="1" applyFill="1" applyBorder="1"/>
    <xf numFmtId="9" fontId="53" fillId="0" borderId="41" xfId="2" applyFont="1" applyFill="1" applyBorder="1"/>
    <xf numFmtId="164" fontId="45" fillId="0" borderId="35" xfId="1" applyFont="1" applyFill="1" applyBorder="1"/>
    <xf numFmtId="164" fontId="45" fillId="0" borderId="2" xfId="1" applyFont="1" applyFill="1" applyBorder="1"/>
    <xf numFmtId="164" fontId="52" fillId="3" borderId="34" xfId="1" applyFont="1" applyFill="1" applyBorder="1"/>
    <xf numFmtId="164" fontId="45" fillId="0" borderId="36" xfId="1" applyFont="1" applyFill="1" applyBorder="1"/>
    <xf numFmtId="164" fontId="52" fillId="3" borderId="44" xfId="1" applyFont="1" applyFill="1" applyBorder="1"/>
    <xf numFmtId="164" fontId="45" fillId="0" borderId="3" xfId="1" applyFont="1" applyFill="1" applyBorder="1"/>
    <xf numFmtId="164" fontId="52" fillId="0" borderId="45" xfId="1" applyFont="1" applyFill="1" applyBorder="1"/>
    <xf numFmtId="164" fontId="52" fillId="3" borderId="37" xfId="1" applyFont="1" applyFill="1" applyBorder="1"/>
    <xf numFmtId="164" fontId="45" fillId="0" borderId="0" xfId="1" applyFont="1" applyFill="1" applyBorder="1"/>
    <xf numFmtId="164" fontId="52" fillId="0" borderId="26" xfId="1" applyFont="1" applyFill="1" applyBorder="1"/>
    <xf numFmtId="0" fontId="48" fillId="0" borderId="22" xfId="0" applyFont="1" applyFill="1" applyBorder="1" applyAlignment="1">
      <alignment horizontal="left" indent="1"/>
    </xf>
    <xf numFmtId="0" fontId="48" fillId="0" borderId="28" xfId="0" applyFont="1" applyFill="1" applyBorder="1" applyAlignment="1">
      <alignment horizontal="left" indent="1"/>
    </xf>
    <xf numFmtId="0" fontId="48" fillId="0" borderId="28" xfId="0" applyFont="1" applyFill="1" applyBorder="1" applyAlignment="1">
      <alignment horizontal="left" vertical="center" indent="1"/>
    </xf>
    <xf numFmtId="0" fontId="48" fillId="3" borderId="33" xfId="0" applyFont="1" applyFill="1" applyBorder="1"/>
    <xf numFmtId="0" fontId="48" fillId="0" borderId="25" xfId="0" applyFont="1" applyFill="1" applyBorder="1" applyAlignment="1">
      <alignment horizontal="left" indent="1"/>
    </xf>
    <xf numFmtId="0" fontId="49" fillId="0" borderId="28" xfId="0" applyFont="1" applyFill="1" applyBorder="1" applyAlignment="1">
      <alignment horizontal="left" indent="1"/>
    </xf>
    <xf numFmtId="0" fontId="49" fillId="0" borderId="28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right" indent="1"/>
    </xf>
    <xf numFmtId="164" fontId="50" fillId="0" borderId="0" xfId="1" applyFont="1" applyFill="1" applyBorder="1"/>
    <xf numFmtId="164" fontId="50" fillId="0" borderId="3" xfId="1" applyFont="1" applyFill="1" applyBorder="1"/>
    <xf numFmtId="0" fontId="46" fillId="0" borderId="0" xfId="0" applyFont="1" applyAlignment="1">
      <alignment horizontal="left" vertical="center"/>
    </xf>
    <xf numFmtId="164" fontId="55" fillId="0" borderId="1" xfId="1" applyFont="1" applyFill="1" applyBorder="1"/>
    <xf numFmtId="164" fontId="13" fillId="0" borderId="1" xfId="1" applyFont="1" applyFill="1" applyBorder="1"/>
    <xf numFmtId="164" fontId="47" fillId="0" borderId="1" xfId="1" applyFont="1" applyFill="1" applyBorder="1"/>
    <xf numFmtId="164" fontId="47" fillId="0" borderId="2" xfId="1" applyFont="1" applyFill="1" applyBorder="1"/>
    <xf numFmtId="0" fontId="56" fillId="0" borderId="0" xfId="0" applyFont="1" applyAlignment="1">
      <alignment horizontal="right"/>
    </xf>
    <xf numFmtId="2" fontId="56" fillId="0" borderId="0" xfId="0" applyNumberFormat="1" applyFont="1"/>
    <xf numFmtId="2" fontId="57" fillId="0" borderId="0" xfId="0" applyNumberFormat="1" applyFont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2" fillId="0" borderId="0" xfId="0" applyNumberFormat="1" applyFont="1" applyFill="1" applyBorder="1" applyAlignment="1">
      <alignment horizontal="center" vertical="center"/>
    </xf>
    <xf numFmtId="0" fontId="53" fillId="0" borderId="0" xfId="0" applyFont="1" applyFill="1" applyBorder="1"/>
    <xf numFmtId="0" fontId="53" fillId="0" borderId="0" xfId="0" applyFont="1" applyFill="1" applyBorder="1" applyAlignment="1">
      <alignment horizontal="left"/>
    </xf>
    <xf numFmtId="10" fontId="53" fillId="0" borderId="2" xfId="2" applyNumberFormat="1" applyFont="1" applyFill="1" applyBorder="1"/>
    <xf numFmtId="164" fontId="59" fillId="2" borderId="0" xfId="1" applyFont="1" applyFill="1" applyProtection="1">
      <protection locked="0"/>
    </xf>
    <xf numFmtId="0" fontId="2" fillId="3" borderId="2" xfId="0" applyFont="1" applyFill="1" applyBorder="1" applyAlignment="1">
      <alignment horizontal="center" vertical="center"/>
    </xf>
    <xf numFmtId="0" fontId="52" fillId="3" borderId="0" xfId="0" applyFont="1" applyFill="1" applyBorder="1" applyAlignment="1">
      <alignment horizontal="center" vertical="center"/>
    </xf>
    <xf numFmtId="0" fontId="52" fillId="3" borderId="29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/>
    </xf>
    <xf numFmtId="164" fontId="49" fillId="2" borderId="2" xfId="1" applyFont="1" applyFill="1" applyBorder="1"/>
    <xf numFmtId="164" fontId="49" fillId="2" borderId="0" xfId="1" applyFont="1" applyFill="1" applyBorder="1"/>
    <xf numFmtId="164" fontId="49" fillId="2" borderId="29" xfId="1" applyFont="1" applyFill="1" applyBorder="1"/>
    <xf numFmtId="0" fontId="0" fillId="2" borderId="0" xfId="0" applyFill="1" applyAlignment="1" applyProtection="1">
      <alignment horizontal="left"/>
      <protection locked="0"/>
    </xf>
    <xf numFmtId="165" fontId="0" fillId="2" borderId="0" xfId="0" applyNumberFormat="1" applyFill="1" applyAlignment="1" applyProtection="1">
      <alignment horizontal="left"/>
      <protection locked="0"/>
    </xf>
    <xf numFmtId="0" fontId="19" fillId="2" borderId="0" xfId="3" applyFill="1" applyAlignment="1" applyProtection="1">
      <alignment horizontal="left"/>
      <protection locked="0"/>
    </xf>
    <xf numFmtId="0" fontId="7" fillId="0" borderId="0" xfId="0" applyFont="1" applyAlignment="1">
      <alignment horizontal="left" wrapText="1" indent="5"/>
    </xf>
    <xf numFmtId="17" fontId="0" fillId="2" borderId="0" xfId="0" applyNumberFormat="1" applyFill="1" applyAlignment="1" applyProtection="1">
      <alignment horizontal="left"/>
      <protection locked="0"/>
    </xf>
    <xf numFmtId="17" fontId="0" fillId="0" borderId="0" xfId="0" applyNumberFormat="1" applyFill="1" applyAlignment="1" applyProtection="1">
      <alignment horizontal="left"/>
      <protection locked="0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/>
    </xf>
    <xf numFmtId="0" fontId="52" fillId="3" borderId="0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/>
    </xf>
    <xf numFmtId="0" fontId="52" fillId="3" borderId="29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left"/>
    </xf>
    <xf numFmtId="0" fontId="2" fillId="3" borderId="48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52" fillId="3" borderId="35" xfId="0" applyFont="1" applyFill="1" applyBorder="1" applyAlignment="1">
      <alignment horizontal="center" vertical="center"/>
    </xf>
    <xf numFmtId="0" fontId="52" fillId="3" borderId="3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28" xfId="0" applyFont="1" applyFill="1" applyBorder="1" applyAlignment="1">
      <alignment horizontal="left" vertical="center" indent="1"/>
    </xf>
    <xf numFmtId="0" fontId="0" fillId="4" borderId="0" xfId="0" applyFill="1" applyBorder="1"/>
    <xf numFmtId="164" fontId="49" fillId="5" borderId="2" xfId="1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7B7B"/>
      <color rgb="FFC4D600"/>
      <color rgb="FFEB683E"/>
      <color rgb="FFC75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1085850</xdr:colOff>
      <xdr:row>1</xdr:row>
      <xdr:rowOff>76200</xdr:rowOff>
    </xdr:from>
    <xdr:to>
      <xdr:col>8</xdr:col>
      <xdr:colOff>442140</xdr:colOff>
      <xdr:row>10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0080AE-0E93-427A-8D29-DAF8FB4DF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71475"/>
          <a:ext cx="2947215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228601</xdr:colOff>
      <xdr:row>0</xdr:row>
      <xdr:rowOff>333375</xdr:rowOff>
    </xdr:from>
    <xdr:to>
      <xdr:col>6</xdr:col>
      <xdr:colOff>699025</xdr:colOff>
      <xdr:row>7</xdr:row>
      <xdr:rowOff>666750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1134B8-8323-4A82-8448-51A52324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1" y="333375"/>
          <a:ext cx="3861324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bstudio33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3"/>
  <sheetViews>
    <sheetView showGridLines="0" topLeftCell="A37" workbookViewId="0">
      <selection activeCell="B66" sqref="B66"/>
    </sheetView>
  </sheetViews>
  <sheetFormatPr defaultColWidth="0" defaultRowHeight="15" zeroHeight="1" x14ac:dyDescent="0.25"/>
  <cols>
    <col min="1" max="1" width="40" customWidth="1"/>
    <col min="2" max="2" width="19.85546875" customWidth="1"/>
    <col min="3" max="6" width="19.5703125" customWidth="1"/>
    <col min="7" max="9" width="17.140625" customWidth="1"/>
    <col min="10" max="10" width="28.28515625" hidden="1" customWidth="1"/>
    <col min="11" max="11" width="13.28515625" hidden="1" customWidth="1"/>
    <col min="12" max="13" width="12.42578125" hidden="1" customWidth="1"/>
    <col min="14" max="16384" width="11.42578125" hidden="1"/>
  </cols>
  <sheetData>
    <row r="1" spans="1:14" ht="23.25" x14ac:dyDescent="0.35">
      <c r="A1" s="3" t="s">
        <v>3</v>
      </c>
    </row>
    <row r="2" spans="1:14" ht="21" x14ac:dyDescent="0.35">
      <c r="A2" s="203" t="s">
        <v>259</v>
      </c>
    </row>
    <row r="3" spans="1:14" ht="15" customHeight="1" x14ac:dyDescent="0.25">
      <c r="G3" s="196"/>
      <c r="H3" s="196"/>
      <c r="J3" t="s">
        <v>1</v>
      </c>
      <c r="K3" t="s">
        <v>91</v>
      </c>
      <c r="L3" t="s">
        <v>109</v>
      </c>
      <c r="N3" t="s">
        <v>110</v>
      </c>
    </row>
    <row r="4" spans="1:14" ht="18.75" customHeight="1" x14ac:dyDescent="0.3">
      <c r="A4" s="198" t="s">
        <v>65</v>
      </c>
      <c r="G4" s="196"/>
      <c r="H4" s="196"/>
      <c r="J4" t="s">
        <v>115</v>
      </c>
      <c r="K4" t="s">
        <v>92</v>
      </c>
      <c r="L4" t="s">
        <v>95</v>
      </c>
      <c r="N4" t="s">
        <v>90</v>
      </c>
    </row>
    <row r="5" spans="1:14" ht="15" customHeight="1" x14ac:dyDescent="0.25">
      <c r="G5" s="196"/>
      <c r="H5" s="196"/>
      <c r="J5" t="s">
        <v>114</v>
      </c>
      <c r="L5" t="s">
        <v>122</v>
      </c>
    </row>
    <row r="6" spans="1:14" ht="15" customHeight="1" x14ac:dyDescent="0.25">
      <c r="A6" s="1" t="s">
        <v>269</v>
      </c>
      <c r="B6" s="369" t="s">
        <v>300</v>
      </c>
      <c r="C6" s="369"/>
      <c r="G6" s="196"/>
      <c r="H6" s="196"/>
      <c r="J6" t="s">
        <v>116</v>
      </c>
    </row>
    <row r="7" spans="1:14" ht="15" customHeight="1" x14ac:dyDescent="0.25">
      <c r="A7" s="1" t="s">
        <v>270</v>
      </c>
      <c r="B7" s="369" t="s">
        <v>299</v>
      </c>
      <c r="C7" s="369"/>
      <c r="D7" s="91" t="s">
        <v>4</v>
      </c>
      <c r="G7" s="196"/>
      <c r="H7" s="196"/>
      <c r="J7" t="s">
        <v>117</v>
      </c>
    </row>
    <row r="8" spans="1:14" ht="15" customHeight="1" x14ac:dyDescent="0.25">
      <c r="A8" s="1" t="s">
        <v>0</v>
      </c>
      <c r="B8" s="369" t="s">
        <v>114</v>
      </c>
      <c r="C8" s="369"/>
      <c r="D8" s="91" t="s">
        <v>111</v>
      </c>
      <c r="G8" s="196"/>
      <c r="H8" s="196"/>
      <c r="J8" t="s">
        <v>118</v>
      </c>
    </row>
    <row r="9" spans="1:14" ht="15" customHeight="1" x14ac:dyDescent="0.25">
      <c r="A9" s="1" t="s">
        <v>2</v>
      </c>
      <c r="B9" s="370" t="s">
        <v>302</v>
      </c>
      <c r="C9" s="370"/>
      <c r="G9" s="196"/>
      <c r="H9" s="196"/>
    </row>
    <row r="10" spans="1:14" ht="15" customHeight="1" x14ac:dyDescent="0.25">
      <c r="A10" s="1" t="s">
        <v>69</v>
      </c>
      <c r="B10" s="371" t="s">
        <v>303</v>
      </c>
      <c r="C10" s="371"/>
      <c r="G10" s="196"/>
      <c r="H10" s="196"/>
    </row>
    <row r="11" spans="1:14" ht="15" customHeight="1" x14ac:dyDescent="0.25">
      <c r="A11" s="1" t="s">
        <v>249</v>
      </c>
      <c r="B11" s="369" t="s">
        <v>301</v>
      </c>
      <c r="C11" s="369"/>
      <c r="G11" s="196"/>
      <c r="H11" s="196"/>
      <c r="J11" t="s">
        <v>1</v>
      </c>
      <c r="K11" t="s">
        <v>119</v>
      </c>
    </row>
    <row r="12" spans="1:14" ht="15.75" customHeight="1" x14ac:dyDescent="0.25">
      <c r="A12" s="184"/>
      <c r="B12" s="374"/>
      <c r="C12" s="374"/>
      <c r="G12" s="196"/>
      <c r="H12" s="196"/>
      <c r="J12" t="s">
        <v>115</v>
      </c>
      <c r="K12" t="s">
        <v>119</v>
      </c>
    </row>
    <row r="13" spans="1:14" x14ac:dyDescent="0.25">
      <c r="A13" s="1" t="s">
        <v>94</v>
      </c>
      <c r="B13" s="373" t="s">
        <v>95</v>
      </c>
      <c r="C13" s="373"/>
      <c r="D13" s="373"/>
      <c r="E13" s="91" t="s">
        <v>111</v>
      </c>
      <c r="J13" t="s">
        <v>114</v>
      </c>
      <c r="K13" t="s">
        <v>120</v>
      </c>
    </row>
    <row r="14" spans="1:14" ht="27.75" customHeight="1" x14ac:dyDescent="0.3">
      <c r="A14" s="17" t="s">
        <v>61</v>
      </c>
      <c r="J14" t="s">
        <v>116</v>
      </c>
      <c r="K14" t="s">
        <v>120</v>
      </c>
    </row>
    <row r="15" spans="1:14" x14ac:dyDescent="0.25">
      <c r="A15" s="5" t="s">
        <v>244</v>
      </c>
      <c r="J15" t="s">
        <v>117</v>
      </c>
      <c r="K15" t="s">
        <v>120</v>
      </c>
    </row>
    <row r="16" spans="1:14" x14ac:dyDescent="0.25">
      <c r="B16" s="185" t="s">
        <v>248</v>
      </c>
      <c r="J16" t="s">
        <v>118</v>
      </c>
      <c r="K16" t="s">
        <v>120</v>
      </c>
    </row>
    <row r="17" spans="1:8" ht="15" customHeight="1" x14ac:dyDescent="0.25">
      <c r="A17" s="169" t="s">
        <v>34</v>
      </c>
      <c r="B17" s="171">
        <v>1140</v>
      </c>
      <c r="C17" s="6" t="s">
        <v>232</v>
      </c>
      <c r="G17" s="196"/>
      <c r="H17" s="196"/>
    </row>
    <row r="18" spans="1:8" ht="15" customHeight="1" x14ac:dyDescent="0.25">
      <c r="A18" s="169" t="s">
        <v>5</v>
      </c>
      <c r="B18" s="171">
        <v>0</v>
      </c>
      <c r="C18" s="6" t="s">
        <v>243</v>
      </c>
      <c r="G18" s="196"/>
      <c r="H18" s="196"/>
    </row>
    <row r="19" spans="1:8" ht="15" customHeight="1" x14ac:dyDescent="0.25">
      <c r="A19" s="169" t="s">
        <v>233</v>
      </c>
      <c r="B19" s="171">
        <v>391</v>
      </c>
      <c r="C19" s="6"/>
      <c r="G19" s="196"/>
      <c r="H19" s="196"/>
    </row>
    <row r="20" spans="1:8" ht="15" customHeight="1" x14ac:dyDescent="0.25">
      <c r="A20" s="169" t="s">
        <v>35</v>
      </c>
      <c r="B20" s="171">
        <v>0</v>
      </c>
      <c r="C20" s="6" t="s">
        <v>7</v>
      </c>
      <c r="G20" s="196"/>
      <c r="H20" s="196"/>
    </row>
    <row r="21" spans="1:8" ht="15" customHeight="1" x14ac:dyDescent="0.25">
      <c r="A21" s="169" t="s">
        <v>36</v>
      </c>
      <c r="B21" s="171">
        <v>0</v>
      </c>
      <c r="C21" s="6" t="s">
        <v>8</v>
      </c>
      <c r="G21" s="196"/>
      <c r="H21" s="196"/>
    </row>
    <row r="22" spans="1:8" ht="15" customHeight="1" x14ac:dyDescent="0.25">
      <c r="A22" s="169" t="s">
        <v>9</v>
      </c>
      <c r="B22" s="171">
        <v>0</v>
      </c>
      <c r="C22" s="6" t="s">
        <v>10</v>
      </c>
      <c r="G22" s="196"/>
      <c r="H22" s="196"/>
    </row>
    <row r="23" spans="1:8" ht="15" customHeight="1" x14ac:dyDescent="0.25">
      <c r="A23" s="169" t="s">
        <v>11</v>
      </c>
      <c r="B23" s="171">
        <v>0</v>
      </c>
      <c r="C23" s="6"/>
      <c r="G23" s="196"/>
      <c r="H23" s="196"/>
    </row>
    <row r="24" spans="1:8" ht="15" customHeight="1" x14ac:dyDescent="0.25">
      <c r="A24" s="169" t="s">
        <v>37</v>
      </c>
      <c r="B24" s="171">
        <v>0</v>
      </c>
      <c r="C24" s="6"/>
      <c r="G24" s="196"/>
      <c r="H24" s="196"/>
    </row>
    <row r="25" spans="1:8" ht="15" customHeight="1" x14ac:dyDescent="0.25">
      <c r="A25" s="169" t="s">
        <v>50</v>
      </c>
      <c r="B25" s="171">
        <v>0</v>
      </c>
      <c r="C25" s="6" t="s">
        <v>234</v>
      </c>
      <c r="G25" s="196"/>
      <c r="H25" s="196"/>
    </row>
    <row r="26" spans="1:8" ht="15.75" customHeight="1" x14ac:dyDescent="0.25">
      <c r="A26" s="169" t="s">
        <v>38</v>
      </c>
      <c r="B26" s="171">
        <v>0</v>
      </c>
      <c r="C26" s="6" t="s">
        <v>12</v>
      </c>
      <c r="G26" s="196"/>
      <c r="H26" s="196"/>
    </row>
    <row r="27" spans="1:8" x14ac:dyDescent="0.25">
      <c r="A27" s="169" t="s">
        <v>19</v>
      </c>
      <c r="B27" s="171" t="s">
        <v>304</v>
      </c>
      <c r="C27" s="6" t="s">
        <v>20</v>
      </c>
    </row>
    <row r="28" spans="1:8" x14ac:dyDescent="0.25">
      <c r="A28" s="169" t="s">
        <v>74</v>
      </c>
      <c r="B28" s="171">
        <v>0</v>
      </c>
      <c r="C28" s="6" t="s">
        <v>235</v>
      </c>
    </row>
    <row r="29" spans="1:8" x14ac:dyDescent="0.25">
      <c r="A29" s="169" t="s">
        <v>39</v>
      </c>
      <c r="B29" s="171">
        <v>0</v>
      </c>
      <c r="C29" s="6" t="s">
        <v>13</v>
      </c>
    </row>
    <row r="30" spans="1:8" x14ac:dyDescent="0.25">
      <c r="A30" s="169" t="s">
        <v>40</v>
      </c>
      <c r="B30" s="171">
        <v>1500</v>
      </c>
      <c r="C30" s="6" t="s">
        <v>14</v>
      </c>
    </row>
    <row r="31" spans="1:8" x14ac:dyDescent="0.25">
      <c r="A31" s="169" t="s">
        <v>15</v>
      </c>
      <c r="B31" s="171">
        <v>0</v>
      </c>
      <c r="C31" s="6" t="s">
        <v>16</v>
      </c>
    </row>
    <row r="32" spans="1:8" x14ac:dyDescent="0.25">
      <c r="A32" s="169" t="s">
        <v>17</v>
      </c>
      <c r="B32" s="171">
        <v>0</v>
      </c>
      <c r="C32" s="6" t="s">
        <v>18</v>
      </c>
    </row>
    <row r="33" spans="1:13" ht="15.75" thickBot="1" x14ac:dyDescent="0.3">
      <c r="A33" s="169" t="s">
        <v>41</v>
      </c>
      <c r="B33" s="171">
        <v>10000</v>
      </c>
      <c r="C33" s="188" t="s">
        <v>262</v>
      </c>
    </row>
    <row r="34" spans="1:13" ht="15.75" thickBot="1" x14ac:dyDescent="0.3">
      <c r="A34" s="9" t="s">
        <v>49</v>
      </c>
      <c r="B34" s="11">
        <f>SUM(B17:B33)</f>
        <v>13031</v>
      </c>
      <c r="C34" s="8"/>
    </row>
    <row r="35" spans="1:13" x14ac:dyDescent="0.25">
      <c r="C35" s="8"/>
    </row>
    <row r="36" spans="1:13" ht="15.75" x14ac:dyDescent="0.25">
      <c r="A36" s="2" t="s">
        <v>242</v>
      </c>
      <c r="C36" s="172">
        <v>5</v>
      </c>
      <c r="D36" s="4" t="s">
        <v>250</v>
      </c>
    </row>
    <row r="37" spans="1:13" x14ac:dyDescent="0.25">
      <c r="C37" s="8"/>
    </row>
    <row r="38" spans="1:13" hidden="1" x14ac:dyDescent="0.25">
      <c r="B38" s="77" t="s">
        <v>105</v>
      </c>
      <c r="C38" s="74" t="s">
        <v>42</v>
      </c>
      <c r="D38" s="74" t="s">
        <v>43</v>
      </c>
      <c r="E38" s="75" t="s">
        <v>44</v>
      </c>
      <c r="F38" s="74" t="s">
        <v>98</v>
      </c>
      <c r="G38" s="74" t="s">
        <v>99</v>
      </c>
      <c r="H38" s="74" t="s">
        <v>100</v>
      </c>
      <c r="I38" s="74" t="s">
        <v>101</v>
      </c>
      <c r="J38" s="74" t="s">
        <v>102</v>
      </c>
      <c r="K38" s="74" t="s">
        <v>103</v>
      </c>
      <c r="L38" s="74" t="s">
        <v>104</v>
      </c>
      <c r="M38" s="74" t="s">
        <v>49</v>
      </c>
    </row>
    <row r="39" spans="1:13" hidden="1" x14ac:dyDescent="0.25">
      <c r="B39" s="105">
        <f>SUM(B17,B19,B21,B25:B31)</f>
        <v>3031</v>
      </c>
      <c r="C39" s="106">
        <f t="shared" ref="C39:C54" si="0">IF(ISERROR($B39/$C$36),0,$B39/$C$36)</f>
        <v>606.20000000000005</v>
      </c>
      <c r="D39" s="106">
        <f>IF($B39&gt;(SUM(C39:$C39)),IF(ISERROR($B39/$C$36),"",$B39/$C$36),0)</f>
        <v>606.20000000000005</v>
      </c>
      <c r="E39" s="106">
        <f>IF($B39&gt;(SUM($C39:D39)),IF(ISERROR($B39/$C$36),"",$B39/$C$36),0)</f>
        <v>606.20000000000005</v>
      </c>
      <c r="F39" s="106">
        <f>IF($B39&gt;(SUM($C39:E39)),IF(ISERROR($B39/$C$36),"",$B39/$C$36),0)</f>
        <v>606.20000000000005</v>
      </c>
      <c r="G39" s="106">
        <f>IF($B39&gt;(SUM($C39:F39)),IF(ISERROR($B39/$C$36),"",$B39/$C$36),0)</f>
        <v>606.20000000000005</v>
      </c>
      <c r="H39" s="106">
        <f>IF($B39&gt;(SUM($C39:G39)),IF(ISERROR($B39/$C$36),"",$B39/$C$36),0)</f>
        <v>0</v>
      </c>
      <c r="I39" s="106">
        <f>IF($B39&gt;(SUM($C39:H39)),IF(ISERROR($B39/$C$36),"",$B39/$C$36),0)</f>
        <v>0</v>
      </c>
      <c r="J39" s="106">
        <f>IF($B39&gt;(SUM($C39:I39)),IF(ISERROR($B39/$C$36),"",$B39/$C$36),0)</f>
        <v>0</v>
      </c>
      <c r="K39" s="106">
        <f>IF($B39&gt;(SUM($C39:J39)),IF(ISERROR($B39/$C$36),"",$B39/$C$36),0)</f>
        <v>0</v>
      </c>
      <c r="L39" s="106">
        <f>IF($B39&gt;(SUM($C39:K39)),IF(ISERROR($B39/$C$36),"",$B39/$C$36),0)</f>
        <v>0</v>
      </c>
      <c r="M39" s="107">
        <f>SUM(C39:L39)</f>
        <v>3031</v>
      </c>
    </row>
    <row r="40" spans="1:13" hidden="1" x14ac:dyDescent="0.25">
      <c r="A40" t="str">
        <f>A17</f>
        <v xml:space="preserve">Frais d’établissement </v>
      </c>
      <c r="B40" s="104">
        <f t="shared" ref="B40:B54" si="1">B17</f>
        <v>1140</v>
      </c>
      <c r="C40" s="74">
        <f t="shared" si="0"/>
        <v>228</v>
      </c>
      <c r="D40" s="74">
        <f>IF($B40&gt;(SUM(C40:$C40)),IF(ISERROR($B40/$C$36),"",$B40/$C$36),0)</f>
        <v>228</v>
      </c>
      <c r="E40" s="74">
        <f>IF($B40&gt;(SUM($C40:D40)),IF(ISERROR($B40/$C$36),"",$B40/$C$36),0)</f>
        <v>228</v>
      </c>
      <c r="F40" s="74">
        <f>IF($B40&gt;(SUM($C40:E40)),IF(ISERROR($B40/$C$36),"",$B40/$C$36),0)</f>
        <v>228</v>
      </c>
      <c r="G40" s="74">
        <f>IF($B40&gt;(SUM($C40:F40)),IF(ISERROR($B40/$C$36),"",$B40/$C$36),0)</f>
        <v>228</v>
      </c>
      <c r="H40" s="74">
        <f>IF($B40&gt;(SUM($C40:G40)),IF(ISERROR($B40/$C$36),"",$B40/$C$36),0)</f>
        <v>0</v>
      </c>
      <c r="I40" s="74">
        <f>IF($B40&gt;(SUM($C40:H40)),IF(ISERROR($B40/$C$36),"",$B40/$C$36),0)</f>
        <v>0</v>
      </c>
      <c r="J40" s="74">
        <f>IF($B40&gt;(SUM($C40:I40)),IF(ISERROR($B40/$C$36),"",$B40/$C$36),0)</f>
        <v>0</v>
      </c>
      <c r="K40" s="74">
        <f>IF($B40&gt;(SUM($C40:J40)),IF(ISERROR($B40/$C$36),"",$B40/$C$36),0)</f>
        <v>0</v>
      </c>
      <c r="L40" s="74">
        <f>IF($B40&gt;(SUM($C40:K40)),IF(ISERROR($B40/$C$36),"",$B40/$C$36),0)</f>
        <v>0</v>
      </c>
      <c r="M40" s="74">
        <f t="shared" ref="M40:M54" si="2">SUM(C40:L40)</f>
        <v>1140</v>
      </c>
    </row>
    <row r="41" spans="1:13" hidden="1" x14ac:dyDescent="0.25">
      <c r="B41" s="104"/>
      <c r="C41" s="74"/>
      <c r="D41" s="74"/>
      <c r="E41" s="74"/>
      <c r="F41" s="74"/>
      <c r="G41" s="74"/>
      <c r="H41" s="74"/>
      <c r="I41" s="74"/>
      <c r="J41" s="74">
        <f>IF($B41&gt;(SUM($C41:I41)),IF(ISERROR($B41/$C$36),"",$B41/$C$36),0)</f>
        <v>0</v>
      </c>
      <c r="K41" s="74">
        <f>IF($B41&gt;(SUM($C41:J41)),IF(ISERROR($B41/$C$36),"",$B41/$C$36),0)</f>
        <v>0</v>
      </c>
      <c r="L41" s="74">
        <f>IF($B41&gt;(SUM($C41:K41)),IF(ISERROR($B41/$C$36),"",$B41/$C$36),0)</f>
        <v>0</v>
      </c>
      <c r="M41" s="74">
        <f t="shared" si="2"/>
        <v>0</v>
      </c>
    </row>
    <row r="42" spans="1:13" hidden="1" x14ac:dyDescent="0.25">
      <c r="A42" t="str">
        <f t="shared" ref="A42" si="3">A19</f>
        <v>Logiciels, formations</v>
      </c>
      <c r="B42" s="104">
        <f t="shared" si="1"/>
        <v>391</v>
      </c>
      <c r="C42" s="74">
        <f t="shared" si="0"/>
        <v>78.2</v>
      </c>
      <c r="D42" s="74">
        <f>IF($B42&gt;(SUM(C42:$C42)),IF(ISERROR($B42/$C$36),"",$B42/$C$36),0)</f>
        <v>78.2</v>
      </c>
      <c r="E42" s="74">
        <f>IF($B42&gt;(SUM($C42:D42)),IF(ISERROR($B42/$C$36),"",$B42/$C$36),0)</f>
        <v>78.2</v>
      </c>
      <c r="F42" s="74">
        <f>IF($B42&gt;(SUM($C42:E42)),IF(ISERROR($B42/$C$36),"",$B42/$C$36),0)</f>
        <v>78.2</v>
      </c>
      <c r="G42" s="74">
        <f>IF($B42&gt;(SUM($C42:F42)),IF(ISERROR($B42/$C$36),"",$B42/$C$36),0)</f>
        <v>78.2</v>
      </c>
      <c r="H42" s="74">
        <f>IF($B42&gt;(SUM($C42:G42)),IF(ISERROR($B42/$C$36),"",$B42/$C$36),0)</f>
        <v>0</v>
      </c>
      <c r="I42" s="74">
        <f>IF($B42&gt;(SUM($C42:H42)),IF(ISERROR($B42/$C$36),"",$B42/$C$36),0)</f>
        <v>0</v>
      </c>
      <c r="J42" s="74">
        <f>IF($B42&gt;(SUM($C42:I42)),IF(ISERROR($B42/$C$36),"",$B42/$C$36),0)</f>
        <v>0</v>
      </c>
      <c r="K42" s="74">
        <f>IF($B42&gt;(SUM($C42:J42)),IF(ISERROR($B42/$C$36),"",$B42/$C$36),0)</f>
        <v>0</v>
      </c>
      <c r="L42" s="74">
        <f>IF($B42&gt;(SUM($C42:K42)),IF(ISERROR($B42/$C$36),"",$B42/$C$36),0)</f>
        <v>0</v>
      </c>
      <c r="M42" s="74">
        <f t="shared" si="2"/>
        <v>391</v>
      </c>
    </row>
    <row r="43" spans="1:13" hidden="1" x14ac:dyDescent="0.25">
      <c r="B43" s="104"/>
      <c r="C43" s="74"/>
      <c r="D43" s="74"/>
      <c r="E43" s="74"/>
      <c r="F43" s="74"/>
      <c r="G43" s="74"/>
      <c r="H43" s="74"/>
      <c r="I43" s="74"/>
      <c r="J43" s="74">
        <f>IF($B43&gt;(SUM($C43:I43)),IF(ISERROR($B43/$C$36),"",$B43/$C$36),0)</f>
        <v>0</v>
      </c>
      <c r="K43" s="74">
        <f>IF($B43&gt;(SUM($C43:J43)),IF(ISERROR($B43/$C$36),"",$B43/$C$36),0)</f>
        <v>0</v>
      </c>
      <c r="L43" s="74">
        <f>IF($B43&gt;(SUM($C43:K43)),IF(ISERROR($B43/$C$36),"",$B43/$C$36),0)</f>
        <v>0</v>
      </c>
      <c r="M43" s="74">
        <f t="shared" si="2"/>
        <v>0</v>
      </c>
    </row>
    <row r="44" spans="1:13" hidden="1" x14ac:dyDescent="0.25">
      <c r="A44" t="str">
        <f t="shared" ref="A44" si="4">A21</f>
        <v>Droits d’entrée</v>
      </c>
      <c r="B44" s="104">
        <f t="shared" si="1"/>
        <v>0</v>
      </c>
      <c r="C44" s="74">
        <f t="shared" si="0"/>
        <v>0</v>
      </c>
      <c r="D44" s="74">
        <f>IF($B44&gt;(SUM(C44:$C44)),IF(ISERROR($B44/$C$36),"",$B44/$C$36),0)</f>
        <v>0</v>
      </c>
      <c r="E44" s="74">
        <f>IF($B44&gt;(SUM($C44:D44)),IF(ISERROR($B44/$C$36),"",$B44/$C$36),0)</f>
        <v>0</v>
      </c>
      <c r="F44" s="74">
        <f>IF($B44&gt;(SUM($C44:E44)),IF(ISERROR($B44/$C$36),"",$B44/$C$36),0)</f>
        <v>0</v>
      </c>
      <c r="G44" s="74">
        <f>IF($B44&gt;(SUM($C44:F44)),IF(ISERROR($B44/$C$36),"",$B44/$C$36),0)</f>
        <v>0</v>
      </c>
      <c r="H44" s="74">
        <f>IF($B44&gt;(SUM($C44:G44)),IF(ISERROR($B44/$C$36),"",$B44/$C$36),0)</f>
        <v>0</v>
      </c>
      <c r="I44" s="74">
        <f>IF($B44&gt;(SUM($C44:H44)),IF(ISERROR($B44/$C$36),"",$B44/$C$36),0)</f>
        <v>0</v>
      </c>
      <c r="J44" s="74">
        <f>IF($B44&gt;(SUM($C44:I44)),IF(ISERROR($B44/$C$36),"",$B44/$C$36),0)</f>
        <v>0</v>
      </c>
      <c r="K44" s="74">
        <f>IF($B44&gt;(SUM($C44:J44)),IF(ISERROR($B44/$C$36),"",$B44/$C$36),0)</f>
        <v>0</v>
      </c>
      <c r="L44" s="74">
        <f>IF($B44&gt;(SUM($C44:K44)),IF(ISERROR($B44/$C$36),"",$B44/$C$36),0)</f>
        <v>0</v>
      </c>
      <c r="M44" s="74">
        <f t="shared" si="2"/>
        <v>0</v>
      </c>
    </row>
    <row r="45" spans="1:13" hidden="1" x14ac:dyDescent="0.25">
      <c r="B45" s="104"/>
      <c r="C45" s="74"/>
      <c r="D45" s="74"/>
      <c r="E45" s="74"/>
      <c r="F45" s="74"/>
      <c r="G45" s="74"/>
      <c r="H45" s="74"/>
      <c r="I45" s="74"/>
      <c r="J45" s="74">
        <f>IF($B45&gt;(SUM($C45:I45)),IF(ISERROR($B45/$C$36),"",$B45/$C$36),0)</f>
        <v>0</v>
      </c>
      <c r="K45" s="74">
        <f>IF($B45&gt;(SUM($C45:J45)),IF(ISERROR($B45/$C$36),"",$B45/$C$36),0)</f>
        <v>0</v>
      </c>
      <c r="L45" s="74">
        <f>IF($B45&gt;(SUM($C45:K45)),IF(ISERROR($B45/$C$36),"",$B45/$C$36),0)</f>
        <v>0</v>
      </c>
      <c r="M45" s="74">
        <f t="shared" si="2"/>
        <v>0</v>
      </c>
    </row>
    <row r="46" spans="1:13" hidden="1" x14ac:dyDescent="0.25">
      <c r="B46" s="104"/>
      <c r="C46" s="74"/>
      <c r="D46" s="74"/>
      <c r="E46" s="74"/>
      <c r="F46" s="74"/>
      <c r="G46" s="74"/>
      <c r="H46" s="74"/>
      <c r="I46" s="74"/>
      <c r="J46" s="74">
        <f>IF($B46&gt;(SUM($C46:I46)),IF(ISERROR($B46/$C$36),"",$B46/$C$36),0)</f>
        <v>0</v>
      </c>
      <c r="K46" s="74">
        <f>IF($B46&gt;(SUM($C46:J46)),IF(ISERROR($B46/$C$36),"",$B46/$C$36),0)</f>
        <v>0</v>
      </c>
      <c r="L46" s="74">
        <f>IF($B46&gt;(SUM($C46:K46)),IF(ISERROR($B46/$C$36),"",$B46/$C$36),0)</f>
        <v>0</v>
      </c>
      <c r="M46" s="74">
        <f t="shared" si="2"/>
        <v>0</v>
      </c>
    </row>
    <row r="47" spans="1:13" hidden="1" x14ac:dyDescent="0.25">
      <c r="B47" s="104"/>
      <c r="C47" s="74"/>
      <c r="D47" s="74"/>
      <c r="E47" s="74"/>
      <c r="F47" s="74"/>
      <c r="G47" s="74"/>
      <c r="H47" s="74"/>
      <c r="I47" s="74"/>
      <c r="J47" s="74">
        <f>IF($B47&gt;(SUM($C47:I47)),IF(ISERROR($B47/$C$36),"",$B47/$C$36),0)</f>
        <v>0</v>
      </c>
      <c r="K47" s="74">
        <f>IF($B47&gt;(SUM($C47:J47)),IF(ISERROR($B47/$C$36),"",$B47/$C$36),0)</f>
        <v>0</v>
      </c>
      <c r="L47" s="74">
        <f>IF($B47&gt;(SUM($C47:K47)),IF(ISERROR($B47/$C$36),"",$B47/$C$36),0)</f>
        <v>0</v>
      </c>
      <c r="M47" s="74">
        <f t="shared" si="2"/>
        <v>0</v>
      </c>
    </row>
    <row r="48" spans="1:13" hidden="1" x14ac:dyDescent="0.25">
      <c r="A48" t="str">
        <f t="shared" ref="A48" si="5">A25</f>
        <v>Frais de dossier</v>
      </c>
      <c r="B48" s="104">
        <f t="shared" si="1"/>
        <v>0</v>
      </c>
      <c r="C48" s="74">
        <f t="shared" si="0"/>
        <v>0</v>
      </c>
      <c r="D48" s="74">
        <f>IF($B48&gt;(SUM(C48:$C48)),IF(ISERROR($B48/$C$36),"",$B48/$C$36),0)</f>
        <v>0</v>
      </c>
      <c r="E48" s="74">
        <f>IF($B48&gt;(SUM($C48:D48)),IF(ISERROR($B48/$C$36),"",$B48/$C$36),0)</f>
        <v>0</v>
      </c>
      <c r="F48" s="74">
        <f>IF($B48&gt;(SUM($C48:E48)),IF(ISERROR($B48/$C$36),"",$B48/$C$36),0)</f>
        <v>0</v>
      </c>
      <c r="G48" s="74">
        <f>IF($B48&gt;(SUM($C48:F48)),IF(ISERROR($B48/$C$36),"",$B48/$C$36),0)</f>
        <v>0</v>
      </c>
      <c r="H48" s="74">
        <f>IF($B48&gt;(SUM($C48:G48)),IF(ISERROR($B48/$C$36),"",$B48/$C$36),0)</f>
        <v>0</v>
      </c>
      <c r="I48" s="74">
        <f>IF($B48&gt;(SUM($C48:H48)),IF(ISERROR($B48/$C$36),"",$B48/$C$36),0)</f>
        <v>0</v>
      </c>
      <c r="J48" s="74">
        <f>IF($B48&gt;(SUM($C48:I48)),IF(ISERROR($B48/$C$36),"",$B48/$C$36),0)</f>
        <v>0</v>
      </c>
      <c r="K48" s="74">
        <f>IF($B48&gt;(SUM($C48:J48)),IF(ISERROR($B48/$C$36),"",$B48/$C$36),0)</f>
        <v>0</v>
      </c>
      <c r="L48" s="74">
        <f>IF($B48&gt;(SUM($C48:K48)),IF(ISERROR($B48/$C$36),"",$B48/$C$36),0)</f>
        <v>0</v>
      </c>
      <c r="M48" s="74">
        <f t="shared" si="2"/>
        <v>0</v>
      </c>
    </row>
    <row r="49" spans="1:13" hidden="1" x14ac:dyDescent="0.25">
      <c r="A49" t="str">
        <f t="shared" ref="A49" si="6">A26</f>
        <v>Frais de notaire ou d’avocat</v>
      </c>
      <c r="B49" s="104">
        <f t="shared" si="1"/>
        <v>0</v>
      </c>
      <c r="C49" s="74">
        <f t="shared" si="0"/>
        <v>0</v>
      </c>
      <c r="D49" s="74">
        <f>IF($B49&gt;(SUM(C49:$C49)),IF(ISERROR($B49/$C$36),"",$B49/$C$36),0)</f>
        <v>0</v>
      </c>
      <c r="E49" s="74">
        <f>IF($B49&gt;(SUM($C49:D49)),IF(ISERROR($B49/$C$36),"",$B49/$C$36),0)</f>
        <v>0</v>
      </c>
      <c r="F49" s="74">
        <f>IF($B49&gt;(SUM($C49:E49)),IF(ISERROR($B49/$C$36),"",$B49/$C$36),0)</f>
        <v>0</v>
      </c>
      <c r="G49" s="74">
        <f>IF($B49&gt;(SUM($C49:F49)),IF(ISERROR($B49/$C$36),"",$B49/$C$36),0)</f>
        <v>0</v>
      </c>
      <c r="H49" s="74">
        <f>IF($B49&gt;(SUM($C49:G49)),IF(ISERROR($B49/$C$36),"",$B49/$C$36),0)</f>
        <v>0</v>
      </c>
      <c r="I49" s="74">
        <f>IF($B49&gt;(SUM($C49:H49)),IF(ISERROR($B49/$C$36),"",$B49/$C$36),0)</f>
        <v>0</v>
      </c>
      <c r="J49" s="74">
        <f>IF($B49&gt;(SUM($C49:I49)),IF(ISERROR($B49/$C$36),"",$B49/$C$36),0)</f>
        <v>0</v>
      </c>
      <c r="K49" s="74">
        <f>IF($B49&gt;(SUM($C49:J49)),IF(ISERROR($B49/$C$36),"",$B49/$C$36),0)</f>
        <v>0</v>
      </c>
      <c r="L49" s="74">
        <f>IF($B49&gt;(SUM($C49:K49)),IF(ISERROR($B49/$C$36),"",$B49/$C$36),0)</f>
        <v>0</v>
      </c>
      <c r="M49" s="74">
        <f t="shared" si="2"/>
        <v>0</v>
      </c>
    </row>
    <row r="50" spans="1:13" hidden="1" x14ac:dyDescent="0.25">
      <c r="A50" t="str">
        <f t="shared" ref="A50" si="7">A27</f>
        <v>Enseigne et éléments de communication</v>
      </c>
      <c r="B50" s="104" t="str">
        <f t="shared" si="1"/>
        <v>-</v>
      </c>
      <c r="C50" s="74">
        <f t="shared" si="0"/>
        <v>0</v>
      </c>
      <c r="D50" s="74" t="str">
        <f>IF($B50&gt;(SUM(C50:$C50)),IF(ISERROR($B50/$C$36),"",$B50/$C$36),0)</f>
        <v/>
      </c>
      <c r="E50" s="74" t="str">
        <f>IF($B50&gt;(SUM($C50:D50)),IF(ISERROR($B50/$C$36),"",$B50/$C$36),0)</f>
        <v/>
      </c>
      <c r="F50" s="74" t="str">
        <f>IF($B50&gt;(SUM($C50:E50)),IF(ISERROR($B50/$C$36),"",$B50/$C$36),0)</f>
        <v/>
      </c>
      <c r="G50" s="74" t="str">
        <f>IF($B50&gt;(SUM($C50:F50)),IF(ISERROR($B50/$C$36),"",$B50/$C$36),0)</f>
        <v/>
      </c>
      <c r="H50" s="74" t="str">
        <f>IF($B50&gt;(SUM($C50:G50)),IF(ISERROR($B50/$C$36),"",$B50/$C$36),0)</f>
        <v/>
      </c>
      <c r="I50" s="74" t="str">
        <f>IF($B50&gt;(SUM($C50:H50)),IF(ISERROR($B50/$C$36),"",$B50/$C$36),0)</f>
        <v/>
      </c>
      <c r="J50" s="74" t="str">
        <f>IF($B50&gt;(SUM($C50:I50)),IF(ISERROR($B50/$C$36),"",$B50/$C$36),0)</f>
        <v/>
      </c>
      <c r="K50" s="74" t="str">
        <f>IF($B50&gt;(SUM($C50:J50)),IF(ISERROR($B50/$C$36),"",$B50/$C$36),0)</f>
        <v/>
      </c>
      <c r="L50" s="74" t="str">
        <f>IF($B50&gt;(SUM($C50:K50)),IF(ISERROR($B50/$C$36),"",$B50/$C$36),0)</f>
        <v/>
      </c>
      <c r="M50" s="74">
        <f t="shared" si="2"/>
        <v>0</v>
      </c>
    </row>
    <row r="51" spans="1:13" hidden="1" x14ac:dyDescent="0.25">
      <c r="A51" t="str">
        <f t="shared" ref="A51" si="8">A28</f>
        <v>Achat immobilier</v>
      </c>
      <c r="B51" s="104">
        <f t="shared" si="1"/>
        <v>0</v>
      </c>
      <c r="C51" s="74">
        <f t="shared" si="0"/>
        <v>0</v>
      </c>
      <c r="D51" s="74">
        <f>IF($B51&gt;(SUM(C51:$C51)),IF(ISERROR($B51/$C$36),"",$B51/$C$36),0)</f>
        <v>0</v>
      </c>
      <c r="E51" s="74">
        <f>IF($B51&gt;(SUM($C51:D51)),IF(ISERROR($B51/$C$36),"",$B51/$C$36),0)</f>
        <v>0</v>
      </c>
      <c r="F51" s="74">
        <f>IF($B51&gt;(SUM($C51:E51)),IF(ISERROR($B51/$C$36),"",$B51/$C$36),0)</f>
        <v>0</v>
      </c>
      <c r="G51" s="74">
        <f>IF($B51&gt;(SUM($C51:F51)),IF(ISERROR($B51/$C$36),"",$B51/$C$36),0)</f>
        <v>0</v>
      </c>
      <c r="H51" s="74">
        <f>IF($B51&gt;(SUM($C51:G51)),IF(ISERROR($B51/$C$36),"",$B51/$C$36),0)</f>
        <v>0</v>
      </c>
      <c r="I51" s="74">
        <f>IF($B51&gt;(SUM($C51:H51)),IF(ISERROR($B51/$C$36),"",$B51/$C$36),0)</f>
        <v>0</v>
      </c>
      <c r="J51" s="74">
        <f>IF($B51&gt;(SUM($C51:I51)),IF(ISERROR($B51/$C$36),"",$B51/$C$36),0)</f>
        <v>0</v>
      </c>
      <c r="K51" s="74">
        <f>IF($B51&gt;(SUM($C51:J51)),IF(ISERROR($B51/$C$36),"",$B51/$C$36),0)</f>
        <v>0</v>
      </c>
      <c r="L51" s="74">
        <f>IF($B51&gt;(SUM($C51:K51)),IF(ISERROR($B51/$C$36),"",$B51/$C$36),0)</f>
        <v>0</v>
      </c>
      <c r="M51" s="74">
        <f t="shared" si="2"/>
        <v>0</v>
      </c>
    </row>
    <row r="52" spans="1:13" hidden="1" x14ac:dyDescent="0.25">
      <c r="A52" t="str">
        <f t="shared" ref="A52" si="9">A29</f>
        <v>Travaux et aménagements</v>
      </c>
      <c r="B52" s="104">
        <f t="shared" si="1"/>
        <v>0</v>
      </c>
      <c r="C52" s="74">
        <f t="shared" si="0"/>
        <v>0</v>
      </c>
      <c r="D52" s="74">
        <f>IF($B52&gt;(SUM(C52:$C52)),IF(ISERROR($B52/$C$36),"",$B52/$C$36),0)</f>
        <v>0</v>
      </c>
      <c r="E52" s="74">
        <f>IF($B52&gt;(SUM($C52:D52)),IF(ISERROR($B52/$C$36),"",$B52/$C$36),0)</f>
        <v>0</v>
      </c>
      <c r="F52" s="74">
        <f>IF($B52&gt;(SUM($C52:E52)),IF(ISERROR($B52/$C$36),"",$B52/$C$36),0)</f>
        <v>0</v>
      </c>
      <c r="G52" s="74">
        <f>IF($B52&gt;(SUM($C52:F52)),IF(ISERROR($B52/$C$36),"",$B52/$C$36),0)</f>
        <v>0</v>
      </c>
      <c r="H52" s="74">
        <f>IF($B52&gt;(SUM($C52:G52)),IF(ISERROR($B52/$C$36),"",$B52/$C$36),0)</f>
        <v>0</v>
      </c>
      <c r="I52" s="74">
        <f>IF($B52&gt;(SUM($C52:H52)),IF(ISERROR($B52/$C$36),"",$B52/$C$36),0)</f>
        <v>0</v>
      </c>
      <c r="J52" s="74">
        <f>IF($B52&gt;(SUM($C52:I52)),IF(ISERROR($B52/$C$36),"",$B52/$C$36),0)</f>
        <v>0</v>
      </c>
      <c r="K52" s="74">
        <f>IF($B52&gt;(SUM($C52:J52)),IF(ISERROR($B52/$C$36),"",$B52/$C$36),0)</f>
        <v>0</v>
      </c>
      <c r="L52" s="74">
        <f>IF($B52&gt;(SUM($C52:K52)),IF(ISERROR($B52/$C$36),"",$B52/$C$36),0)</f>
        <v>0</v>
      </c>
      <c r="M52" s="74">
        <f t="shared" si="2"/>
        <v>0</v>
      </c>
    </row>
    <row r="53" spans="1:13" hidden="1" x14ac:dyDescent="0.25">
      <c r="A53" t="str">
        <f t="shared" ref="A53" si="10">A30</f>
        <v>Matériel</v>
      </c>
      <c r="B53" s="104">
        <f t="shared" si="1"/>
        <v>1500</v>
      </c>
      <c r="C53" s="74">
        <f t="shared" si="0"/>
        <v>300</v>
      </c>
      <c r="D53" s="74">
        <f>IF($B53&gt;(SUM(C53:$C53)),IF(ISERROR($B53/$C$36),"",$B53/$C$36),0)</f>
        <v>300</v>
      </c>
      <c r="E53" s="74">
        <f>IF($B53&gt;(SUM($C53:D53)),IF(ISERROR($B53/$C$36),"",$B53/$C$36),0)</f>
        <v>300</v>
      </c>
      <c r="F53" s="74">
        <f>IF($B53&gt;(SUM($C53:E53)),IF(ISERROR($B53/$C$36),"",$B53/$C$36),0)</f>
        <v>300</v>
      </c>
      <c r="G53" s="74">
        <f>IF($B53&gt;(SUM($C53:F53)),IF(ISERROR($B53/$C$36),"",$B53/$C$36),0)</f>
        <v>300</v>
      </c>
      <c r="H53" s="74">
        <f>IF($B53&gt;(SUM($C53:G53)),IF(ISERROR($B53/$C$36),"",$B53/$C$36),0)</f>
        <v>0</v>
      </c>
      <c r="I53" s="74">
        <f>IF($B53&gt;(SUM($C53:H53)),IF(ISERROR($B53/$C$36),"",$B53/$C$36),0)</f>
        <v>0</v>
      </c>
      <c r="J53" s="74">
        <f>IF($B53&gt;(SUM($C53:I53)),IF(ISERROR($B53/$C$36),"",$B53/$C$36),0)</f>
        <v>0</v>
      </c>
      <c r="K53" s="74">
        <f>IF($B53&gt;(SUM($C53:J53)),IF(ISERROR($B53/$C$36),"",$B53/$C$36),0)</f>
        <v>0</v>
      </c>
      <c r="L53" s="74">
        <f>IF($B53&gt;(SUM($C53:K53)),IF(ISERROR($B53/$C$36),"",$B53/$C$36),0)</f>
        <v>0</v>
      </c>
      <c r="M53" s="74">
        <f t="shared" si="2"/>
        <v>1500</v>
      </c>
    </row>
    <row r="54" spans="1:13" hidden="1" x14ac:dyDescent="0.25">
      <c r="A54" t="str">
        <f t="shared" ref="A54" si="11">A31</f>
        <v>Matériel de bureau</v>
      </c>
      <c r="B54" s="104">
        <f t="shared" si="1"/>
        <v>0</v>
      </c>
      <c r="C54" s="74">
        <f t="shared" si="0"/>
        <v>0</v>
      </c>
      <c r="D54" s="74">
        <f>IF($B54&gt;(SUM(C54:$C54)),IF(ISERROR($B54/$C$36),"",$B54/$C$36),0)</f>
        <v>0</v>
      </c>
      <c r="E54" s="74">
        <f>IF($B54&gt;(SUM($C54:D54)),IF(ISERROR($B54/$C$36),"",$B54/$C$36),0)</f>
        <v>0</v>
      </c>
      <c r="F54" s="74">
        <f>IF($B54&gt;(SUM($C54:E54)),IF(ISERROR($B54/$C$36),"",$B54/$C$36),0)</f>
        <v>0</v>
      </c>
      <c r="G54" s="74">
        <f>IF($B54&gt;(SUM($C54:F54)),IF(ISERROR($B54/$C$36),"",$B54/$C$36),0)</f>
        <v>0</v>
      </c>
      <c r="H54" s="74">
        <f>IF($B54&gt;(SUM($C54:G54)),IF(ISERROR($B54/$C$36),"",$B54/$C$36),0)</f>
        <v>0</v>
      </c>
      <c r="I54" s="74">
        <f>IF($B54&gt;(SUM($C54:H54)),IF(ISERROR($B54/$C$36),"",$B54/$C$36),0)</f>
        <v>0</v>
      </c>
      <c r="J54" s="74">
        <f>IF($B54&gt;(SUM($C54:I54)),IF(ISERROR($B54/$C$36),"",$B54/$C$36),0)</f>
        <v>0</v>
      </c>
      <c r="K54" s="74">
        <f>IF($B54&gt;(SUM($C54:J54)),IF(ISERROR($B54/$C$36),"",$B54/$C$36),0)</f>
        <v>0</v>
      </c>
      <c r="L54" s="74">
        <f>IF($B54&gt;(SUM($C54:K54)),IF(ISERROR($B54/$C$36),"",$B54/$C$36),0)</f>
        <v>0</v>
      </c>
      <c r="M54" s="74">
        <f t="shared" si="2"/>
        <v>0</v>
      </c>
    </row>
    <row r="55" spans="1:13" hidden="1" x14ac:dyDescent="0.25">
      <c r="A55" s="76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</row>
    <row r="56" spans="1:13" ht="18.75" x14ac:dyDescent="0.3">
      <c r="A56" s="17" t="s">
        <v>62</v>
      </c>
    </row>
    <row r="57" spans="1:13" x14ac:dyDescent="0.25">
      <c r="A57" s="5"/>
    </row>
    <row r="58" spans="1:13" x14ac:dyDescent="0.25">
      <c r="B58" s="185" t="s">
        <v>248</v>
      </c>
    </row>
    <row r="59" spans="1:13" ht="15" customHeight="1" x14ac:dyDescent="0.25">
      <c r="A59" s="169" t="s">
        <v>261</v>
      </c>
      <c r="B59" s="171">
        <v>7000</v>
      </c>
      <c r="C59" s="7"/>
      <c r="F59" s="86"/>
      <c r="G59" s="197"/>
      <c r="H59" s="197"/>
    </row>
    <row r="60" spans="1:13" ht="15" customHeight="1" x14ac:dyDescent="0.25">
      <c r="A60" s="169" t="s">
        <v>79</v>
      </c>
      <c r="B60" s="171"/>
      <c r="C60" s="189"/>
      <c r="D60" s="190"/>
      <c r="F60" s="86"/>
      <c r="G60" s="197"/>
      <c r="H60" s="197"/>
    </row>
    <row r="61" spans="1:13" ht="15" customHeight="1" x14ac:dyDescent="0.25">
      <c r="A61" s="174" t="s">
        <v>137</v>
      </c>
      <c r="B61" s="171"/>
      <c r="C61" s="173"/>
      <c r="D61" s="191"/>
      <c r="E61" s="124"/>
      <c r="F61" s="86"/>
      <c r="G61" s="197"/>
      <c r="H61" s="197"/>
    </row>
    <row r="62" spans="1:13" ht="15" customHeight="1" x14ac:dyDescent="0.25">
      <c r="A62" s="174" t="s">
        <v>138</v>
      </c>
      <c r="B62" s="171"/>
      <c r="C62" s="173"/>
      <c r="D62" s="191"/>
      <c r="F62" s="86"/>
      <c r="G62" s="197"/>
      <c r="H62" s="197"/>
    </row>
    <row r="63" spans="1:13" ht="15" customHeight="1" x14ac:dyDescent="0.25">
      <c r="A63" s="174" t="s">
        <v>139</v>
      </c>
      <c r="B63" s="171"/>
      <c r="C63" s="173"/>
      <c r="D63" s="191"/>
      <c r="F63" s="86"/>
      <c r="G63" s="197"/>
      <c r="H63" s="197"/>
    </row>
    <row r="64" spans="1:13" ht="15" customHeight="1" x14ac:dyDescent="0.25">
      <c r="A64" s="174" t="s">
        <v>140</v>
      </c>
      <c r="B64" s="171"/>
      <c r="C64" s="86"/>
      <c r="F64" s="86"/>
      <c r="G64" s="197"/>
      <c r="H64" s="197"/>
    </row>
    <row r="65" spans="1:16" ht="15" customHeight="1" x14ac:dyDescent="0.25">
      <c r="A65" s="174" t="s">
        <v>141</v>
      </c>
      <c r="B65" s="171"/>
      <c r="C65" s="86"/>
      <c r="F65" s="86"/>
      <c r="G65" s="197"/>
      <c r="H65" s="197"/>
    </row>
    <row r="66" spans="1:16" ht="15.75" customHeight="1" thickBot="1" x14ac:dyDescent="0.3">
      <c r="A66" s="174" t="s">
        <v>305</v>
      </c>
      <c r="B66" s="361">
        <v>6031</v>
      </c>
      <c r="C66" s="86"/>
      <c r="F66" s="86"/>
      <c r="G66" s="197"/>
      <c r="H66" s="197"/>
    </row>
    <row r="67" spans="1:16" ht="15.75" customHeight="1" thickBot="1" x14ac:dyDescent="0.3">
      <c r="A67" s="9" t="s">
        <v>49</v>
      </c>
      <c r="B67" s="11">
        <f>SUM(B59:B66)</f>
        <v>13031</v>
      </c>
      <c r="C67" s="19" t="str">
        <f>IF(B67=B34,"","Le total doit être égal au total du tableau précédent, veuillez modifier les chiffres")</f>
        <v/>
      </c>
      <c r="G67" s="197"/>
      <c r="H67" s="197"/>
    </row>
    <row r="68" spans="1:16" hidden="1" x14ac:dyDescent="0.25">
      <c r="A68" s="9"/>
      <c r="B68" s="78"/>
      <c r="C68" s="19"/>
    </row>
    <row r="69" spans="1:16" hidden="1" x14ac:dyDescent="0.25">
      <c r="A69" s="1" t="s">
        <v>107</v>
      </c>
      <c r="B69" s="9" t="s">
        <v>106</v>
      </c>
      <c r="C69" s="80" t="s">
        <v>173</v>
      </c>
      <c r="D69" s="81" t="s">
        <v>174</v>
      </c>
      <c r="E69" s="9" t="s">
        <v>175</v>
      </c>
      <c r="F69" s="9" t="s">
        <v>108</v>
      </c>
      <c r="G69" s="351" t="s">
        <v>167</v>
      </c>
      <c r="H69" s="351" t="s">
        <v>168</v>
      </c>
      <c r="I69" s="351" t="s">
        <v>169</v>
      </c>
      <c r="J69" s="353" t="s">
        <v>290</v>
      </c>
      <c r="K69" s="355" t="s">
        <v>291</v>
      </c>
      <c r="L69" s="348" t="s">
        <v>170</v>
      </c>
      <c r="M69" s="348" t="s">
        <v>171</v>
      </c>
      <c r="N69" s="348" t="s">
        <v>172</v>
      </c>
      <c r="O69" s="348" t="s">
        <v>288</v>
      </c>
      <c r="P69" s="348" t="s">
        <v>289</v>
      </c>
    </row>
    <row r="70" spans="1:16" hidden="1" x14ac:dyDescent="0.25">
      <c r="A70" t="s">
        <v>51</v>
      </c>
      <c r="B70" s="79">
        <f>IF(ISERROR((PMT(C61/12,D61,B61))*-1),0,(PMT(C61/12,D61,B61))*-1)</f>
        <v>0</v>
      </c>
      <c r="C70" s="78">
        <f>B70*D61</f>
        <v>0</v>
      </c>
      <c r="D70" s="81">
        <f>IF(ISERROR(B61/D61),0,B61/D61)</f>
        <v>0</v>
      </c>
      <c r="E70" s="125">
        <f>B70-D70</f>
        <v>0</v>
      </c>
      <c r="F70" s="79">
        <f>E70*D61</f>
        <v>0</v>
      </c>
      <c r="G70" s="352">
        <f>IF($D61&gt;12,$E70*12,$E70*$D61)</f>
        <v>0</v>
      </c>
      <c r="H70" s="352">
        <f>IF($D61-12&lt;0,0,IF($D61&gt;24,$E70*12,($D61-12)*$E70))</f>
        <v>0</v>
      </c>
      <c r="I70" s="352">
        <f>IF($D61-24&lt;0,0,IF($D61&gt;36,$E70*12,($D61-24)*$E70))</f>
        <v>0</v>
      </c>
      <c r="J70" s="354">
        <f>IF($D61-36&lt;0,0,IF($D61&gt;48,$E70*12,($D61-36)*$E70))</f>
        <v>0</v>
      </c>
      <c r="K70" s="356">
        <f>IF($D61-48&lt;0,0,IF($D61&gt;60,$E70*12,($D61-48)*$E70))</f>
        <v>0</v>
      </c>
      <c r="L70" s="349">
        <f>IF($D61&gt;12,$D70*12,$D70*$D61)</f>
        <v>0</v>
      </c>
      <c r="M70" s="349">
        <f>IF($D61-12&lt;0,0,IF($D61&gt;24,$D70*12,($D61-12)*$D70))</f>
        <v>0</v>
      </c>
      <c r="N70" s="349">
        <f>IF($D61-24&lt;0,0,IF($D61&gt;36,$D70*12,($D61-24)*$D70))</f>
        <v>0</v>
      </c>
      <c r="O70" s="349">
        <f>IF($D61-36&lt;0,0,IF($D61&gt;48,$D70*12,($D61-36)*$D70))</f>
        <v>0</v>
      </c>
      <c r="P70" s="349">
        <f>IF($D61-48&lt;0,0,IF($D61&gt;60,$D70*12,($D61-48)*$D70))</f>
        <v>0</v>
      </c>
    </row>
    <row r="71" spans="1:16" hidden="1" x14ac:dyDescent="0.25">
      <c r="A71" t="s">
        <v>52</v>
      </c>
      <c r="B71" s="79">
        <f t="shared" ref="B71:B72" si="12">IF(ISERROR((PMT(C62/12,D62,B62))*-1),0,(PMT(C62/12,D62,B62))*-1)</f>
        <v>0</v>
      </c>
      <c r="C71" s="78">
        <f t="shared" ref="C71:C72" si="13">B71*D62</f>
        <v>0</v>
      </c>
      <c r="D71" s="81">
        <f t="shared" ref="D71:D72" si="14">IF(ISERROR(B62/D62),0,B62/D62)</f>
        <v>0</v>
      </c>
      <c r="E71" s="125">
        <f t="shared" ref="E71:E72" si="15">B71-D71</f>
        <v>0</v>
      </c>
      <c r="F71" s="79">
        <f t="shared" ref="F71:F72" si="16">E71*D62</f>
        <v>0</v>
      </c>
      <c r="G71" s="352">
        <f>IF($D62&gt;12,$E71*12,$E71*$D62)</f>
        <v>0</v>
      </c>
      <c r="H71" s="352">
        <f>IF($D62-12&lt;0,0,IF($D62&gt;24,$E71*12,($D62-12)*$E71))</f>
        <v>0</v>
      </c>
      <c r="I71" s="352">
        <f>IF($D62-24&lt;0,0,IF($D62&gt;36,$E71*12,($D62-24)*$E71))</f>
        <v>0</v>
      </c>
      <c r="J71" s="354">
        <f>IF($D62-36&lt;0,0,IF($D62&gt;48,$E71*12,($D62-36)*$E71))</f>
        <v>0</v>
      </c>
      <c r="K71" s="356">
        <f>IF($D62-48&lt;0,0,IF($D62&gt;60,$E71*12,($D62-48)*$E71))</f>
        <v>0</v>
      </c>
      <c r="L71" s="349">
        <f>IF($D62&gt;12,$D71*12,$D71*$D62)</f>
        <v>0</v>
      </c>
      <c r="M71" s="349">
        <f>IF($D62-12&lt;0,0,IF($D62&gt;24,$D71*12,($D62-12)*$D71))</f>
        <v>0</v>
      </c>
      <c r="N71" s="349">
        <f>IF($D62-24&lt;0,0,IF($D62&gt;36,$D71*12,($D62-24)*$D71))</f>
        <v>0</v>
      </c>
      <c r="O71" s="349">
        <f t="shared" ref="O71:O72" si="17">IF($D62-36&lt;0,0,IF($D62&gt;48,$D71*12,($D62-36)*$D71))</f>
        <v>0</v>
      </c>
      <c r="P71" s="349">
        <f t="shared" ref="P71:P72" si="18">IF($D62-48&lt;0,0,IF($D62&gt;60,$D71*12,($D62-48)*$D71))</f>
        <v>0</v>
      </c>
    </row>
    <row r="72" spans="1:16" hidden="1" x14ac:dyDescent="0.25">
      <c r="A72" t="s">
        <v>53</v>
      </c>
      <c r="B72" s="79">
        <f t="shared" si="12"/>
        <v>0</v>
      </c>
      <c r="C72" s="78">
        <f t="shared" si="13"/>
        <v>0</v>
      </c>
      <c r="D72" s="81">
        <f t="shared" si="14"/>
        <v>0</v>
      </c>
      <c r="E72" s="125">
        <f t="shared" si="15"/>
        <v>0</v>
      </c>
      <c r="F72" s="79">
        <f t="shared" si="16"/>
        <v>0</v>
      </c>
      <c r="G72" s="352">
        <f>IF($D63&gt;12,$E72*12,$E72*$D63)</f>
        <v>0</v>
      </c>
      <c r="H72" s="352">
        <f>IF($D63-12&lt;0,0,IF($D63&gt;24,$E72*12,($D63-12)*$E72))</f>
        <v>0</v>
      </c>
      <c r="I72" s="352">
        <f>IF($D63-24&lt;0,0,IF($D63&gt;36,$E72*12,($D63-24)*$E72))</f>
        <v>0</v>
      </c>
      <c r="J72" s="354">
        <f>IF($D63-24&lt;0,0,IF($D63&gt;48,$E72*12,($D63-24)*$E72))</f>
        <v>0</v>
      </c>
      <c r="K72" s="356">
        <f>IF($D63-48&lt;0,0,IF($D63&gt;60,$E72*12,($D63-48)*$E72))</f>
        <v>0</v>
      </c>
      <c r="L72" s="349">
        <f>IF($D63&gt;12,$D72*12,$D72*$D63)</f>
        <v>0</v>
      </c>
      <c r="M72" s="349">
        <f>IF($D63-12&lt;0,0,IF($D63&gt;24,$D72*12,($D63-12)*$D72))</f>
        <v>0</v>
      </c>
      <c r="N72" s="349">
        <f>IF($D63-24&lt;0,0,IF($D63&gt;36,$D72*12,($D63-24)*$D72))</f>
        <v>0</v>
      </c>
      <c r="O72" s="349">
        <f t="shared" si="17"/>
        <v>0</v>
      </c>
      <c r="P72" s="349">
        <f t="shared" si="18"/>
        <v>0</v>
      </c>
    </row>
    <row r="73" spans="1:16" ht="29.25" customHeight="1" x14ac:dyDescent="0.3">
      <c r="A73" s="17" t="s">
        <v>63</v>
      </c>
      <c r="H73" s="193"/>
      <c r="I73" s="194">
        <f t="shared" ref="I73" si="19">SUM(I70:I72)</f>
        <v>0</v>
      </c>
      <c r="L73" s="350">
        <f>SUM(L70:L72)</f>
        <v>0</v>
      </c>
      <c r="M73" s="350">
        <f>SUM(M70:M72)</f>
        <v>0</v>
      </c>
      <c r="N73" s="350">
        <f>SUM(N70:N72)</f>
        <v>0</v>
      </c>
      <c r="O73" s="350">
        <f>SUM(O70:O72)</f>
        <v>0</v>
      </c>
      <c r="P73" s="350">
        <f>SUM(P70:P72)</f>
        <v>0</v>
      </c>
    </row>
    <row r="74" spans="1:16" x14ac:dyDescent="0.25">
      <c r="A74" s="5" t="s">
        <v>263</v>
      </c>
    </row>
    <row r="75" spans="1:16" x14ac:dyDescent="0.25"/>
    <row r="76" spans="1:16" x14ac:dyDescent="0.25">
      <c r="B76" s="186" t="s">
        <v>245</v>
      </c>
      <c r="C76" s="186" t="s">
        <v>246</v>
      </c>
      <c r="D76" s="186" t="s">
        <v>247</v>
      </c>
      <c r="E76" s="186" t="s">
        <v>273</v>
      </c>
      <c r="F76" s="186" t="s">
        <v>274</v>
      </c>
    </row>
    <row r="77" spans="1:16" x14ac:dyDescent="0.25">
      <c r="A77" s="169" t="s">
        <v>21</v>
      </c>
      <c r="B77" s="175">
        <v>214</v>
      </c>
      <c r="C77" s="175">
        <v>214</v>
      </c>
      <c r="D77" s="175">
        <v>214</v>
      </c>
      <c r="E77" s="175">
        <v>214</v>
      </c>
      <c r="F77" s="175">
        <v>214</v>
      </c>
    </row>
    <row r="78" spans="1:16" ht="15" customHeight="1" x14ac:dyDescent="0.25">
      <c r="A78" s="169" t="s">
        <v>22</v>
      </c>
      <c r="B78" s="175">
        <v>359.64</v>
      </c>
      <c r="C78" s="175">
        <v>719.64</v>
      </c>
      <c r="D78" s="175">
        <v>719.64</v>
      </c>
      <c r="E78" s="175">
        <v>719.64</v>
      </c>
      <c r="F78" s="175">
        <v>719.64</v>
      </c>
      <c r="G78" s="197"/>
      <c r="H78" s="197"/>
    </row>
    <row r="79" spans="1:16" ht="15" customHeight="1" x14ac:dyDescent="0.25">
      <c r="A79" s="169" t="s">
        <v>45</v>
      </c>
      <c r="B79" s="175">
        <v>192.76</v>
      </c>
      <c r="C79" s="176">
        <v>201.76</v>
      </c>
      <c r="D79" s="175">
        <v>285.76</v>
      </c>
      <c r="E79" s="175">
        <v>285.76</v>
      </c>
      <c r="F79" s="175">
        <v>285.76</v>
      </c>
      <c r="G79" s="197"/>
      <c r="H79" s="197"/>
    </row>
    <row r="80" spans="1:16" ht="15" customHeight="1" x14ac:dyDescent="0.25">
      <c r="A80" s="169" t="s">
        <v>268</v>
      </c>
      <c r="B80" s="175">
        <v>0</v>
      </c>
      <c r="C80" s="175">
        <v>0</v>
      </c>
      <c r="D80" s="175">
        <v>0</v>
      </c>
      <c r="E80" s="175">
        <v>0</v>
      </c>
      <c r="F80" s="175">
        <v>0</v>
      </c>
      <c r="G80" s="197"/>
      <c r="H80" s="197"/>
    </row>
    <row r="81" spans="1:8" ht="15" customHeight="1" x14ac:dyDescent="0.25">
      <c r="A81" s="169" t="s">
        <v>23</v>
      </c>
      <c r="B81" s="175">
        <v>480</v>
      </c>
      <c r="C81" s="175">
        <v>480</v>
      </c>
      <c r="D81" s="175">
        <v>480</v>
      </c>
      <c r="E81" s="175">
        <v>480</v>
      </c>
      <c r="F81" s="175">
        <v>480</v>
      </c>
      <c r="G81" s="197"/>
      <c r="H81" s="197"/>
    </row>
    <row r="82" spans="1:8" ht="15" customHeight="1" x14ac:dyDescent="0.25">
      <c r="A82" s="169" t="s">
        <v>6</v>
      </c>
      <c r="B82" s="175">
        <v>0</v>
      </c>
      <c r="C82" s="176">
        <v>0</v>
      </c>
      <c r="D82" s="175">
        <v>0</v>
      </c>
      <c r="E82" s="176">
        <v>0</v>
      </c>
      <c r="F82" s="175">
        <v>0</v>
      </c>
      <c r="G82" s="197"/>
      <c r="H82" s="197"/>
    </row>
    <row r="83" spans="1:8" ht="15" customHeight="1" x14ac:dyDescent="0.25">
      <c r="A83" s="169" t="s">
        <v>26</v>
      </c>
      <c r="B83" s="175">
        <v>900</v>
      </c>
      <c r="C83" s="175">
        <v>900</v>
      </c>
      <c r="D83" s="175">
        <v>900</v>
      </c>
      <c r="E83" s="175">
        <v>900</v>
      </c>
      <c r="F83" s="175">
        <v>900</v>
      </c>
      <c r="G83" s="197"/>
      <c r="H83" s="197"/>
    </row>
    <row r="84" spans="1:8" ht="15" customHeight="1" x14ac:dyDescent="0.25">
      <c r="A84" s="169" t="s">
        <v>27</v>
      </c>
      <c r="B84" s="175">
        <v>253.35</v>
      </c>
      <c r="C84" s="175">
        <v>253.35</v>
      </c>
      <c r="D84" s="175">
        <v>253.35</v>
      </c>
      <c r="E84" s="175">
        <v>253.35</v>
      </c>
      <c r="F84" s="175">
        <v>253.35</v>
      </c>
      <c r="G84" s="197"/>
      <c r="H84" s="197"/>
    </row>
    <row r="85" spans="1:8" ht="15" customHeight="1" x14ac:dyDescent="0.25">
      <c r="A85" s="169" t="s">
        <v>28</v>
      </c>
      <c r="B85" s="175">
        <v>0</v>
      </c>
      <c r="C85" s="176">
        <v>0</v>
      </c>
      <c r="D85" s="175">
        <v>0</v>
      </c>
      <c r="E85" s="176">
        <v>0</v>
      </c>
      <c r="F85" s="175">
        <v>0</v>
      </c>
      <c r="G85" s="197"/>
      <c r="H85" s="197"/>
    </row>
    <row r="86" spans="1:8" ht="15" customHeight="1" x14ac:dyDescent="0.25">
      <c r="A86" s="169" t="s">
        <v>29</v>
      </c>
      <c r="B86" s="175">
        <v>0</v>
      </c>
      <c r="C86" s="176">
        <v>0</v>
      </c>
      <c r="D86" s="175">
        <v>0</v>
      </c>
      <c r="E86" s="176">
        <v>0</v>
      </c>
      <c r="F86" s="175">
        <v>0</v>
      </c>
      <c r="G86" s="197"/>
      <c r="H86" s="197"/>
    </row>
    <row r="87" spans="1:8" ht="15.75" customHeight="1" x14ac:dyDescent="0.25">
      <c r="A87" s="169" t="s">
        <v>47</v>
      </c>
      <c r="B87" s="175">
        <v>0</v>
      </c>
      <c r="C87" s="175">
        <v>607.84</v>
      </c>
      <c r="D87" s="175">
        <v>607.84</v>
      </c>
      <c r="E87" s="175">
        <v>607.84</v>
      </c>
      <c r="F87" s="175">
        <v>607.84</v>
      </c>
      <c r="G87" s="197"/>
      <c r="H87" s="197"/>
    </row>
    <row r="88" spans="1:8" x14ac:dyDescent="0.25">
      <c r="A88" s="169" t="s">
        <v>30</v>
      </c>
      <c r="B88" s="175">
        <v>0</v>
      </c>
      <c r="C88" s="176">
        <v>0</v>
      </c>
      <c r="D88" s="175">
        <v>0</v>
      </c>
      <c r="E88" s="176">
        <v>0</v>
      </c>
      <c r="F88" s="175">
        <v>0</v>
      </c>
    </row>
    <row r="89" spans="1:8" x14ac:dyDescent="0.25">
      <c r="A89" s="169" t="s">
        <v>31</v>
      </c>
      <c r="B89" s="175">
        <v>879</v>
      </c>
      <c r="C89" s="175">
        <v>879</v>
      </c>
      <c r="D89" s="175">
        <v>879</v>
      </c>
      <c r="E89" s="175">
        <v>879</v>
      </c>
      <c r="F89" s="175">
        <v>879</v>
      </c>
    </row>
    <row r="90" spans="1:8" x14ac:dyDescent="0.25">
      <c r="A90" s="169" t="s">
        <v>32</v>
      </c>
      <c r="B90" s="175">
        <v>228.44</v>
      </c>
      <c r="C90" s="175">
        <v>228.44</v>
      </c>
      <c r="D90" s="175">
        <v>228.44</v>
      </c>
      <c r="E90" s="175">
        <v>228.44</v>
      </c>
      <c r="F90" s="175">
        <v>228.44</v>
      </c>
    </row>
    <row r="91" spans="1:8" x14ac:dyDescent="0.25">
      <c r="A91" s="169" t="s">
        <v>46</v>
      </c>
      <c r="B91" s="175">
        <v>0</v>
      </c>
      <c r="C91" s="176">
        <v>324</v>
      </c>
      <c r="D91" s="176">
        <v>324</v>
      </c>
      <c r="E91" s="176">
        <v>324</v>
      </c>
      <c r="F91" s="176">
        <v>324</v>
      </c>
      <c r="G91" s="86" t="s">
        <v>112</v>
      </c>
    </row>
    <row r="92" spans="1:8" x14ac:dyDescent="0.25">
      <c r="A92" s="170" t="s">
        <v>48</v>
      </c>
    </row>
    <row r="93" spans="1:8" x14ac:dyDescent="0.25">
      <c r="A93" s="178"/>
      <c r="B93" s="175"/>
      <c r="C93" s="176"/>
      <c r="D93" s="176"/>
      <c r="E93" s="176"/>
      <c r="F93" s="176"/>
      <c r="G93" s="86"/>
    </row>
    <row r="94" spans="1:8" x14ac:dyDescent="0.25">
      <c r="A94" s="178"/>
      <c r="B94" s="175"/>
      <c r="C94" s="176"/>
      <c r="D94" s="177"/>
      <c r="E94" s="177"/>
      <c r="F94" s="176"/>
      <c r="G94" s="86"/>
    </row>
    <row r="95" spans="1:8" x14ac:dyDescent="0.25">
      <c r="A95" s="178"/>
      <c r="B95" s="175"/>
      <c r="C95" s="176"/>
      <c r="D95" s="177"/>
      <c r="E95" s="177"/>
      <c r="F95" s="176"/>
      <c r="G95" s="86"/>
    </row>
    <row r="96" spans="1:8" ht="6" customHeight="1" thickBot="1" x14ac:dyDescent="0.3"/>
    <row r="97" spans="1:9" ht="15.75" thickBot="1" x14ac:dyDescent="0.3">
      <c r="A97" s="9" t="s">
        <v>49</v>
      </c>
      <c r="B97" s="11">
        <f>SUM(B77:B95)</f>
        <v>3507.19</v>
      </c>
      <c r="C97" s="11">
        <f>SUM(C77:C95)</f>
        <v>4808.03</v>
      </c>
      <c r="D97" s="11">
        <f>SUM(D77:D95)</f>
        <v>4892.03</v>
      </c>
      <c r="E97" s="11">
        <f>SUM(E77:E95)</f>
        <v>4892.03</v>
      </c>
      <c r="F97" s="11">
        <f>SUM(F77:F95)</f>
        <v>4892.03</v>
      </c>
    </row>
    <row r="98" spans="1:9" x14ac:dyDescent="0.25"/>
    <row r="99" spans="1:9" ht="18.75" x14ac:dyDescent="0.3">
      <c r="A99" s="17" t="s">
        <v>298</v>
      </c>
    </row>
    <row r="100" spans="1:9" x14ac:dyDescent="0.25">
      <c r="A100" s="5" t="s">
        <v>56</v>
      </c>
    </row>
    <row r="101" spans="1:9" x14ac:dyDescent="0.25"/>
    <row r="102" spans="1:9" ht="30" x14ac:dyDescent="0.25">
      <c r="A102" s="343" t="s">
        <v>293</v>
      </c>
      <c r="B102" s="13" t="s">
        <v>54</v>
      </c>
      <c r="C102" s="13" t="s">
        <v>55</v>
      </c>
      <c r="D102" s="13" t="s">
        <v>57</v>
      </c>
      <c r="F102" s="157" t="s">
        <v>294</v>
      </c>
      <c r="G102" s="13" t="s">
        <v>54</v>
      </c>
      <c r="H102" s="13" t="s">
        <v>55</v>
      </c>
      <c r="I102" s="13" t="s">
        <v>57</v>
      </c>
    </row>
    <row r="103" spans="1:9" x14ac:dyDescent="0.25">
      <c r="A103" s="12" t="s">
        <v>209</v>
      </c>
      <c r="B103" s="179">
        <v>20</v>
      </c>
      <c r="C103" s="171"/>
      <c r="D103" s="14">
        <f>B103*C103</f>
        <v>0</v>
      </c>
      <c r="F103" s="212" t="s">
        <v>209</v>
      </c>
      <c r="G103" s="179">
        <v>20</v>
      </c>
      <c r="H103" s="171"/>
      <c r="I103" s="14">
        <v>3000</v>
      </c>
    </row>
    <row r="104" spans="1:9" x14ac:dyDescent="0.25">
      <c r="A104" s="12" t="s">
        <v>210</v>
      </c>
      <c r="B104" s="179">
        <v>20</v>
      </c>
      <c r="C104" s="171"/>
      <c r="D104" s="14">
        <f t="shared" ref="D104:D114" si="20">B104*C104</f>
        <v>0</v>
      </c>
      <c r="F104" s="212" t="s">
        <v>210</v>
      </c>
      <c r="G104" s="179">
        <v>20</v>
      </c>
      <c r="H104" s="171"/>
      <c r="I104" s="14">
        <v>6000</v>
      </c>
    </row>
    <row r="105" spans="1:9" x14ac:dyDescent="0.25">
      <c r="A105" s="12" t="s">
        <v>211</v>
      </c>
      <c r="B105" s="179">
        <v>20</v>
      </c>
      <c r="C105" s="171"/>
      <c r="D105" s="14">
        <f t="shared" si="20"/>
        <v>0</v>
      </c>
      <c r="F105" s="212" t="s">
        <v>211</v>
      </c>
      <c r="G105" s="179">
        <v>20</v>
      </c>
      <c r="H105" s="171"/>
      <c r="I105" s="14">
        <v>3000</v>
      </c>
    </row>
    <row r="106" spans="1:9" x14ac:dyDescent="0.25">
      <c r="A106" s="12" t="s">
        <v>215</v>
      </c>
      <c r="B106" s="179">
        <v>20</v>
      </c>
      <c r="C106" s="171"/>
      <c r="D106" s="14">
        <f t="shared" si="20"/>
        <v>0</v>
      </c>
      <c r="F106" s="212" t="s">
        <v>215</v>
      </c>
      <c r="G106" s="179">
        <v>20</v>
      </c>
      <c r="H106" s="171"/>
      <c r="I106" s="14">
        <v>6000</v>
      </c>
    </row>
    <row r="107" spans="1:9" x14ac:dyDescent="0.25">
      <c r="A107" s="12" t="s">
        <v>217</v>
      </c>
      <c r="B107" s="179">
        <v>20</v>
      </c>
      <c r="C107" s="171"/>
      <c r="D107" s="14">
        <f t="shared" si="20"/>
        <v>0</v>
      </c>
      <c r="F107" s="212" t="s">
        <v>217</v>
      </c>
      <c r="G107" s="179">
        <v>20</v>
      </c>
      <c r="H107" s="171"/>
      <c r="I107" s="14">
        <v>3000</v>
      </c>
    </row>
    <row r="108" spans="1:9" x14ac:dyDescent="0.25">
      <c r="A108" s="12" t="s">
        <v>218</v>
      </c>
      <c r="B108" s="179">
        <v>20</v>
      </c>
      <c r="C108" s="171"/>
      <c r="D108" s="14">
        <f t="shared" si="20"/>
        <v>0</v>
      </c>
      <c r="F108" s="212" t="s">
        <v>218</v>
      </c>
      <c r="G108" s="179">
        <v>20</v>
      </c>
      <c r="H108" s="171"/>
      <c r="I108" s="14">
        <v>6000</v>
      </c>
    </row>
    <row r="109" spans="1:9" x14ac:dyDescent="0.25">
      <c r="A109" s="12" t="s">
        <v>219</v>
      </c>
      <c r="B109" s="179">
        <v>20</v>
      </c>
      <c r="C109" s="171"/>
      <c r="D109" s="14">
        <f t="shared" si="20"/>
        <v>0</v>
      </c>
      <c r="F109" s="212" t="s">
        <v>219</v>
      </c>
      <c r="G109" s="179">
        <v>20</v>
      </c>
      <c r="H109" s="171"/>
      <c r="I109" s="14">
        <v>3000</v>
      </c>
    </row>
    <row r="110" spans="1:9" x14ac:dyDescent="0.25">
      <c r="A110" s="12" t="s">
        <v>220</v>
      </c>
      <c r="B110" s="179">
        <v>20</v>
      </c>
      <c r="C110" s="171"/>
      <c r="D110" s="14">
        <f t="shared" si="20"/>
        <v>0</v>
      </c>
      <c r="F110" s="212" t="s">
        <v>220</v>
      </c>
      <c r="G110" s="179">
        <v>20</v>
      </c>
      <c r="H110" s="171"/>
      <c r="I110" s="14">
        <v>6000</v>
      </c>
    </row>
    <row r="111" spans="1:9" x14ac:dyDescent="0.25">
      <c r="A111" s="12" t="s">
        <v>221</v>
      </c>
      <c r="B111" s="179">
        <v>20</v>
      </c>
      <c r="C111" s="171"/>
      <c r="D111" s="14">
        <f t="shared" si="20"/>
        <v>0</v>
      </c>
      <c r="F111" s="212" t="s">
        <v>221</v>
      </c>
      <c r="G111" s="179">
        <v>20</v>
      </c>
      <c r="H111" s="171"/>
      <c r="I111" s="14">
        <v>3000</v>
      </c>
    </row>
    <row r="112" spans="1:9" x14ac:dyDescent="0.25">
      <c r="A112" s="12" t="s">
        <v>222</v>
      </c>
      <c r="B112" s="179">
        <v>20</v>
      </c>
      <c r="C112" s="171"/>
      <c r="D112" s="14">
        <f t="shared" si="20"/>
        <v>0</v>
      </c>
      <c r="F112" s="212" t="s">
        <v>222</v>
      </c>
      <c r="G112" s="179">
        <v>20</v>
      </c>
      <c r="H112" s="171"/>
      <c r="I112" s="14">
        <v>6000</v>
      </c>
    </row>
    <row r="113" spans="1:9" x14ac:dyDescent="0.25">
      <c r="A113" s="12" t="s">
        <v>223</v>
      </c>
      <c r="B113" s="179">
        <v>20</v>
      </c>
      <c r="C113" s="171"/>
      <c r="D113" s="14">
        <f t="shared" si="20"/>
        <v>0</v>
      </c>
      <c r="F113" s="212" t="s">
        <v>223</v>
      </c>
      <c r="G113" s="179">
        <v>20</v>
      </c>
      <c r="H113" s="171"/>
      <c r="I113" s="14">
        <v>3000</v>
      </c>
    </row>
    <row r="114" spans="1:9" ht="15.75" thickBot="1" x14ac:dyDescent="0.3">
      <c r="A114" s="12" t="s">
        <v>224</v>
      </c>
      <c r="B114" s="179">
        <v>20</v>
      </c>
      <c r="C114" s="171"/>
      <c r="D114" s="14">
        <f t="shared" si="20"/>
        <v>0</v>
      </c>
      <c r="F114" s="212" t="s">
        <v>224</v>
      </c>
      <c r="G114" s="179">
        <v>20</v>
      </c>
      <c r="H114" s="171"/>
      <c r="I114" s="14">
        <v>6000</v>
      </c>
    </row>
    <row r="115" spans="1:9" ht="15.75" thickBot="1" x14ac:dyDescent="0.3">
      <c r="A115" s="16" t="s">
        <v>49</v>
      </c>
      <c r="D115" s="15"/>
      <c r="F115" s="158" t="s">
        <v>49</v>
      </c>
      <c r="I115" s="15">
        <f>SUM(I103:I114)</f>
        <v>54000</v>
      </c>
    </row>
    <row r="116" spans="1:9" x14ac:dyDescent="0.25">
      <c r="F116" s="31"/>
    </row>
    <row r="117" spans="1:9" ht="15.75" x14ac:dyDescent="0.25">
      <c r="A117" s="2" t="s">
        <v>58</v>
      </c>
      <c r="D117" s="180">
        <v>0.1</v>
      </c>
      <c r="F117" s="159" t="s">
        <v>277</v>
      </c>
      <c r="I117" s="180">
        <v>0.1</v>
      </c>
    </row>
    <row r="118" spans="1:9" ht="15.75" x14ac:dyDescent="0.25">
      <c r="A118" s="2" t="s">
        <v>59</v>
      </c>
      <c r="D118" s="180">
        <v>0.1</v>
      </c>
      <c r="F118" s="159" t="s">
        <v>278</v>
      </c>
      <c r="I118" s="180">
        <v>0.1</v>
      </c>
    </row>
    <row r="119" spans="1:9" ht="15.75" x14ac:dyDescent="0.25">
      <c r="A119" s="2" t="s">
        <v>275</v>
      </c>
      <c r="D119" s="180">
        <v>0.1</v>
      </c>
      <c r="F119" s="159" t="s">
        <v>279</v>
      </c>
      <c r="I119" s="180">
        <v>0.1</v>
      </c>
    </row>
    <row r="120" spans="1:9" ht="15.75" x14ac:dyDescent="0.25">
      <c r="A120" s="2" t="s">
        <v>276</v>
      </c>
      <c r="D120" s="180">
        <v>0.1</v>
      </c>
      <c r="F120" s="159" t="s">
        <v>280</v>
      </c>
      <c r="I120" s="180">
        <v>0.1</v>
      </c>
    </row>
    <row r="121" spans="1:9" x14ac:dyDescent="0.25"/>
    <row r="122" spans="1:9" ht="18.75" x14ac:dyDescent="0.3">
      <c r="A122" s="17" t="s">
        <v>64</v>
      </c>
    </row>
    <row r="123" spans="1:9" ht="47.25" customHeight="1" x14ac:dyDescent="0.25">
      <c r="A123" s="372" t="s">
        <v>60</v>
      </c>
      <c r="B123" s="372"/>
      <c r="C123" s="372"/>
      <c r="D123" s="372"/>
    </row>
    <row r="124" spans="1:9" x14ac:dyDescent="0.25"/>
    <row r="125" spans="1:9" ht="15.75" x14ac:dyDescent="0.25">
      <c r="A125" s="20" t="s">
        <v>184</v>
      </c>
      <c r="D125" s="182">
        <v>0</v>
      </c>
      <c r="E125" s="127" t="s">
        <v>185</v>
      </c>
    </row>
    <row r="126" spans="1:9" x14ac:dyDescent="0.25"/>
    <row r="127" spans="1:9" ht="18.75" x14ac:dyDescent="0.3">
      <c r="A127" s="17" t="s">
        <v>68</v>
      </c>
    </row>
    <row r="128" spans="1:9" ht="18.75" customHeight="1" x14ac:dyDescent="0.3">
      <c r="A128" s="17"/>
      <c r="G128" s="204"/>
      <c r="H128" s="204"/>
    </row>
    <row r="129" spans="1:13" ht="14.25" customHeight="1" x14ac:dyDescent="0.25">
      <c r="B129" s="133"/>
      <c r="C129" s="133" t="s">
        <v>255</v>
      </c>
      <c r="D129" s="181">
        <v>15</v>
      </c>
      <c r="E129" s="127" t="s">
        <v>257</v>
      </c>
      <c r="G129" s="204"/>
      <c r="H129" s="204"/>
    </row>
    <row r="130" spans="1:13" ht="15.75" customHeight="1" x14ac:dyDescent="0.25">
      <c r="A130" s="21"/>
      <c r="C130" s="133" t="s">
        <v>256</v>
      </c>
      <c r="D130" s="181">
        <v>0</v>
      </c>
      <c r="E130" s="127" t="s">
        <v>258</v>
      </c>
      <c r="G130" s="204"/>
      <c r="H130" s="204"/>
    </row>
    <row r="131" spans="1:13" ht="15" customHeight="1" x14ac:dyDescent="0.25">
      <c r="G131" s="204"/>
      <c r="H131" s="204"/>
    </row>
    <row r="132" spans="1:13" ht="18.75" customHeight="1" x14ac:dyDescent="0.3">
      <c r="A132" s="17" t="s">
        <v>86</v>
      </c>
      <c r="G132" s="204"/>
      <c r="H132" s="204"/>
    </row>
    <row r="133" spans="1:13" ht="15" customHeight="1" x14ac:dyDescent="0.25">
      <c r="G133" s="204"/>
      <c r="H133" s="204"/>
    </row>
    <row r="134" spans="1:13" ht="15" customHeight="1" x14ac:dyDescent="0.25">
      <c r="B134" s="10" t="s">
        <v>42</v>
      </c>
      <c r="C134" s="10" t="s">
        <v>43</v>
      </c>
      <c r="D134" s="10" t="s">
        <v>44</v>
      </c>
      <c r="E134" s="10" t="s">
        <v>98</v>
      </c>
      <c r="F134" s="10" t="s">
        <v>99</v>
      </c>
      <c r="G134" s="204"/>
      <c r="H134" s="204"/>
    </row>
    <row r="135" spans="1:13" ht="15" customHeight="1" x14ac:dyDescent="0.25">
      <c r="A135" t="s">
        <v>251</v>
      </c>
      <c r="B135" s="175">
        <v>0</v>
      </c>
      <c r="C135" s="175">
        <v>28800</v>
      </c>
      <c r="D135" s="175">
        <v>28800</v>
      </c>
      <c r="E135" s="175">
        <v>28800</v>
      </c>
      <c r="F135" s="175">
        <v>28800</v>
      </c>
      <c r="G135" s="160" t="s">
        <v>236</v>
      </c>
      <c r="H135" s="204"/>
    </row>
    <row r="136" spans="1:13" ht="15" customHeight="1" x14ac:dyDescent="0.25">
      <c r="A136" t="s">
        <v>252</v>
      </c>
      <c r="B136" s="175">
        <v>0</v>
      </c>
      <c r="C136" s="176">
        <v>0</v>
      </c>
      <c r="D136" s="177">
        <v>0</v>
      </c>
      <c r="E136" s="177">
        <v>0</v>
      </c>
      <c r="F136" s="177">
        <v>0</v>
      </c>
      <c r="G136" s="160" t="s">
        <v>236</v>
      </c>
      <c r="H136" s="204"/>
    </row>
    <row r="137" spans="1:13" ht="15" customHeight="1" x14ac:dyDescent="0.25">
      <c r="G137" s="204"/>
      <c r="H137" s="204"/>
    </row>
    <row r="138" spans="1:13" ht="15.75" customHeight="1" x14ac:dyDescent="0.25">
      <c r="A138" s="21" t="s">
        <v>96</v>
      </c>
      <c r="C138" s="183" t="s">
        <v>92</v>
      </c>
      <c r="D138" s="4" t="s">
        <v>237</v>
      </c>
    </row>
    <row r="139" spans="1:13" ht="15" customHeight="1" x14ac:dyDescent="0.25">
      <c r="G139" s="200"/>
      <c r="H139" s="201"/>
    </row>
    <row r="140" spans="1:13" ht="15" hidden="1" customHeight="1" x14ac:dyDescent="0.25">
      <c r="A140" s="1" t="s">
        <v>97</v>
      </c>
      <c r="B140" s="10" t="s">
        <v>42</v>
      </c>
      <c r="C140" s="10" t="s">
        <v>43</v>
      </c>
      <c r="D140" s="10" t="s">
        <v>44</v>
      </c>
      <c r="E140" s="10" t="s">
        <v>98</v>
      </c>
      <c r="F140" s="10" t="s">
        <v>99</v>
      </c>
      <c r="H140" s="1" t="s">
        <v>295</v>
      </c>
      <c r="I140" s="340" t="s">
        <v>42</v>
      </c>
      <c r="J140" s="340" t="s">
        <v>43</v>
      </c>
      <c r="K140" s="10" t="s">
        <v>44</v>
      </c>
      <c r="L140" s="340" t="s">
        <v>98</v>
      </c>
      <c r="M140" s="10" t="s">
        <v>99</v>
      </c>
    </row>
    <row r="141" spans="1:13" ht="15" hidden="1" customHeight="1" x14ac:dyDescent="0.25">
      <c r="A141" t="s">
        <v>93</v>
      </c>
      <c r="B141" s="73">
        <f>B135*0.72</f>
        <v>0</v>
      </c>
      <c r="C141" s="73">
        <f>C135*0.72</f>
        <v>20736</v>
      </c>
      <c r="D141" s="73">
        <f>D135*0.72</f>
        <v>20736</v>
      </c>
      <c r="E141" s="73">
        <f t="shared" ref="E141:F141" si="21">E135*0.72</f>
        <v>20736</v>
      </c>
      <c r="F141" s="73">
        <f t="shared" si="21"/>
        <v>20736</v>
      </c>
      <c r="H141" t="s">
        <v>93</v>
      </c>
      <c r="I141" s="344">
        <f>B135*0.72</f>
        <v>0</v>
      </c>
      <c r="J141" s="345">
        <f>C135*0.72</f>
        <v>20736</v>
      </c>
      <c r="K141" s="73">
        <f>D135*0.72</f>
        <v>20736</v>
      </c>
      <c r="L141" s="73">
        <f t="shared" ref="L141:M141" si="22">E135*0.72</f>
        <v>20736</v>
      </c>
      <c r="M141" s="73">
        <f t="shared" si="22"/>
        <v>20736</v>
      </c>
    </row>
    <row r="142" spans="1:13" ht="15" hidden="1" customHeight="1" x14ac:dyDescent="0.25">
      <c r="A142" t="s">
        <v>1</v>
      </c>
      <c r="B142" s="72">
        <f>+'Plan financier à imprimer'!AI11*12.8%</f>
        <v>0</v>
      </c>
      <c r="C142" s="72">
        <f>+'Plan financier à imprimer'!AJ11*12.8%</f>
        <v>0</v>
      </c>
      <c r="D142" s="72">
        <f>+'Plan financier à imprimer'!AK11*12.8%</f>
        <v>0</v>
      </c>
      <c r="E142" s="72">
        <f>+'Plan financier à imprimer'!AL11*12.8%</f>
        <v>0</v>
      </c>
      <c r="F142" s="72">
        <f>+'Plan financier à imprimer'!AM11*12.8%</f>
        <v>0</v>
      </c>
      <c r="G142" s="90" t="s">
        <v>292</v>
      </c>
      <c r="H142" t="s">
        <v>1</v>
      </c>
      <c r="I142" s="202">
        <f>+'Plan financier à imprimer'!AI11*3.2%</f>
        <v>0</v>
      </c>
      <c r="J142" s="202">
        <f>+'Plan financier à imprimer'!AJ11*6.4%</f>
        <v>0</v>
      </c>
      <c r="K142" s="202">
        <f>+'Plan financier à imprimer'!AK11*9.5%</f>
        <v>0</v>
      </c>
      <c r="L142" s="72">
        <f>+'Plan financier à imprimer'!AL11*12.8%</f>
        <v>0</v>
      </c>
      <c r="M142" s="72">
        <f>+'Plan financier à imprimer'!AM11*12.8%</f>
        <v>0</v>
      </c>
    </row>
    <row r="143" spans="1:13" ht="15" hidden="1" customHeight="1" x14ac:dyDescent="0.25">
      <c r="A143" t="s">
        <v>1</v>
      </c>
      <c r="B143" s="72">
        <f>+'Plan financier à imprimer'!AI12*22%</f>
        <v>11880</v>
      </c>
      <c r="C143" s="72">
        <f>+'Plan financier à imprimer'!AJ12*22%</f>
        <v>13068</v>
      </c>
      <c r="D143" s="72">
        <f>+'Plan financier à imprimer'!AK12*22%</f>
        <v>14374.8</v>
      </c>
      <c r="E143" s="72">
        <f>+'Plan financier à imprimer'!AL12*22%</f>
        <v>15812.28</v>
      </c>
      <c r="F143" s="72">
        <f>+'Plan financier à imprimer'!AM12*22%</f>
        <v>17393.507999999998</v>
      </c>
      <c r="G143" s="90" t="s">
        <v>132</v>
      </c>
      <c r="H143" t="s">
        <v>1</v>
      </c>
      <c r="I143" s="202">
        <f>+'Plan financier à imprimer'!AI12*5.5%</f>
        <v>2970</v>
      </c>
      <c r="J143" s="202">
        <f>+'Plan financier à imprimer'!AJ12*11%</f>
        <v>6534</v>
      </c>
      <c r="K143" s="202">
        <f>+'Plan financier à imprimer'!AK12*16.5%</f>
        <v>10781.1</v>
      </c>
      <c r="L143" s="346">
        <f>+'Plan financier à imprimer'!AL12*22%</f>
        <v>15812.28</v>
      </c>
      <c r="M143" s="346">
        <f>+'Plan financier à imprimer'!AM12*22%</f>
        <v>17393.507999999998</v>
      </c>
    </row>
    <row r="144" spans="1:13" ht="15" hidden="1" customHeight="1" x14ac:dyDescent="0.25">
      <c r="A144" t="s">
        <v>115</v>
      </c>
      <c r="B144" s="72">
        <f>IF('Plan financier à imprimer'!AI53*30%&lt;1202,1202,'Plan financier à imprimer'!AI53*30%)</f>
        <v>14965.983</v>
      </c>
      <c r="C144" s="72">
        <f>IF('Plan financier à imprimer'!AJ53*30%&lt;1202,1202,'Plan financier à imprimer'!AJ53*30%)</f>
        <v>1334.9310000000012</v>
      </c>
      <c r="D144" s="72">
        <f>IF('Plan financier à imprimer'!AK53*30%&lt;1202,1202,'Plan financier à imprimer'!AK53*30%)</f>
        <v>3091.7310000000011</v>
      </c>
      <c r="E144" s="72">
        <f>IF('Plan financier à imprimer'!AL53*30%&lt;1202,1202,'Plan financier à imprimer'!AL53*30%)</f>
        <v>5051.9310000000014</v>
      </c>
      <c r="F144" s="72">
        <f>IF('Plan financier à imprimer'!AM53*30%&lt;1202,1202,'Plan financier à imprimer'!AM53*30%)</f>
        <v>7208.1509999999989</v>
      </c>
      <c r="H144" t="s">
        <v>115</v>
      </c>
      <c r="I144" s="202">
        <v>1202</v>
      </c>
      <c r="J144" s="347">
        <f>IF('Plan financier à imprimer'!AJ53*32%&lt;1202,1202,'Plan financier à imprimer'!AJ53*32%)</f>
        <v>1423.9264000000014</v>
      </c>
      <c r="K144" s="63">
        <f>IF('Plan financier à imprimer'!AK53*32%&lt;1202,1202,'Plan financier à imprimer'!AK53*32%)</f>
        <v>3297.8464000000013</v>
      </c>
      <c r="L144" s="63">
        <f>IF('Plan financier à imprimer'!AL53*32%&lt;1202,1202,'Plan financier à imprimer'!AL53*32%)</f>
        <v>5388.7264000000014</v>
      </c>
      <c r="M144" s="63">
        <f>IF('Plan financier à imprimer'!AM53*32%&lt;1202,1202,'Plan financier à imprimer'!AM53*32%)</f>
        <v>7688.6943999999994</v>
      </c>
    </row>
    <row r="145" spans="1:13" ht="15.75" hidden="1" customHeight="1" x14ac:dyDescent="0.25">
      <c r="A145" t="s">
        <v>114</v>
      </c>
      <c r="B145" s="72">
        <f>IF(B136*45%&lt;1202,1202,B136*45%)</f>
        <v>1202</v>
      </c>
      <c r="C145" s="72">
        <f>IF(C136*45%&lt;1202,1202,C136*45%)</f>
        <v>1202</v>
      </c>
      <c r="D145" s="72">
        <f>IF(D136*45%&lt;1202,1202,D136*45%)</f>
        <v>1202</v>
      </c>
      <c r="E145" s="72">
        <f>IF(E136*45%&lt;1202,1202,E136*45%)</f>
        <v>1202</v>
      </c>
      <c r="F145" s="72">
        <f>IF(F136*45%&lt;1202,1202,F136*45%)</f>
        <v>1202</v>
      </c>
      <c r="H145" t="s">
        <v>114</v>
      </c>
      <c r="I145" s="202">
        <v>1202</v>
      </c>
      <c r="J145" s="347">
        <f>IF(C136*45%&lt;1202,1202,C136*45%)</f>
        <v>1202</v>
      </c>
      <c r="K145" s="63">
        <f>IF(D136*45%&lt;1202,1202,D136*45%)</f>
        <v>1202</v>
      </c>
      <c r="L145" s="63">
        <f t="shared" ref="L145:M145" si="23">IF(E136*45%&lt;1202,1202,E136*45%)</f>
        <v>1202</v>
      </c>
      <c r="M145" s="63">
        <f t="shared" si="23"/>
        <v>1202</v>
      </c>
    </row>
    <row r="146" spans="1:13" hidden="1" x14ac:dyDescent="0.25">
      <c r="A146" t="s">
        <v>116</v>
      </c>
      <c r="B146" s="72">
        <f>IF(B136*45%&lt;1202,1202,B136*45%)</f>
        <v>1202</v>
      </c>
      <c r="C146" s="72">
        <f>IF(C136*45%&lt;1202,1202,C136*45%)</f>
        <v>1202</v>
      </c>
      <c r="D146" s="72">
        <f>IF(D136*45%&lt;1202,1202,D136*45%)</f>
        <v>1202</v>
      </c>
      <c r="E146" s="72">
        <f>IF(E136*45%&lt;1202,1202,E136*45%)</f>
        <v>1202</v>
      </c>
      <c r="F146" s="72">
        <f>IF(F136*45%&lt;1202,1202,F136*45%)</f>
        <v>1202</v>
      </c>
      <c r="H146" t="s">
        <v>116</v>
      </c>
      <c r="I146" s="202">
        <v>1202</v>
      </c>
      <c r="J146" s="347">
        <f>IF(C136*45%&lt;1202,1202,C136*45%)</f>
        <v>1202</v>
      </c>
      <c r="K146" s="63">
        <f>IF(D136*45%&lt;1202,1202,D136*45%)</f>
        <v>1202</v>
      </c>
      <c r="L146" s="63">
        <f t="shared" ref="L146:M146" si="24">IF(E136*45%&lt;1202,1202,E136*45%)</f>
        <v>1202</v>
      </c>
      <c r="M146" s="63">
        <f t="shared" si="24"/>
        <v>1202</v>
      </c>
    </row>
    <row r="147" spans="1:13" hidden="1" x14ac:dyDescent="0.25">
      <c r="A147" t="s">
        <v>117</v>
      </c>
      <c r="B147" s="72">
        <f>B136*70%</f>
        <v>0</v>
      </c>
      <c r="C147" s="72">
        <f t="shared" ref="C147:D147" si="25">C136*70%</f>
        <v>0</v>
      </c>
      <c r="D147" s="72">
        <f t="shared" si="25"/>
        <v>0</v>
      </c>
      <c r="E147" s="72">
        <f t="shared" ref="E147:F147" si="26">E136*70%</f>
        <v>0</v>
      </c>
      <c r="F147" s="72">
        <f t="shared" si="26"/>
        <v>0</v>
      </c>
      <c r="H147" t="s">
        <v>117</v>
      </c>
      <c r="I147" s="202">
        <f>B136*33%</f>
        <v>0</v>
      </c>
      <c r="J147" s="346">
        <f>C136*70%</f>
        <v>0</v>
      </c>
      <c r="K147" s="346">
        <f>D136*70%</f>
        <v>0</v>
      </c>
      <c r="L147" s="346">
        <f t="shared" ref="L147:M147" si="27">E136*70%</f>
        <v>0</v>
      </c>
      <c r="M147" s="346">
        <f t="shared" si="27"/>
        <v>0</v>
      </c>
    </row>
    <row r="148" spans="1:13" hidden="1" x14ac:dyDescent="0.25">
      <c r="A148" t="s">
        <v>118</v>
      </c>
      <c r="B148" s="72">
        <f>B136*70%</f>
        <v>0</v>
      </c>
      <c r="C148" s="72">
        <f t="shared" ref="C148:D148" si="28">C136*70%</f>
        <v>0</v>
      </c>
      <c r="D148" s="72">
        <f t="shared" si="28"/>
        <v>0</v>
      </c>
      <c r="E148" s="72">
        <f t="shared" ref="E148:F148" si="29">E136*70%</f>
        <v>0</v>
      </c>
      <c r="F148" s="72">
        <f t="shared" si="29"/>
        <v>0</v>
      </c>
      <c r="H148" t="s">
        <v>118</v>
      </c>
      <c r="I148" s="202">
        <f>B136*33%</f>
        <v>0</v>
      </c>
      <c r="J148" s="346">
        <f>C136*70%</f>
        <v>0</v>
      </c>
      <c r="K148" s="346">
        <f>D136*70%</f>
        <v>0</v>
      </c>
      <c r="L148" s="346">
        <f t="shared" ref="L148:M148" si="30">E136*70%</f>
        <v>0</v>
      </c>
      <c r="M148" s="346">
        <f t="shared" si="30"/>
        <v>0</v>
      </c>
    </row>
    <row r="149" spans="1:13" hidden="1" x14ac:dyDescent="0.25">
      <c r="A149" s="1" t="s">
        <v>113</v>
      </c>
      <c r="B149" s="73">
        <f>SUMIF($A$142:$A$148,$B$8,B142:B148)</f>
        <v>1202</v>
      </c>
      <c r="C149" s="73">
        <f>SUMIF($A$142:$A$148,$B$8,C142:C148)</f>
        <v>1202</v>
      </c>
      <c r="D149" s="73">
        <f>SUMIF($A$142:$A$148,$B$8,D142:D148)</f>
        <v>1202</v>
      </c>
      <c r="E149" s="73">
        <f t="shared" ref="E149:F149" si="31">SUMIF($A$142:$A$148,$B$8,E142:E148)</f>
        <v>1202</v>
      </c>
      <c r="F149" s="73">
        <f t="shared" si="31"/>
        <v>1202</v>
      </c>
      <c r="H149" s="1" t="s">
        <v>113</v>
      </c>
      <c r="I149" s="345">
        <f>SUMIF($A$142:$A$148,$B$8,I142:I148)</f>
        <v>1202</v>
      </c>
      <c r="J149" s="345">
        <f>SUMIF($A$142:$A$148,$B$8,J142:J148)</f>
        <v>1202</v>
      </c>
      <c r="K149" s="345">
        <f>SUMIF($A$142:$A$148,$B$8,K142:K148)</f>
        <v>1202</v>
      </c>
      <c r="L149" s="345">
        <f t="shared" ref="L149:M149" si="32">SUMIF($A$142:$A$148,$B$8,L142:L148)</f>
        <v>1202</v>
      </c>
      <c r="M149" s="345">
        <f t="shared" si="32"/>
        <v>1202</v>
      </c>
    </row>
    <row r="150" spans="1:13" hidden="1" x14ac:dyDescent="0.25">
      <c r="B150" s="58"/>
      <c r="C150" s="58"/>
      <c r="D150" s="58"/>
      <c r="G150" s="200"/>
      <c r="H150" s="201"/>
    </row>
    <row r="151" spans="1:13" ht="18.75" customHeight="1" x14ac:dyDescent="0.3">
      <c r="A151" s="17" t="s">
        <v>84</v>
      </c>
      <c r="B151" s="22"/>
      <c r="C151" s="22"/>
      <c r="D151" s="22"/>
      <c r="G151" s="204"/>
      <c r="H151" s="204"/>
    </row>
    <row r="152" spans="1:13" ht="15.75" customHeight="1" thickBot="1" x14ac:dyDescent="0.3">
      <c r="D152" s="185" t="s">
        <v>253</v>
      </c>
      <c r="G152" s="204"/>
      <c r="H152" s="204"/>
    </row>
    <row r="153" spans="1:13" ht="16.5" customHeight="1" thickBot="1" x14ac:dyDescent="0.3">
      <c r="A153" s="21" t="s">
        <v>66</v>
      </c>
      <c r="D153" s="18" t="str">
        <f>IF(ISERROR(+IF('Plan financier à imprimer'!BI21&gt;0,"Rentable","Non rentable")),"",+IF('Plan financier à imprimer'!BI21&gt;0,"Rentable","Non rentable"))</f>
        <v>Non rentable</v>
      </c>
      <c r="E153" s="192" t="str">
        <f>IF(D153="Non rentable","  Veuillez améliorer vos chiffres !","")</f>
        <v xml:space="preserve">  Veuillez améliorer vos chiffres !</v>
      </c>
      <c r="G153" s="204"/>
      <c r="H153" s="204"/>
    </row>
    <row r="154" spans="1:13" ht="15" customHeight="1" x14ac:dyDescent="0.25">
      <c r="E154" s="135"/>
      <c r="G154" s="204"/>
      <c r="H154" s="204"/>
    </row>
    <row r="155" spans="1:13" ht="18.75" customHeight="1" x14ac:dyDescent="0.3">
      <c r="A155" s="17" t="s">
        <v>85</v>
      </c>
      <c r="E155" s="135"/>
      <c r="G155" s="204"/>
      <c r="H155" s="204"/>
    </row>
    <row r="156" spans="1:13" ht="15.75" customHeight="1" thickBot="1" x14ac:dyDescent="0.3">
      <c r="D156" s="185" t="s">
        <v>253</v>
      </c>
      <c r="E156" s="135"/>
      <c r="G156" s="204"/>
      <c r="H156" s="204"/>
    </row>
    <row r="157" spans="1:13" ht="16.5" customHeight="1" thickBot="1" x14ac:dyDescent="0.3">
      <c r="A157" s="21" t="s">
        <v>67</v>
      </c>
      <c r="D157" s="18" t="str">
        <f>IF(ISERROR(IF('Plan financier à imprimer'!CR42&lt;0,"Trop faible","Adéquate")),"",+IF('Plan financier à imprimer'!CR42&lt;0,"Trop faible","Adéquate"))</f>
        <v>Adéquate</v>
      </c>
      <c r="E157" s="192" t="str">
        <f>IF(D157="Trop faible","  Prévoyez plus de trésorerie de départ !","")</f>
        <v/>
      </c>
      <c r="G157" s="204"/>
      <c r="H157" s="204"/>
    </row>
    <row r="158" spans="1:13" ht="15" customHeight="1" x14ac:dyDescent="0.25">
      <c r="E158" s="135"/>
      <c r="G158" s="204"/>
      <c r="H158" s="204"/>
    </row>
    <row r="159" spans="1:13" ht="36" customHeight="1" x14ac:dyDescent="0.4">
      <c r="A159" s="205" t="s">
        <v>267</v>
      </c>
      <c r="G159" s="204"/>
      <c r="H159" s="204"/>
    </row>
    <row r="160" spans="1:13" ht="15.75" customHeight="1" x14ac:dyDescent="0.25">
      <c r="G160" s="204"/>
      <c r="H160" s="204"/>
    </row>
    <row r="161" spans="1:1" ht="15.75" x14ac:dyDescent="0.25">
      <c r="A161" s="199"/>
    </row>
    <row r="162" spans="1:1" x14ac:dyDescent="0.25"/>
    <row r="163" spans="1:1" x14ac:dyDescent="0.25"/>
  </sheetData>
  <mergeCells count="9">
    <mergeCell ref="B6:C6"/>
    <mergeCell ref="B7:C7"/>
    <mergeCell ref="B9:C9"/>
    <mergeCell ref="B10:C10"/>
    <mergeCell ref="A123:D123"/>
    <mergeCell ref="B13:D13"/>
    <mergeCell ref="B8:C8"/>
    <mergeCell ref="B11:C11"/>
    <mergeCell ref="B12:C12"/>
  </mergeCells>
  <conditionalFormatting sqref="D153">
    <cfRule type="cellIs" dxfId="3" priority="3" operator="equal">
      <formula>"Non rentable"</formula>
    </cfRule>
    <cfRule type="containsText" dxfId="2" priority="4" operator="containsText" text="Rentable">
      <formula>NOT(ISERROR(SEARCH("Rentable",D153)))</formula>
    </cfRule>
  </conditionalFormatting>
  <conditionalFormatting sqref="D157">
    <cfRule type="cellIs" dxfId="1" priority="1" operator="equal">
      <formula>"Trop faible"</formula>
    </cfRule>
    <cfRule type="cellIs" dxfId="0" priority="2" operator="equal">
      <formula>"Adéquate"</formula>
    </cfRule>
  </conditionalFormatting>
  <dataValidations count="5">
    <dataValidation type="date" allowBlank="1" showInputMessage="1" showErrorMessage="1" sqref="B12" xr:uid="{00000000-0002-0000-0000-000000000000}">
      <formula1>40179</formula1>
      <formula2>72686</formula2>
    </dataValidation>
    <dataValidation type="list" allowBlank="1" showInputMessage="1" showErrorMessage="1" sqref="C138" xr:uid="{00000000-0002-0000-0000-000001000000}">
      <formula1>$K$3:$K$4</formula1>
    </dataValidation>
    <dataValidation type="list" allowBlank="1" showInputMessage="1" showErrorMessage="1" sqref="B13:D13" xr:uid="{00000000-0002-0000-0000-000002000000}">
      <formula1>$L$3:$L$5</formula1>
    </dataValidation>
    <dataValidation type="decimal" allowBlank="1" showInputMessage="1" showErrorMessage="1" sqref="C61:C63" xr:uid="{00000000-0002-0000-0000-000003000000}">
      <formula1>0</formula1>
      <formula2>50</formula2>
    </dataValidation>
    <dataValidation type="list" allowBlank="1" showInputMessage="1" showErrorMessage="1" sqref="B8:C8" xr:uid="{00000000-0002-0000-0000-000004000000}">
      <formula1>$J$3:$J$8</formula1>
    </dataValidation>
  </dataValidations>
  <hyperlinks>
    <hyperlink ref="B10" r:id="rId1" xr:uid="{A6E4BCD5-4BF6-4577-8D3D-F6548CFEE839}"/>
  </hyperlinks>
  <pageMargins left="0.70866141732283472" right="0.70866141732283472" top="0.74803149606299213" bottom="0.74803149606299213" header="0.31496062992125984" footer="0.31496062992125984"/>
  <pageSetup paperSize="9" scale="44" fitToHeight="2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56"/>
  <sheetViews>
    <sheetView showGridLines="0" tabSelected="1" topLeftCell="AZ13" zoomScaleNormal="100" workbookViewId="0">
      <selection activeCell="BE13" sqref="BE13"/>
    </sheetView>
  </sheetViews>
  <sheetFormatPr defaultColWidth="11.42578125" defaultRowHeight="15" customHeight="1" x14ac:dyDescent="0.25"/>
  <cols>
    <col min="1" max="1" width="2.85546875" customWidth="1"/>
    <col min="4" max="4" width="14.42578125" customWidth="1"/>
    <col min="5" max="5" width="13.5703125" customWidth="1"/>
    <col min="9" max="10" width="3.5703125" customWidth="1"/>
    <col min="11" max="15" width="11.42578125" customWidth="1"/>
    <col min="17" max="17" width="12.5703125" customWidth="1"/>
    <col min="18" max="18" width="3" customWidth="1"/>
    <col min="19" max="19" width="3.5703125" customWidth="1"/>
    <col min="20" max="22" width="11.42578125" customWidth="1"/>
    <col min="23" max="23" width="7" customWidth="1"/>
    <col min="24" max="28" width="12.85546875" customWidth="1"/>
    <col min="29" max="29" width="3" customWidth="1"/>
    <col min="30" max="30" width="3.5703125" customWidth="1"/>
    <col min="31" max="33" width="11.42578125" customWidth="1"/>
    <col min="34" max="34" width="8.85546875" customWidth="1"/>
    <col min="35" max="39" width="12.85546875" customWidth="1"/>
    <col min="40" max="40" width="3" customWidth="1"/>
    <col min="41" max="41" width="2.140625" customWidth="1"/>
    <col min="42" max="42" width="11.42578125" customWidth="1"/>
    <col min="43" max="43" width="10.85546875" customWidth="1"/>
    <col min="44" max="44" width="3" customWidth="1"/>
    <col min="45" max="45" width="12.5703125" customWidth="1"/>
    <col min="46" max="46" width="4.42578125" customWidth="1"/>
    <col min="47" max="47" width="12.5703125" customWidth="1"/>
    <col min="48" max="48" width="4.42578125" customWidth="1"/>
    <col min="49" max="49" width="12.5703125" customWidth="1"/>
    <col min="50" max="50" width="4.42578125" customWidth="1"/>
    <col min="51" max="51" width="12.5703125" customWidth="1"/>
    <col min="52" max="52" width="4.42578125" customWidth="1"/>
    <col min="53" max="53" width="12.5703125" customWidth="1"/>
    <col min="54" max="54" width="4.42578125" customWidth="1"/>
    <col min="55" max="55" width="2" customWidth="1"/>
    <col min="56" max="56" width="3.5703125" customWidth="1"/>
    <col min="57" max="58" width="11.42578125" customWidth="1"/>
    <col min="59" max="59" width="9.7109375" customWidth="1"/>
    <col min="60" max="60" width="10.140625" customWidth="1"/>
    <col min="61" max="65" width="12.85546875" customWidth="1"/>
    <col min="66" max="66" width="3" customWidth="1"/>
    <col min="67" max="67" width="3.5703125" customWidth="1"/>
    <col min="68" max="70" width="11.42578125" customWidth="1"/>
    <col min="71" max="71" width="7.5703125" customWidth="1"/>
    <col min="72" max="76" width="12.85546875" customWidth="1"/>
    <col min="77" max="77" width="3" customWidth="1"/>
    <col min="78" max="78" width="3.5703125" customWidth="1"/>
    <col min="79" max="81" width="11.42578125" customWidth="1"/>
    <col min="82" max="86" width="12.5703125" style="151" customWidth="1"/>
    <col min="87" max="87" width="3" customWidth="1"/>
    <col min="88" max="88" width="3.85546875" customWidth="1"/>
    <col min="89" max="96" width="12.5703125" customWidth="1"/>
    <col min="97" max="97" width="2.5703125" customWidth="1"/>
  </cols>
  <sheetData>
    <row r="1" spans="1:96" ht="36" customHeight="1" thickBot="1" x14ac:dyDescent="0.3">
      <c r="A1" s="426"/>
      <c r="B1" s="426"/>
      <c r="C1" s="426"/>
      <c r="D1" s="426"/>
      <c r="E1" s="426"/>
      <c r="F1" s="426"/>
      <c r="G1" s="426"/>
      <c r="H1" s="426"/>
    </row>
    <row r="2" spans="1:96" ht="15" customHeight="1" x14ac:dyDescent="0.25">
      <c r="A2" s="426"/>
      <c r="B2" s="426"/>
      <c r="C2" s="426"/>
      <c r="D2" s="426"/>
      <c r="E2" s="426"/>
      <c r="F2" s="426"/>
      <c r="G2" s="426"/>
      <c r="H2" s="426"/>
      <c r="K2" s="375" t="s">
        <v>134</v>
      </c>
      <c r="L2" s="376"/>
      <c r="M2" s="376"/>
      <c r="N2" s="376"/>
      <c r="O2" s="376"/>
      <c r="P2" s="376"/>
      <c r="Q2" s="377"/>
      <c r="T2" s="375" t="s">
        <v>144</v>
      </c>
      <c r="U2" s="376"/>
      <c r="V2" s="376"/>
      <c r="W2" s="376"/>
      <c r="X2" s="376"/>
      <c r="Y2" s="376"/>
      <c r="Z2" s="376"/>
      <c r="AA2" s="376"/>
      <c r="AB2" s="377"/>
      <c r="AE2" s="375" t="s">
        <v>281</v>
      </c>
      <c r="AF2" s="376"/>
      <c r="AG2" s="376"/>
      <c r="AH2" s="376"/>
      <c r="AI2" s="376"/>
      <c r="AJ2" s="376"/>
      <c r="AK2" s="376"/>
      <c r="AL2" s="376"/>
      <c r="AM2" s="377"/>
      <c r="AP2" s="375" t="s">
        <v>155</v>
      </c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7"/>
      <c r="BE2" s="375" t="s">
        <v>176</v>
      </c>
      <c r="BF2" s="376"/>
      <c r="BG2" s="376"/>
      <c r="BH2" s="376"/>
      <c r="BI2" s="376"/>
      <c r="BJ2" s="376"/>
      <c r="BK2" s="376"/>
      <c r="BL2" s="376"/>
      <c r="BM2" s="377"/>
      <c r="BP2" s="375" t="s">
        <v>282</v>
      </c>
      <c r="BQ2" s="376"/>
      <c r="BR2" s="376"/>
      <c r="BS2" s="376"/>
      <c r="BT2" s="376"/>
      <c r="BU2" s="376"/>
      <c r="BV2" s="376"/>
      <c r="BW2" s="376"/>
      <c r="BX2" s="377"/>
      <c r="CA2" s="375" t="s">
        <v>208</v>
      </c>
      <c r="CB2" s="376"/>
      <c r="CC2" s="376"/>
      <c r="CD2" s="376"/>
      <c r="CE2" s="376"/>
      <c r="CF2" s="376"/>
      <c r="CG2" s="376"/>
      <c r="CH2" s="377"/>
      <c r="CK2" s="375" t="s">
        <v>216</v>
      </c>
      <c r="CL2" s="376"/>
      <c r="CM2" s="376"/>
      <c r="CN2" s="376"/>
      <c r="CO2" s="376"/>
      <c r="CP2" s="376"/>
      <c r="CQ2" s="376"/>
      <c r="CR2" s="377"/>
    </row>
    <row r="3" spans="1:96" ht="31.5" customHeight="1" x14ac:dyDescent="0.25">
      <c r="A3" s="426"/>
      <c r="B3" s="426"/>
      <c r="C3" s="426"/>
      <c r="D3" s="426"/>
      <c r="E3" s="426"/>
      <c r="F3" s="426"/>
      <c r="G3" s="426"/>
      <c r="H3" s="426"/>
      <c r="K3" s="378"/>
      <c r="L3" s="379"/>
      <c r="M3" s="379"/>
      <c r="N3" s="379"/>
      <c r="O3" s="379"/>
      <c r="P3" s="379"/>
      <c r="Q3" s="380"/>
      <c r="T3" s="378"/>
      <c r="U3" s="379"/>
      <c r="V3" s="379"/>
      <c r="W3" s="379"/>
      <c r="X3" s="379"/>
      <c r="Y3" s="379"/>
      <c r="Z3" s="379"/>
      <c r="AA3" s="379"/>
      <c r="AB3" s="380"/>
      <c r="AE3" s="378"/>
      <c r="AF3" s="379"/>
      <c r="AG3" s="379"/>
      <c r="AH3" s="379"/>
      <c r="AI3" s="379"/>
      <c r="AJ3" s="379"/>
      <c r="AK3" s="379"/>
      <c r="AL3" s="379"/>
      <c r="AM3" s="380"/>
      <c r="AP3" s="378"/>
      <c r="AQ3" s="379"/>
      <c r="AR3" s="379"/>
      <c r="AS3" s="379"/>
      <c r="AT3" s="379"/>
      <c r="AU3" s="379"/>
      <c r="AV3" s="379"/>
      <c r="AW3" s="379"/>
      <c r="AX3" s="379"/>
      <c r="AY3" s="379"/>
      <c r="AZ3" s="379"/>
      <c r="BA3" s="379"/>
      <c r="BB3" s="380"/>
      <c r="BE3" s="378"/>
      <c r="BF3" s="379"/>
      <c r="BG3" s="379"/>
      <c r="BH3" s="379"/>
      <c r="BI3" s="379"/>
      <c r="BJ3" s="379"/>
      <c r="BK3" s="379"/>
      <c r="BL3" s="379"/>
      <c r="BM3" s="380"/>
      <c r="BP3" s="378"/>
      <c r="BQ3" s="379"/>
      <c r="BR3" s="379"/>
      <c r="BS3" s="379"/>
      <c r="BT3" s="379"/>
      <c r="BU3" s="379"/>
      <c r="BV3" s="379"/>
      <c r="BW3" s="379"/>
      <c r="BX3" s="380"/>
      <c r="CA3" s="378"/>
      <c r="CB3" s="379"/>
      <c r="CC3" s="379"/>
      <c r="CD3" s="379"/>
      <c r="CE3" s="379"/>
      <c r="CF3" s="379"/>
      <c r="CG3" s="379"/>
      <c r="CH3" s="380"/>
      <c r="CK3" s="378"/>
      <c r="CL3" s="379"/>
      <c r="CM3" s="379"/>
      <c r="CN3" s="379"/>
      <c r="CO3" s="379"/>
      <c r="CP3" s="379"/>
      <c r="CQ3" s="379"/>
      <c r="CR3" s="380"/>
    </row>
    <row r="4" spans="1:96" ht="15" customHeight="1" thickBot="1" x14ac:dyDescent="0.3">
      <c r="A4" s="426"/>
      <c r="B4" s="426"/>
      <c r="C4" s="426"/>
      <c r="D4" s="426"/>
      <c r="E4" s="426"/>
      <c r="F4" s="426"/>
      <c r="G4" s="426"/>
      <c r="H4" s="426"/>
      <c r="K4" s="381"/>
      <c r="L4" s="382"/>
      <c r="M4" s="382"/>
      <c r="N4" s="382"/>
      <c r="O4" s="382"/>
      <c r="P4" s="382"/>
      <c r="Q4" s="383"/>
      <c r="T4" s="381"/>
      <c r="U4" s="382"/>
      <c r="V4" s="382"/>
      <c r="W4" s="382"/>
      <c r="X4" s="382"/>
      <c r="Y4" s="382"/>
      <c r="Z4" s="382"/>
      <c r="AA4" s="382"/>
      <c r="AB4" s="383"/>
      <c r="AE4" s="381"/>
      <c r="AF4" s="382"/>
      <c r="AG4" s="382"/>
      <c r="AH4" s="382"/>
      <c r="AI4" s="382"/>
      <c r="AJ4" s="382"/>
      <c r="AK4" s="382"/>
      <c r="AL4" s="382"/>
      <c r="AM4" s="383"/>
      <c r="AP4" s="381"/>
      <c r="AQ4" s="382"/>
      <c r="AR4" s="382"/>
      <c r="AS4" s="382"/>
      <c r="AT4" s="382"/>
      <c r="AU4" s="382"/>
      <c r="AV4" s="382"/>
      <c r="AW4" s="382"/>
      <c r="AX4" s="382"/>
      <c r="AY4" s="382"/>
      <c r="AZ4" s="382"/>
      <c r="BA4" s="382"/>
      <c r="BB4" s="383"/>
      <c r="BE4" s="381"/>
      <c r="BF4" s="382"/>
      <c r="BG4" s="382"/>
      <c r="BH4" s="382"/>
      <c r="BI4" s="382"/>
      <c r="BJ4" s="382"/>
      <c r="BK4" s="382"/>
      <c r="BL4" s="382"/>
      <c r="BM4" s="383"/>
      <c r="BP4" s="381"/>
      <c r="BQ4" s="382"/>
      <c r="BR4" s="382"/>
      <c r="BS4" s="382"/>
      <c r="BT4" s="382"/>
      <c r="BU4" s="382"/>
      <c r="BV4" s="382"/>
      <c r="BW4" s="382"/>
      <c r="BX4" s="383"/>
      <c r="CA4" s="381"/>
      <c r="CB4" s="382"/>
      <c r="CC4" s="382"/>
      <c r="CD4" s="382"/>
      <c r="CE4" s="382"/>
      <c r="CF4" s="382"/>
      <c r="CG4" s="382"/>
      <c r="CH4" s="383"/>
      <c r="CK4" s="381"/>
      <c r="CL4" s="382"/>
      <c r="CM4" s="382"/>
      <c r="CN4" s="382"/>
      <c r="CO4" s="382"/>
      <c r="CP4" s="382"/>
      <c r="CQ4" s="382"/>
      <c r="CR4" s="383"/>
    </row>
    <row r="5" spans="1:96" ht="30" customHeight="1" x14ac:dyDescent="0.25">
      <c r="A5" s="426"/>
      <c r="B5" s="426"/>
      <c r="C5" s="426"/>
      <c r="D5" s="426"/>
      <c r="E5" s="426"/>
      <c r="F5" s="426"/>
      <c r="G5" s="426"/>
      <c r="H5" s="426"/>
    </row>
    <row r="6" spans="1:96" ht="15" customHeight="1" x14ac:dyDescent="0.25">
      <c r="A6" s="426"/>
      <c r="B6" s="426"/>
      <c r="C6" s="426"/>
      <c r="D6" s="426"/>
      <c r="E6" s="426"/>
      <c r="F6" s="426"/>
      <c r="G6" s="426"/>
      <c r="H6" s="426"/>
      <c r="K6" s="1" t="s">
        <v>70</v>
      </c>
      <c r="M6" s="4" t="str">
        <f>IF(ISBLANK('Données à saisir'!$B7),"",('Données à saisir'!$B7))</f>
        <v>Agence digitale Webstudio33</v>
      </c>
      <c r="T6" s="1" t="s">
        <v>70</v>
      </c>
      <c r="V6" s="4" t="str">
        <f>IF(ISBLANK('Données à saisir'!$B7),"",('Données à saisir'!$B7))</f>
        <v>Agence digitale Webstudio33</v>
      </c>
      <c r="AE6" s="1" t="s">
        <v>70</v>
      </c>
      <c r="AG6" s="4" t="str">
        <f>IF(ISBLANK('Données à saisir'!$B7),"",('Données à saisir'!$B7))</f>
        <v>Agence digitale Webstudio33</v>
      </c>
      <c r="AP6" s="1" t="s">
        <v>70</v>
      </c>
      <c r="AR6" s="4" t="str">
        <f>IF(ISBLANK('Données à saisir'!$B7),"",('Données à saisir'!$B7))</f>
        <v>Agence digitale Webstudio33</v>
      </c>
      <c r="BE6" s="1" t="s">
        <v>70</v>
      </c>
      <c r="BG6" s="4" t="str">
        <f>IF(ISBLANK('Données à saisir'!$B7),"",('Données à saisir'!$B7))</f>
        <v>Agence digitale Webstudio33</v>
      </c>
      <c r="BP6" s="1" t="s">
        <v>70</v>
      </c>
      <c r="BR6" s="4" t="str">
        <f>IF(ISBLANK('Données à saisir'!$B7),"",('Données à saisir'!$B7))</f>
        <v>Agence digitale Webstudio33</v>
      </c>
      <c r="CA6" s="1" t="s">
        <v>70</v>
      </c>
      <c r="CC6" s="4" t="str">
        <f>IF(ISBLANK('Données à saisir'!$B7),"",('Données à saisir'!$B7))</f>
        <v>Agence digitale Webstudio33</v>
      </c>
      <c r="CH6" s="150"/>
      <c r="CK6" s="1" t="s">
        <v>70</v>
      </c>
      <c r="CM6" s="4" t="str">
        <f>IF(ISBLANK('Données à saisir'!$B7),"",('Données à saisir'!$B7))</f>
        <v>Agence digitale Webstudio33</v>
      </c>
      <c r="CR6" s="150"/>
    </row>
    <row r="7" spans="1:96" ht="15" customHeight="1" x14ac:dyDescent="0.25">
      <c r="A7" s="426"/>
      <c r="B7" s="426"/>
      <c r="C7" s="426"/>
      <c r="D7" s="426"/>
      <c r="E7" s="426"/>
      <c r="F7" s="426"/>
      <c r="G7" s="426"/>
      <c r="H7" s="426"/>
      <c r="K7" s="1" t="s">
        <v>71</v>
      </c>
      <c r="M7" s="4" t="str">
        <f>IF(ISBLANK('Données à saisir'!$B6),"",('Données à saisir'!$B6))</f>
        <v>Thilly, Kilic, Draghi</v>
      </c>
      <c r="T7" s="1" t="s">
        <v>71</v>
      </c>
      <c r="V7" s="4" t="str">
        <f>IF(ISBLANK('Données à saisir'!$B6),"",('Données à saisir'!$B6))</f>
        <v>Thilly, Kilic, Draghi</v>
      </c>
      <c r="AE7" s="1" t="s">
        <v>71</v>
      </c>
      <c r="AG7" s="4" t="str">
        <f>IF(ISBLANK('Données à saisir'!$B6),"",('Données à saisir'!$B6))</f>
        <v>Thilly, Kilic, Draghi</v>
      </c>
      <c r="AP7" s="1" t="s">
        <v>71</v>
      </c>
      <c r="AR7" s="4" t="str">
        <f>IF(ISBLANK('Données à saisir'!$B6),"",('Données à saisir'!$B6))</f>
        <v>Thilly, Kilic, Draghi</v>
      </c>
      <c r="BE7" s="1" t="s">
        <v>71</v>
      </c>
      <c r="BG7" s="4" t="str">
        <f>IF(ISBLANK('Données à saisir'!$B6),"",('Données à saisir'!$B6))</f>
        <v>Thilly, Kilic, Draghi</v>
      </c>
      <c r="BP7" s="1" t="s">
        <v>71</v>
      </c>
      <c r="BR7" s="4" t="str">
        <f>IF(ISBLANK('Données à saisir'!$B6),"",('Données à saisir'!$B6))</f>
        <v>Thilly, Kilic, Draghi</v>
      </c>
      <c r="CA7" s="1" t="s">
        <v>71</v>
      </c>
      <c r="CC7" s="4" t="str">
        <f>IF(ISBLANK('Données à saisir'!$B6),"",('Données à saisir'!$B6))</f>
        <v>Thilly, Kilic, Draghi</v>
      </c>
      <c r="CD7"/>
      <c r="CK7" s="1" t="s">
        <v>71</v>
      </c>
      <c r="CM7" s="4" t="str">
        <f>IF(ISBLANK('Données à saisir'!$B6),"",('Données à saisir'!$B6))</f>
        <v>Thilly, Kilic, Draghi</v>
      </c>
    </row>
    <row r="8" spans="1:96" ht="54" customHeight="1" x14ac:dyDescent="0.25">
      <c r="A8" s="426"/>
      <c r="B8" s="426"/>
      <c r="C8" s="426"/>
      <c r="D8" s="426"/>
      <c r="E8" s="426"/>
      <c r="F8" s="426"/>
      <c r="G8" s="426"/>
      <c r="H8" s="426"/>
      <c r="T8" s="1"/>
      <c r="AI8" s="406" t="s">
        <v>42</v>
      </c>
      <c r="AJ8" s="384" t="s">
        <v>43</v>
      </c>
      <c r="AK8" s="408" t="s">
        <v>44</v>
      </c>
      <c r="AL8" s="384" t="s">
        <v>98</v>
      </c>
      <c r="AM8" s="386" t="s">
        <v>99</v>
      </c>
    </row>
    <row r="9" spans="1:96" ht="15" customHeight="1" x14ac:dyDescent="0.25">
      <c r="A9" s="426"/>
      <c r="B9" s="426"/>
      <c r="C9" s="426"/>
      <c r="D9" s="426"/>
      <c r="E9" s="426"/>
      <c r="F9" s="426"/>
      <c r="G9" s="426"/>
      <c r="H9" s="426"/>
      <c r="K9" s="415" t="s">
        <v>135</v>
      </c>
      <c r="L9" s="416"/>
      <c r="M9" s="416"/>
      <c r="N9" s="416"/>
      <c r="O9" s="416"/>
      <c r="P9" s="416"/>
      <c r="Q9" s="413" t="s">
        <v>76</v>
      </c>
      <c r="U9" s="1" t="s">
        <v>145</v>
      </c>
      <c r="X9" t="str">
        <f>C34</f>
        <v>EURL (IS)</v>
      </c>
      <c r="AE9" s="59"/>
      <c r="AI9" s="407"/>
      <c r="AJ9" s="385"/>
      <c r="AK9" s="409"/>
      <c r="AL9" s="385"/>
      <c r="AM9" s="387"/>
      <c r="BI9" s="399" t="s">
        <v>42</v>
      </c>
      <c r="BJ9" s="384" t="s">
        <v>43</v>
      </c>
      <c r="BK9" s="392" t="s">
        <v>44</v>
      </c>
      <c r="BL9" s="384" t="s">
        <v>98</v>
      </c>
      <c r="BM9" s="386" t="s">
        <v>99</v>
      </c>
    </row>
    <row r="10" spans="1:96" ht="15" customHeight="1" x14ac:dyDescent="0.25">
      <c r="K10" s="418"/>
      <c r="L10" s="419"/>
      <c r="M10" s="419"/>
      <c r="N10" s="419"/>
      <c r="O10" s="419"/>
      <c r="P10" s="419"/>
      <c r="Q10" s="414"/>
      <c r="U10" s="1" t="s">
        <v>238</v>
      </c>
      <c r="X10" t="str">
        <f>IF(ISBLANK('Données à saisir'!C138),"",'Données à saisir'!C138)</f>
        <v>Non</v>
      </c>
      <c r="AE10" s="60" t="s">
        <v>125</v>
      </c>
      <c r="AF10" s="61"/>
      <c r="AG10" s="61"/>
      <c r="AH10" s="61"/>
      <c r="AI10" s="232">
        <f>SUM(AI11:AI12)</f>
        <v>54000</v>
      </c>
      <c r="AJ10" s="232">
        <f t="shared" ref="AJ10:AK10" si="0">SUM(AJ11:AJ12)</f>
        <v>59400</v>
      </c>
      <c r="AK10" s="258">
        <f t="shared" si="0"/>
        <v>65340</v>
      </c>
      <c r="AL10" s="232">
        <f t="shared" ref="AL10:AM10" si="1">SUM(AL11:AL12)</f>
        <v>71874</v>
      </c>
      <c r="AM10" s="261">
        <f t="shared" si="1"/>
        <v>79061.399999999994</v>
      </c>
      <c r="BE10" s="59"/>
      <c r="BI10" s="401"/>
      <c r="BJ10" s="385"/>
      <c r="BK10" s="393"/>
      <c r="BL10" s="385"/>
      <c r="BM10" s="387"/>
    </row>
    <row r="11" spans="1:96" ht="15" customHeight="1" thickBot="1" x14ac:dyDescent="0.35">
      <c r="K11" s="38"/>
      <c r="L11" s="39"/>
      <c r="M11" s="39"/>
      <c r="N11" s="39"/>
      <c r="O11" s="39"/>
      <c r="P11" s="39"/>
      <c r="Q11" s="45"/>
      <c r="U11" s="1" t="s">
        <v>283</v>
      </c>
      <c r="X11" t="str">
        <f>IF(X9="sas (is)","Assimilé-salarié",IF(X9="sasu (is)","Assimilé-salarié","Travailleur non salarié"))</f>
        <v>Travailleur non salarié</v>
      </c>
      <c r="AE11" s="53" t="s">
        <v>123</v>
      </c>
      <c r="AF11" s="52"/>
      <c r="AG11" s="52"/>
      <c r="AH11" s="52"/>
      <c r="AI11" s="236">
        <f>'Données à saisir'!D115</f>
        <v>0</v>
      </c>
      <c r="AJ11" s="236">
        <f>AI11+AI11*'Données à saisir'!D117</f>
        <v>0</v>
      </c>
      <c r="AK11" s="341">
        <f>AJ11+AJ11*'Données à saisir'!D118</f>
        <v>0</v>
      </c>
      <c r="AL11" s="236">
        <f>AK11+AK11*'Données à saisir'!D119</f>
        <v>0</v>
      </c>
      <c r="AM11" s="306">
        <f>AL11+AL11*'Données à saisir'!D120</f>
        <v>0</v>
      </c>
      <c r="AS11" s="406" t="s">
        <v>42</v>
      </c>
      <c r="AT11" s="423" t="s">
        <v>166</v>
      </c>
      <c r="AU11" s="384" t="s">
        <v>43</v>
      </c>
      <c r="AV11" s="423" t="s">
        <v>166</v>
      </c>
      <c r="AW11" s="384" t="s">
        <v>44</v>
      </c>
      <c r="AX11" s="390" t="s">
        <v>166</v>
      </c>
      <c r="AY11" s="384" t="s">
        <v>98</v>
      </c>
      <c r="AZ11" s="390" t="s">
        <v>166</v>
      </c>
      <c r="BA11" s="384" t="s">
        <v>99</v>
      </c>
      <c r="BB11" s="394" t="s">
        <v>166</v>
      </c>
      <c r="BE11" s="60" t="s">
        <v>193</v>
      </c>
      <c r="BF11" s="61"/>
      <c r="BG11" s="61"/>
      <c r="BH11" s="61"/>
      <c r="BI11" s="232">
        <v>27000</v>
      </c>
      <c r="BJ11" s="232">
        <f>AJ10</f>
        <v>59400</v>
      </c>
      <c r="BK11" s="258">
        <f>AK10</f>
        <v>65340</v>
      </c>
      <c r="BL11" s="232">
        <f>AL10</f>
        <v>71874</v>
      </c>
      <c r="BM11" s="261">
        <f>AM10</f>
        <v>79061.399999999994</v>
      </c>
      <c r="CA11" s="163" t="s">
        <v>241</v>
      </c>
    </row>
    <row r="12" spans="1:96" ht="15" customHeight="1" thickTop="1" x14ac:dyDescent="0.25">
      <c r="B12" s="28"/>
      <c r="C12" s="29"/>
      <c r="D12" s="29"/>
      <c r="E12" s="29"/>
      <c r="F12" s="29"/>
      <c r="G12" s="29"/>
      <c r="H12" s="30"/>
      <c r="K12" s="43" t="s">
        <v>75</v>
      </c>
      <c r="L12" s="23"/>
      <c r="M12" s="23"/>
      <c r="N12" s="23"/>
      <c r="O12" s="23"/>
      <c r="P12" s="23"/>
      <c r="Q12" s="303">
        <f>SUM(Q14:Q23)</f>
        <v>1531</v>
      </c>
      <c r="AE12" s="53" t="s">
        <v>124</v>
      </c>
      <c r="AF12" s="52"/>
      <c r="AG12" s="52"/>
      <c r="AH12" s="52"/>
      <c r="AI12" s="236">
        <f>'Données à saisir'!I115</f>
        <v>54000</v>
      </c>
      <c r="AJ12" s="236">
        <f>AI12+AI12*'Données à saisir'!I117</f>
        <v>59400</v>
      </c>
      <c r="AK12" s="341">
        <f>AJ12+AJ12*'Données à saisir'!I118</f>
        <v>65340</v>
      </c>
      <c r="AL12" s="236">
        <f>AK12+AK12*'Données à saisir'!I119</f>
        <v>71874</v>
      </c>
      <c r="AM12" s="306">
        <f>AL12+AL12*'Données à saisir'!I120</f>
        <v>79061.399999999994</v>
      </c>
      <c r="AP12" s="59"/>
      <c r="AS12" s="422"/>
      <c r="AT12" s="424"/>
      <c r="AU12" s="389"/>
      <c r="AV12" s="424"/>
      <c r="AW12" s="389"/>
      <c r="AX12" s="391"/>
      <c r="AY12" s="389"/>
      <c r="AZ12" s="391"/>
      <c r="BA12" s="389"/>
      <c r="BB12" s="395"/>
      <c r="BE12" s="111" t="s">
        <v>81</v>
      </c>
      <c r="BF12" s="52"/>
      <c r="BG12" s="52"/>
      <c r="BH12" s="52"/>
      <c r="BI12" s="250">
        <f>AS16</f>
        <v>0</v>
      </c>
      <c r="BJ12" s="250">
        <f>AU16</f>
        <v>0</v>
      </c>
      <c r="BK12" s="255">
        <f>AW16</f>
        <v>0</v>
      </c>
      <c r="BL12" s="250">
        <f>AY16</f>
        <v>0</v>
      </c>
      <c r="BM12" s="262">
        <f>BA16</f>
        <v>0</v>
      </c>
      <c r="BT12" s="399" t="s">
        <v>42</v>
      </c>
      <c r="BU12" s="384" t="s">
        <v>43</v>
      </c>
      <c r="BV12" s="392" t="s">
        <v>44</v>
      </c>
      <c r="BW12" s="384" t="s">
        <v>98</v>
      </c>
      <c r="BX12" s="386" t="s">
        <v>99</v>
      </c>
    </row>
    <row r="13" spans="1:96" ht="15" customHeight="1" thickBot="1" x14ac:dyDescent="0.3">
      <c r="B13" s="31"/>
      <c r="C13" s="23"/>
      <c r="D13" s="23"/>
      <c r="E13" s="23"/>
      <c r="F13" s="23"/>
      <c r="G13" s="23"/>
      <c r="H13" s="32"/>
      <c r="K13" s="43"/>
      <c r="L13" s="23"/>
      <c r="M13" s="23"/>
      <c r="N13" s="23"/>
      <c r="O13" s="23"/>
      <c r="P13" s="23"/>
      <c r="Q13" s="303"/>
      <c r="AE13" s="53"/>
      <c r="AF13" s="52"/>
      <c r="AG13" s="52"/>
      <c r="AH13" s="52"/>
      <c r="AI13" s="236"/>
      <c r="AJ13" s="236"/>
      <c r="AK13" s="341"/>
      <c r="AL13" s="236"/>
      <c r="AM13" s="306"/>
      <c r="AP13" s="59"/>
      <c r="AS13" s="113"/>
      <c r="AT13" s="365"/>
      <c r="AU13" s="362"/>
      <c r="AV13" s="363"/>
      <c r="AW13" s="362"/>
      <c r="AX13" s="363"/>
      <c r="AY13" s="362"/>
      <c r="AZ13" s="363"/>
      <c r="BA13" s="362"/>
      <c r="BB13" s="364"/>
      <c r="BE13" s="111" t="s">
        <v>306</v>
      </c>
      <c r="BF13" s="52"/>
      <c r="BG13" s="52"/>
      <c r="BH13" s="52"/>
      <c r="BI13" s="250"/>
      <c r="BJ13" s="250">
        <v>2000</v>
      </c>
      <c r="BK13" s="250">
        <v>2000</v>
      </c>
      <c r="BL13" s="250">
        <v>2000</v>
      </c>
      <c r="BM13" s="250">
        <v>2000</v>
      </c>
      <c r="BT13" s="400"/>
      <c r="BU13" s="389"/>
      <c r="BV13" s="402"/>
      <c r="BW13" s="389"/>
      <c r="BX13" s="388"/>
    </row>
    <row r="14" spans="1:96" ht="15" customHeight="1" x14ac:dyDescent="0.25">
      <c r="B14" s="31"/>
      <c r="C14" s="23"/>
      <c r="D14" s="23"/>
      <c r="E14" s="23"/>
      <c r="F14" s="23"/>
      <c r="G14" s="23"/>
      <c r="H14" s="32"/>
      <c r="K14" s="47" t="str">
        <f>'Données à saisir'!A17</f>
        <v xml:space="preserve">Frais d’établissement </v>
      </c>
      <c r="L14" s="23"/>
      <c r="M14" s="23"/>
      <c r="N14" s="23"/>
      <c r="O14" s="23"/>
      <c r="P14" s="23"/>
      <c r="Q14" s="304">
        <f>IF(ISBLANK('Données à saisir'!B17),"",'Données à saisir'!B17)</f>
        <v>1140</v>
      </c>
      <c r="X14" s="82" t="s">
        <v>42</v>
      </c>
      <c r="Y14" s="84" t="s">
        <v>43</v>
      </c>
      <c r="Z14" s="112" t="s">
        <v>44</v>
      </c>
      <c r="AA14" s="206" t="s">
        <v>98</v>
      </c>
      <c r="AB14" s="209" t="s">
        <v>99</v>
      </c>
      <c r="AE14" s="42" t="s">
        <v>126</v>
      </c>
      <c r="AF14" s="52"/>
      <c r="AG14" s="52"/>
      <c r="AH14" s="52"/>
      <c r="AI14" s="241">
        <f>AI15</f>
        <v>0</v>
      </c>
      <c r="AJ14" s="241">
        <f>AJ15</f>
        <v>0</v>
      </c>
      <c r="AK14" s="242">
        <f>AK15</f>
        <v>0</v>
      </c>
      <c r="AL14" s="241">
        <f>AL15</f>
        <v>0</v>
      </c>
      <c r="AM14" s="243">
        <f>AM15</f>
        <v>0</v>
      </c>
      <c r="AP14" s="333" t="s">
        <v>156</v>
      </c>
      <c r="AQ14" s="108"/>
      <c r="AR14" s="108"/>
      <c r="AS14" s="323">
        <f>AI10</f>
        <v>54000</v>
      </c>
      <c r="AT14" s="307">
        <v>1</v>
      </c>
      <c r="AU14" s="323">
        <f>AJ10</f>
        <v>59400</v>
      </c>
      <c r="AV14" s="312">
        <v>1</v>
      </c>
      <c r="AW14" s="323">
        <f>AK10</f>
        <v>65340</v>
      </c>
      <c r="AX14" s="312">
        <v>1</v>
      </c>
      <c r="AY14" s="323">
        <f>+AL10</f>
        <v>71874</v>
      </c>
      <c r="AZ14" s="312">
        <v>1</v>
      </c>
      <c r="BA14" s="323">
        <f>+AM10</f>
        <v>79061.399999999994</v>
      </c>
      <c r="BB14" s="318">
        <v>1</v>
      </c>
      <c r="BE14" s="111" t="s">
        <v>177</v>
      </c>
      <c r="BF14" s="52"/>
      <c r="BG14" s="52"/>
      <c r="BH14" s="52"/>
      <c r="BI14" s="250">
        <f>BI12</f>
        <v>0</v>
      </c>
      <c r="BJ14" s="250">
        <f>BJ12</f>
        <v>0</v>
      </c>
      <c r="BK14" s="255">
        <f>BK12</f>
        <v>0</v>
      </c>
      <c r="BL14" s="250">
        <f>BL12</f>
        <v>0</v>
      </c>
      <c r="BM14" s="262">
        <f>BM12</f>
        <v>0</v>
      </c>
      <c r="BP14" s="59"/>
      <c r="BT14" s="401"/>
      <c r="BU14" s="385"/>
      <c r="BV14" s="393"/>
      <c r="BW14" s="385"/>
      <c r="BX14" s="387"/>
      <c r="CD14" s="399" t="s">
        <v>209</v>
      </c>
      <c r="CE14" s="384" t="s">
        <v>210</v>
      </c>
      <c r="CF14" s="384" t="s">
        <v>211</v>
      </c>
      <c r="CG14" s="384" t="s">
        <v>215</v>
      </c>
      <c r="CH14" s="404" t="s">
        <v>217</v>
      </c>
      <c r="CK14" s="399" t="s">
        <v>218</v>
      </c>
      <c r="CL14" s="384" t="s">
        <v>219</v>
      </c>
      <c r="CM14" s="384" t="s">
        <v>220</v>
      </c>
      <c r="CN14" s="384" t="s">
        <v>221</v>
      </c>
      <c r="CO14" s="384" t="s">
        <v>222</v>
      </c>
      <c r="CP14" s="384" t="s">
        <v>223</v>
      </c>
      <c r="CQ14" s="392" t="s">
        <v>224</v>
      </c>
      <c r="CR14" s="396" t="s">
        <v>49</v>
      </c>
    </row>
    <row r="15" spans="1:96" ht="15" customHeight="1" x14ac:dyDescent="0.25">
      <c r="B15" s="410" t="s">
        <v>272</v>
      </c>
      <c r="C15" s="411"/>
      <c r="D15" s="411"/>
      <c r="E15" s="411"/>
      <c r="F15" s="411"/>
      <c r="G15" s="411"/>
      <c r="H15" s="412"/>
      <c r="K15" s="47" t="str">
        <f>'Données à saisir'!A18</f>
        <v>Frais d’ouverture de compteurs</v>
      </c>
      <c r="L15" s="23"/>
      <c r="M15" s="23"/>
      <c r="N15" s="23"/>
      <c r="O15" s="23"/>
      <c r="P15" s="23"/>
      <c r="Q15" s="304">
        <f>IF(ISBLANK('Données à saisir'!B18),"",'Données à saisir'!B18)</f>
        <v>0</v>
      </c>
      <c r="T15" s="59"/>
      <c r="X15" s="83"/>
      <c r="Y15" s="85"/>
      <c r="Z15" s="213"/>
      <c r="AA15" s="207"/>
      <c r="AB15" s="211"/>
      <c r="AE15" s="53" t="s">
        <v>81</v>
      </c>
      <c r="AF15" s="52"/>
      <c r="AG15" s="52"/>
      <c r="AH15" s="52"/>
      <c r="AI15" s="236">
        <f>'Données à saisir'!$D$125*'Plan financier à imprimer'!AI11</f>
        <v>0</v>
      </c>
      <c r="AJ15" s="236">
        <f>'Données à saisir'!$D$125*'Plan financier à imprimer'!AJ11</f>
        <v>0</v>
      </c>
      <c r="AK15" s="341">
        <f>'Données à saisir'!$D$125*'Plan financier à imprimer'!AK11</f>
        <v>0</v>
      </c>
      <c r="AL15" s="236">
        <f>'Données à saisir'!$D$125*'Plan financier à imprimer'!AL11</f>
        <v>0</v>
      </c>
      <c r="AM15" s="306">
        <f>'Données à saisir'!$D$125*'Plan financier à imprimer'!AM11</f>
        <v>0</v>
      </c>
      <c r="AP15" s="334" t="s">
        <v>157</v>
      </c>
      <c r="AQ15" s="52"/>
      <c r="AR15" s="52"/>
      <c r="AS15" s="324">
        <f>AI10</f>
        <v>54000</v>
      </c>
      <c r="AT15" s="308">
        <v>1</v>
      </c>
      <c r="AU15" s="324">
        <f>AJ10</f>
        <v>59400</v>
      </c>
      <c r="AV15" s="313">
        <v>1</v>
      </c>
      <c r="AW15" s="324">
        <f>AK10</f>
        <v>65340</v>
      </c>
      <c r="AX15" s="313">
        <v>1</v>
      </c>
      <c r="AY15" s="324">
        <f>+AL10</f>
        <v>71874</v>
      </c>
      <c r="AZ15" s="313">
        <v>1</v>
      </c>
      <c r="BA15" s="324">
        <f>+AM10</f>
        <v>79061.399999999994</v>
      </c>
      <c r="BB15" s="319">
        <v>1</v>
      </c>
      <c r="BE15" s="111" t="s">
        <v>178</v>
      </c>
      <c r="BF15" s="52"/>
      <c r="BG15" s="52"/>
      <c r="BH15" s="52"/>
      <c r="BI15" s="241">
        <f>BI11-BI14</f>
        <v>27000</v>
      </c>
      <c r="BJ15" s="241">
        <f>BJ11-BJ14 + BJ13</f>
        <v>61400</v>
      </c>
      <c r="BK15" s="241">
        <f t="shared" ref="BK15:BM15" si="2">BK11-BK14 + BK13</f>
        <v>67340</v>
      </c>
      <c r="BL15" s="241">
        <f t="shared" si="2"/>
        <v>73874</v>
      </c>
      <c r="BM15" s="241">
        <f t="shared" si="2"/>
        <v>81061.399999999994</v>
      </c>
      <c r="BP15" s="147" t="s">
        <v>200</v>
      </c>
      <c r="BQ15" s="61"/>
      <c r="BR15" s="61"/>
      <c r="BS15" s="61"/>
      <c r="BT15" s="282">
        <f>Q12+Q24</f>
        <v>3031</v>
      </c>
      <c r="BU15" s="232"/>
      <c r="BV15" s="233"/>
      <c r="BW15" s="234"/>
      <c r="BX15" s="235"/>
      <c r="CA15" s="59"/>
      <c r="CD15" s="401"/>
      <c r="CE15" s="385"/>
      <c r="CF15" s="385"/>
      <c r="CG15" s="385"/>
      <c r="CH15" s="405"/>
      <c r="CK15" s="401"/>
      <c r="CL15" s="385"/>
      <c r="CM15" s="385"/>
      <c r="CN15" s="385"/>
      <c r="CO15" s="385"/>
      <c r="CP15" s="385"/>
      <c r="CQ15" s="393"/>
      <c r="CR15" s="397"/>
    </row>
    <row r="16" spans="1:96" ht="15" customHeight="1" x14ac:dyDescent="0.25">
      <c r="B16" s="410"/>
      <c r="C16" s="411"/>
      <c r="D16" s="411"/>
      <c r="E16" s="411"/>
      <c r="F16" s="411"/>
      <c r="G16" s="411"/>
      <c r="H16" s="412"/>
      <c r="K16" s="47" t="str">
        <f>'Données à saisir'!A19</f>
        <v>Logiciels, formations</v>
      </c>
      <c r="L16" s="23"/>
      <c r="M16" s="23"/>
      <c r="N16" s="23"/>
      <c r="O16" s="23"/>
      <c r="P16" s="23"/>
      <c r="Q16" s="304">
        <f>IF(ISBLANK('Données à saisir'!B19),"",'Données à saisir'!B19)</f>
        <v>391</v>
      </c>
      <c r="T16" s="60" t="s">
        <v>149</v>
      </c>
      <c r="U16" s="61"/>
      <c r="V16" s="61"/>
      <c r="W16" s="61"/>
      <c r="X16" s="232">
        <f>'Données à saisir'!B136</f>
        <v>0</v>
      </c>
      <c r="Y16" s="232">
        <f>'Données à saisir'!C136</f>
        <v>0</v>
      </c>
      <c r="Z16" s="233">
        <f>'Données à saisir'!D136</f>
        <v>0</v>
      </c>
      <c r="AA16" s="234">
        <f>'Données à saisir'!E136</f>
        <v>0</v>
      </c>
      <c r="AB16" s="235">
        <f>'Données à saisir'!F136</f>
        <v>0</v>
      </c>
      <c r="AE16" s="70"/>
      <c r="AF16" s="52"/>
      <c r="AG16" s="52"/>
      <c r="AH16" s="52"/>
      <c r="AI16" s="236"/>
      <c r="AJ16" s="236"/>
      <c r="AK16" s="342"/>
      <c r="AL16" s="236"/>
      <c r="AM16" s="306"/>
      <c r="AP16" s="335" t="s">
        <v>81</v>
      </c>
      <c r="AQ16" s="52"/>
      <c r="AR16" s="52"/>
      <c r="AS16" s="324">
        <f>AI15</f>
        <v>0</v>
      </c>
      <c r="AT16" s="360">
        <f>AS16/$AS$15</f>
        <v>0</v>
      </c>
      <c r="AU16" s="324">
        <f>AJ15</f>
        <v>0</v>
      </c>
      <c r="AV16" s="309">
        <f>AU16/$AU$15</f>
        <v>0</v>
      </c>
      <c r="AW16" s="324">
        <f>AK15</f>
        <v>0</v>
      </c>
      <c r="AX16" s="315">
        <f>AW16/$AW$15</f>
        <v>0</v>
      </c>
      <c r="AY16" s="324">
        <f>+AL15</f>
        <v>0</v>
      </c>
      <c r="AZ16" s="315">
        <f>AY16/$AW$15</f>
        <v>0</v>
      </c>
      <c r="BA16" s="324">
        <f>+AM15</f>
        <v>0</v>
      </c>
      <c r="BB16" s="320">
        <f>BA16/$AW$15</f>
        <v>0</v>
      </c>
      <c r="BE16" s="66" t="s">
        <v>194</v>
      </c>
      <c r="BF16" s="67"/>
      <c r="BG16" s="67"/>
      <c r="BH16" s="67"/>
      <c r="BI16" s="256">
        <f>IF(ISERROR(BI15/BI11),0,BI15/BI11)</f>
        <v>1</v>
      </c>
      <c r="BJ16" s="256">
        <f>IF(ISERROR(BJ15/BJ11),0,BJ15/BJ11)</f>
        <v>1.0336700336700337</v>
      </c>
      <c r="BK16" s="259">
        <f>IF(ISERROR(BK15/BK11),0,BK15/BK11)</f>
        <v>1.0306091215182125</v>
      </c>
      <c r="BL16" s="256">
        <f>IF(ISERROR(BL15/BL11),0,BL15/BL11)</f>
        <v>1.0278264741074659</v>
      </c>
      <c r="BM16" s="263">
        <f>IF(ISERROR(BM15/BM11),0,BM15/BM11)</f>
        <v>1.0252967946431508</v>
      </c>
      <c r="BP16" s="111" t="s">
        <v>271</v>
      </c>
      <c r="BQ16" s="52"/>
      <c r="BR16" s="52"/>
      <c r="BS16" s="52"/>
      <c r="BT16" s="250">
        <f>Q31</f>
        <v>0</v>
      </c>
      <c r="BU16" s="250"/>
      <c r="BV16" s="255"/>
      <c r="BW16" s="250"/>
      <c r="BX16" s="262"/>
      <c r="CA16" s="149" t="s">
        <v>201</v>
      </c>
      <c r="CB16" s="61"/>
      <c r="CC16" s="61"/>
      <c r="CD16" s="282">
        <f>BT20</f>
        <v>7000</v>
      </c>
      <c r="CE16" s="282"/>
      <c r="CF16" s="282"/>
      <c r="CG16" s="282"/>
      <c r="CH16" s="287"/>
      <c r="CK16" s="290"/>
      <c r="CL16" s="282"/>
      <c r="CM16" s="282"/>
      <c r="CN16" s="282"/>
      <c r="CO16" s="282"/>
      <c r="CP16" s="282"/>
      <c r="CQ16" s="291"/>
      <c r="CR16" s="292">
        <f t="shared" ref="CR16:CR19" si="3">SUM(CD16:CQ16)</f>
        <v>7000</v>
      </c>
    </row>
    <row r="17" spans="2:96" ht="15" customHeight="1" x14ac:dyDescent="0.25">
      <c r="B17" s="410"/>
      <c r="C17" s="411"/>
      <c r="D17" s="411"/>
      <c r="E17" s="411"/>
      <c r="F17" s="411"/>
      <c r="G17" s="411"/>
      <c r="H17" s="412"/>
      <c r="K17" s="47" t="str">
        <f>'Données à saisir'!A20</f>
        <v>Dépôt marque, brevet, modèle</v>
      </c>
      <c r="L17" s="23"/>
      <c r="M17" s="23"/>
      <c r="N17" s="23"/>
      <c r="O17" s="23"/>
      <c r="P17" s="23"/>
      <c r="Q17" s="304">
        <f>IF(ISBLANK('Données à saisir'!B20),"",'Données à saisir'!B20)</f>
        <v>0</v>
      </c>
      <c r="T17" s="53"/>
      <c r="U17" s="88" t="s">
        <v>146</v>
      </c>
      <c r="V17" s="52"/>
      <c r="W17" s="52"/>
      <c r="X17" s="236"/>
      <c r="Y17" s="237" t="str">
        <f>IF(ISERROR((Y16-X16)/X16),"",(Y16-X16)/X16)</f>
        <v/>
      </c>
      <c r="Z17" s="238" t="str">
        <f>IF(ISERROR((Z16-Y16)/Y16),"",(Z16-Y16)/Y16)</f>
        <v/>
      </c>
      <c r="AA17" s="239" t="str">
        <f>IF(ISERROR((AA16-Z16)/Z16),"",(AA16-Z16)/Z16)</f>
        <v/>
      </c>
      <c r="AB17" s="240" t="str">
        <f>IF(ISERROR((AB16-AA16)/AA16),"",(AB16-AA16)/AA16)</f>
        <v/>
      </c>
      <c r="AE17" s="66" t="s">
        <v>127</v>
      </c>
      <c r="AF17" s="67"/>
      <c r="AG17" s="67"/>
      <c r="AH17" s="67"/>
      <c r="AI17" s="68">
        <f>AI10-AI14</f>
        <v>54000</v>
      </c>
      <c r="AJ17" s="68">
        <f>AJ10-AJ14</f>
        <v>59400</v>
      </c>
      <c r="AK17" s="115">
        <f>AK10-AK14</f>
        <v>65340</v>
      </c>
      <c r="AL17" s="68">
        <f>AL10-AL14</f>
        <v>71874</v>
      </c>
      <c r="AM17" s="69">
        <f>AM10-AM14</f>
        <v>79061.399999999994</v>
      </c>
      <c r="AP17" s="336" t="s">
        <v>159</v>
      </c>
      <c r="AQ17" s="67"/>
      <c r="AR17" s="67"/>
      <c r="AS17" s="325">
        <f>AS15-AS16</f>
        <v>54000</v>
      </c>
      <c r="AT17" s="310">
        <f t="shared" ref="AT17:AT29" si="4">AS17/$AS$15</f>
        <v>1</v>
      </c>
      <c r="AU17" s="325">
        <f t="shared" ref="AU17:AW17" si="5">AU15-AU16</f>
        <v>59400</v>
      </c>
      <c r="AV17" s="314">
        <f t="shared" ref="AV17" si="6">AU17/$AU$15</f>
        <v>1</v>
      </c>
      <c r="AW17" s="325">
        <f t="shared" si="5"/>
        <v>65340</v>
      </c>
      <c r="AX17" s="314">
        <f>AW17/AW15</f>
        <v>1</v>
      </c>
      <c r="AY17" s="325">
        <f t="shared" ref="AY17" si="7">AY15-AY16</f>
        <v>71874</v>
      </c>
      <c r="AZ17" s="314">
        <f>AY17/AY15</f>
        <v>1</v>
      </c>
      <c r="BA17" s="325">
        <f t="shared" ref="BA17" si="8">BA15-BA16</f>
        <v>79061.399999999994</v>
      </c>
      <c r="BB17" s="321">
        <f>BA17/BA15</f>
        <v>1</v>
      </c>
      <c r="BE17" s="111" t="s">
        <v>179</v>
      </c>
      <c r="BF17" s="52"/>
      <c r="BG17" s="52"/>
      <c r="BH17" s="52"/>
      <c r="BI17" s="250">
        <v>35017.19</v>
      </c>
      <c r="BJ17" s="250">
        <f>SUM(AU18,AU20,AU21,AU23,AU25)</f>
        <v>56152.229999999996</v>
      </c>
      <c r="BK17" s="253">
        <f>SUM(AW18,AW20,AW21,AW23,AW25)</f>
        <v>56236.229999999996</v>
      </c>
      <c r="BL17" s="250">
        <f>SUM(AY18,AY20,AY21,AY23,AY25)</f>
        <v>56236.229999999996</v>
      </c>
      <c r="BM17" s="262">
        <f>SUM(BA18,BA20,BA21,BA23,BA25)</f>
        <v>56236.229999999996</v>
      </c>
      <c r="BP17" s="111" t="s">
        <v>198</v>
      </c>
      <c r="BQ17" s="52"/>
      <c r="BR17" s="52"/>
      <c r="BS17" s="52"/>
      <c r="BT17" s="250">
        <f>BI40</f>
        <v>1109.5890410958905</v>
      </c>
      <c r="BU17" s="250">
        <f>BJ40-BI40</f>
        <v>1331.5068493150684</v>
      </c>
      <c r="BV17" s="255">
        <f>+BK40-BJ40</f>
        <v>244.10958904109611</v>
      </c>
      <c r="BW17" s="250">
        <f t="shared" ref="BW17:BX17" si="9">+BL40-BK40</f>
        <v>268.52054794520564</v>
      </c>
      <c r="BX17" s="262">
        <f t="shared" si="9"/>
        <v>295.37260273972515</v>
      </c>
      <c r="CA17" s="111" t="s">
        <v>202</v>
      </c>
      <c r="CB17" s="52"/>
      <c r="CC17" s="52"/>
      <c r="CD17" s="250">
        <f>BT21</f>
        <v>0</v>
      </c>
      <c r="CE17" s="250"/>
      <c r="CF17" s="250"/>
      <c r="CG17" s="250"/>
      <c r="CH17" s="262"/>
      <c r="CK17" s="293"/>
      <c r="CL17" s="250"/>
      <c r="CM17" s="250"/>
      <c r="CN17" s="250"/>
      <c r="CO17" s="250"/>
      <c r="CP17" s="250"/>
      <c r="CQ17" s="253"/>
      <c r="CR17" s="294">
        <f t="shared" si="3"/>
        <v>0</v>
      </c>
    </row>
    <row r="18" spans="2:96" ht="15" customHeight="1" x14ac:dyDescent="0.25">
      <c r="B18" s="410"/>
      <c r="C18" s="411"/>
      <c r="D18" s="411"/>
      <c r="E18" s="411"/>
      <c r="F18" s="411"/>
      <c r="G18" s="411"/>
      <c r="H18" s="412"/>
      <c r="K18" s="47" t="str">
        <f>'Données à saisir'!A21</f>
        <v>Droits d’entrée</v>
      </c>
      <c r="L18" s="23"/>
      <c r="M18" s="23"/>
      <c r="N18" s="23"/>
      <c r="O18" s="23"/>
      <c r="P18" s="23"/>
      <c r="Q18" s="304">
        <f>IF(ISBLANK('Données à saisir'!B21),"",'Données à saisir'!B21)</f>
        <v>0</v>
      </c>
      <c r="T18" s="42" t="s">
        <v>150</v>
      </c>
      <c r="U18" s="52"/>
      <c r="V18" s="52"/>
      <c r="W18" s="52"/>
      <c r="X18" s="241">
        <v>0</v>
      </c>
      <c r="Y18" s="241">
        <v>0</v>
      </c>
      <c r="Z18" s="242">
        <v>0</v>
      </c>
      <c r="AA18" s="241">
        <v>0</v>
      </c>
      <c r="AB18" s="243">
        <v>0</v>
      </c>
      <c r="AE18" s="42" t="s">
        <v>128</v>
      </c>
      <c r="AF18" s="52"/>
      <c r="AG18" s="52"/>
      <c r="AH18" s="52"/>
      <c r="AI18" s="241">
        <f>SUM(AI19:AI34)</f>
        <v>3278.75</v>
      </c>
      <c r="AJ18" s="241">
        <f>SUM(AJ19:AJ34)</f>
        <v>4255.59</v>
      </c>
      <c r="AK18" s="300">
        <f>SUM(AK19:AK34)</f>
        <v>4339.59</v>
      </c>
      <c r="AL18" s="241">
        <f>SUM(AL19:AL34)</f>
        <v>4339.59</v>
      </c>
      <c r="AM18" s="243">
        <f>SUM(AM19:AM34)</f>
        <v>4339.59</v>
      </c>
      <c r="AP18" s="335" t="s">
        <v>82</v>
      </c>
      <c r="AQ18" s="52"/>
      <c r="AR18" s="52"/>
      <c r="AS18" s="324">
        <f>AI18</f>
        <v>3278.75</v>
      </c>
      <c r="AT18" s="309">
        <f t="shared" si="4"/>
        <v>6.0717592592592594E-2</v>
      </c>
      <c r="AU18" s="324">
        <f>AJ18</f>
        <v>4255.59</v>
      </c>
      <c r="AV18" s="315">
        <f>AU18/AU$15</f>
        <v>7.16429292929293E-2</v>
      </c>
      <c r="AW18" s="324">
        <f>AK18</f>
        <v>4339.59</v>
      </c>
      <c r="AX18" s="315">
        <f t="shared" ref="AX18:AX29" si="10">AW18/AW$15</f>
        <v>6.6415518824609734E-2</v>
      </c>
      <c r="AY18" s="324">
        <f>+AL18</f>
        <v>4339.59</v>
      </c>
      <c r="AZ18" s="315">
        <f t="shared" ref="AZ18:AZ29" si="11">AY18/AY$15</f>
        <v>6.0377744386008854E-2</v>
      </c>
      <c r="BA18" s="324">
        <f>+AM18</f>
        <v>4339.59</v>
      </c>
      <c r="BB18" s="320">
        <f t="shared" ref="BB18:BB29" si="12">BA18/BA$15</f>
        <v>5.488885853273532E-2</v>
      </c>
      <c r="BE18" s="66" t="s">
        <v>195</v>
      </c>
      <c r="BF18" s="67"/>
      <c r="BG18" s="67"/>
      <c r="BH18" s="67"/>
      <c r="BI18" s="251">
        <f>BI12+BI17</f>
        <v>35017.19</v>
      </c>
      <c r="BJ18" s="251">
        <f>BJ12+BJ17</f>
        <v>56152.229999999996</v>
      </c>
      <c r="BK18" s="254">
        <f>BK12+BK17</f>
        <v>56236.229999999996</v>
      </c>
      <c r="BL18" s="251">
        <f>BL12+BL17</f>
        <v>56236.229999999996</v>
      </c>
      <c r="BM18" s="264">
        <f>BM12+BM17</f>
        <v>56236.229999999996</v>
      </c>
      <c r="BP18" s="111" t="s">
        <v>199</v>
      </c>
      <c r="BQ18" s="52"/>
      <c r="BR18" s="52"/>
      <c r="BS18" s="52"/>
      <c r="BT18" s="250">
        <f>AS46</f>
        <v>0</v>
      </c>
      <c r="BU18" s="250">
        <f>AU46</f>
        <v>0</v>
      </c>
      <c r="BV18" s="255">
        <f>AW46</f>
        <v>0</v>
      </c>
      <c r="BW18" s="250">
        <f>AY46</f>
        <v>0</v>
      </c>
      <c r="BX18" s="262">
        <f>BA46</f>
        <v>0</v>
      </c>
      <c r="CA18" s="111" t="s">
        <v>203</v>
      </c>
      <c r="CB18" s="52"/>
      <c r="CC18" s="52"/>
      <c r="CD18" s="250">
        <f>BT22</f>
        <v>0</v>
      </c>
      <c r="CE18" s="250"/>
      <c r="CF18" s="250"/>
      <c r="CG18" s="250"/>
      <c r="CH18" s="262"/>
      <c r="CK18" s="293"/>
      <c r="CL18" s="250"/>
      <c r="CM18" s="250"/>
      <c r="CN18" s="250"/>
      <c r="CO18" s="250"/>
      <c r="CP18" s="250"/>
      <c r="CQ18" s="253"/>
      <c r="CR18" s="294">
        <f t="shared" si="3"/>
        <v>0</v>
      </c>
    </row>
    <row r="19" spans="2:96" ht="15" customHeight="1" x14ac:dyDescent="0.25">
      <c r="B19" s="410"/>
      <c r="C19" s="411"/>
      <c r="D19" s="411"/>
      <c r="E19" s="411"/>
      <c r="F19" s="411"/>
      <c r="G19" s="411"/>
      <c r="H19" s="412"/>
      <c r="K19" s="47" t="str">
        <f>'Données à saisir'!A22</f>
        <v>Achat fonds de commerce ou parts</v>
      </c>
      <c r="L19" s="23"/>
      <c r="M19" s="23"/>
      <c r="N19" s="23"/>
      <c r="O19" s="23"/>
      <c r="P19" s="23"/>
      <c r="Q19" s="304">
        <f>IF(ISBLANK('Données à saisir'!B22),"",'Données à saisir'!B22)</f>
        <v>0</v>
      </c>
      <c r="T19" s="42"/>
      <c r="U19" s="52"/>
      <c r="V19" s="52"/>
      <c r="W19" s="52"/>
      <c r="X19" s="241"/>
      <c r="Y19" s="241"/>
      <c r="Z19" s="242"/>
      <c r="AA19" s="241"/>
      <c r="AB19" s="243"/>
      <c r="AE19" s="47" t="str">
        <f>'Données à saisir'!A77</f>
        <v>Assurances</v>
      </c>
      <c r="AF19" s="52"/>
      <c r="AG19" s="52"/>
      <c r="AH19" s="52"/>
      <c r="AI19" s="236">
        <f>IF(ISBLANK('Données à saisir'!B77),0,'Données à saisir'!B77)</f>
        <v>214</v>
      </c>
      <c r="AJ19" s="236">
        <f>IF(ISBLANK('Données à saisir'!C77),0,'Données à saisir'!C77)</f>
        <v>214</v>
      </c>
      <c r="AK19" s="341">
        <f>IF(ISBLANK('Données à saisir'!D77),0,'Données à saisir'!D77)</f>
        <v>214</v>
      </c>
      <c r="AL19" s="236">
        <f>IF(ISBLANK('Données à saisir'!E77),0,'Données à saisir'!E77)</f>
        <v>214</v>
      </c>
      <c r="AM19" s="306">
        <f>IF(ISBLANK('Données à saisir'!F77),0,'Données à saisir'!F77)</f>
        <v>214</v>
      </c>
      <c r="AP19" s="336" t="s">
        <v>129</v>
      </c>
      <c r="AQ19" s="67"/>
      <c r="AR19" s="67"/>
      <c r="AS19" s="325">
        <f>AS17-AS18</f>
        <v>50721.25</v>
      </c>
      <c r="AT19" s="310">
        <f t="shared" si="4"/>
        <v>0.93928240740740743</v>
      </c>
      <c r="AU19" s="325">
        <f t="shared" ref="AU19:AW19" si="13">AU17-AU18</f>
        <v>55144.41</v>
      </c>
      <c r="AV19" s="314">
        <f t="shared" ref="AV19:AV29" si="14">AU19/AU$15</f>
        <v>0.92835707070707074</v>
      </c>
      <c r="AW19" s="325">
        <f t="shared" si="13"/>
        <v>61000.41</v>
      </c>
      <c r="AX19" s="314">
        <f t="shared" si="10"/>
        <v>0.93358448117539028</v>
      </c>
      <c r="AY19" s="325">
        <f t="shared" ref="AY19" si="15">AY17-AY18</f>
        <v>67534.41</v>
      </c>
      <c r="AZ19" s="314">
        <f t="shared" si="11"/>
        <v>0.93962225561399115</v>
      </c>
      <c r="BA19" s="325">
        <f t="shared" ref="BA19" si="16">BA17-BA18</f>
        <v>74721.81</v>
      </c>
      <c r="BB19" s="321">
        <f t="shared" si="12"/>
        <v>0.94511114146726471</v>
      </c>
      <c r="BE19" s="111" t="s">
        <v>180</v>
      </c>
      <c r="BF19" s="52"/>
      <c r="BG19" s="52"/>
      <c r="BH19" s="52"/>
      <c r="BI19" s="250">
        <f>AI45</f>
        <v>48684.61</v>
      </c>
      <c r="BJ19" s="250">
        <f>AJ45</f>
        <v>3247.7700000000032</v>
      </c>
      <c r="BK19" s="253">
        <f>AK45</f>
        <v>9103.7700000000023</v>
      </c>
      <c r="BL19" s="250">
        <f>AL45</f>
        <v>15637.770000000002</v>
      </c>
      <c r="BM19" s="262">
        <f>AM45</f>
        <v>22825.17</v>
      </c>
      <c r="BP19" s="66" t="s">
        <v>197</v>
      </c>
      <c r="BQ19" s="67"/>
      <c r="BR19" s="67"/>
      <c r="BS19" s="67"/>
      <c r="BT19" s="283">
        <f>SUM(BT15:BT18)</f>
        <v>4140.5890410958909</v>
      </c>
      <c r="BU19" s="284">
        <f>SUM(BU15:BU18)</f>
        <v>1331.5068493150684</v>
      </c>
      <c r="BV19" s="285">
        <f>SUM(BV15:BV18)</f>
        <v>244.10958904109611</v>
      </c>
      <c r="BW19" s="284">
        <f>SUM(BW15:BW18)</f>
        <v>268.52054794520564</v>
      </c>
      <c r="BX19" s="286">
        <f>SUM(BX15:BX18)</f>
        <v>295.37260273972515</v>
      </c>
      <c r="CA19" s="111" t="s">
        <v>204</v>
      </c>
      <c r="CB19" s="52"/>
      <c r="CC19" s="52"/>
      <c r="CD19" s="250">
        <f>BT23</f>
        <v>6031</v>
      </c>
      <c r="CE19" s="250"/>
      <c r="CF19" s="250"/>
      <c r="CG19" s="250"/>
      <c r="CH19" s="262"/>
      <c r="CK19" s="293"/>
      <c r="CL19" s="250"/>
      <c r="CM19" s="250"/>
      <c r="CN19" s="250"/>
      <c r="CO19" s="250"/>
      <c r="CP19" s="250"/>
      <c r="CQ19" s="253"/>
      <c r="CR19" s="294">
        <f t="shared" si="3"/>
        <v>6031</v>
      </c>
    </row>
    <row r="20" spans="2:96" ht="15" customHeight="1" x14ac:dyDescent="0.25">
      <c r="B20" s="410"/>
      <c r="C20" s="411"/>
      <c r="D20" s="411"/>
      <c r="E20" s="411"/>
      <c r="F20" s="411"/>
      <c r="G20" s="411"/>
      <c r="H20" s="412"/>
      <c r="K20" s="47" t="str">
        <f>'Données à saisir'!A23</f>
        <v>Droit au bail</v>
      </c>
      <c r="L20" s="23"/>
      <c r="M20" s="23"/>
      <c r="N20" s="23"/>
      <c r="O20" s="23"/>
      <c r="P20" s="23"/>
      <c r="Q20" s="304">
        <f>IF(ISBLANK('Données à saisir'!B23),"",'Données à saisir'!B23)</f>
        <v>0</v>
      </c>
      <c r="T20" s="60" t="s">
        <v>147</v>
      </c>
      <c r="U20" s="61"/>
      <c r="V20" s="61"/>
      <c r="W20" s="61"/>
      <c r="X20" s="232">
        <f>'Données à saisir'!B135</f>
        <v>0</v>
      </c>
      <c r="Y20" s="232">
        <f>'Données à saisir'!C135</f>
        <v>28800</v>
      </c>
      <c r="Z20" s="232">
        <f>'Données à saisir'!D135</f>
        <v>28800</v>
      </c>
      <c r="AA20" s="232">
        <f>'Données à saisir'!E135</f>
        <v>28800</v>
      </c>
      <c r="AB20" s="245">
        <f>'Données à saisir'!F135</f>
        <v>28800</v>
      </c>
      <c r="AE20" s="47" t="str">
        <f>'Données à saisir'!A78</f>
        <v>Téléphone, internet</v>
      </c>
      <c r="AF20" s="52"/>
      <c r="AG20" s="52"/>
      <c r="AH20" s="52"/>
      <c r="AI20" s="236">
        <f>IF(ISBLANK('Données à saisir'!B78),0,'Données à saisir'!B78)</f>
        <v>359.64</v>
      </c>
      <c r="AJ20" s="236">
        <f>IF(ISBLANK('Données à saisir'!C78),0,'Données à saisir'!C78)</f>
        <v>719.64</v>
      </c>
      <c r="AK20" s="341">
        <f>IF(ISBLANK('Données à saisir'!D78),0,'Données à saisir'!D78)</f>
        <v>719.64</v>
      </c>
      <c r="AL20" s="236">
        <f>IF(ISBLANK('Données à saisir'!E78),0,'Données à saisir'!E78)</f>
        <v>719.64</v>
      </c>
      <c r="AM20" s="306">
        <f>IF(ISBLANK('Données à saisir'!F78),0,'Données à saisir'!F78)</f>
        <v>719.64</v>
      </c>
      <c r="AP20" s="334" t="s">
        <v>83</v>
      </c>
      <c r="AQ20" s="55"/>
      <c r="AR20" s="55"/>
      <c r="AS20" s="324">
        <f>AI37</f>
        <v>0</v>
      </c>
      <c r="AT20" s="309">
        <f t="shared" si="4"/>
        <v>0</v>
      </c>
      <c r="AU20" s="324">
        <f>AJ37</f>
        <v>324</v>
      </c>
      <c r="AV20" s="315">
        <f t="shared" si="14"/>
        <v>5.454545454545455E-3</v>
      </c>
      <c r="AW20" s="324">
        <f>AK37</f>
        <v>324</v>
      </c>
      <c r="AX20" s="315">
        <f t="shared" si="10"/>
        <v>4.9586776859504135E-3</v>
      </c>
      <c r="AY20" s="324">
        <f>+AL37</f>
        <v>324</v>
      </c>
      <c r="AZ20" s="315">
        <f t="shared" si="11"/>
        <v>4.5078888054094664E-3</v>
      </c>
      <c r="BA20" s="324">
        <f>+AM37</f>
        <v>324</v>
      </c>
      <c r="BB20" s="320">
        <f t="shared" si="12"/>
        <v>4.0980807321904242E-3</v>
      </c>
      <c r="BE20" s="66" t="s">
        <v>196</v>
      </c>
      <c r="BF20" s="67"/>
      <c r="BG20" s="67"/>
      <c r="BH20" s="67"/>
      <c r="BI20" s="251">
        <f>IF(ISERROR(BI1/BI16),0,BI17/BI16)</f>
        <v>35017.19</v>
      </c>
      <c r="BJ20" s="251">
        <f t="shared" ref="BJ20:BK20" si="17">IF(ISERROR(BJ17/BJ16),0,BJ17/BJ16)</f>
        <v>54323.16713355048</v>
      </c>
      <c r="BK20" s="254">
        <f t="shared" si="17"/>
        <v>54566.012298782291</v>
      </c>
      <c r="BL20" s="251">
        <f t="shared" ref="BL20:BM20" si="18">IF(ISERROR(BL17/BL16),0,BL17/BL16)</f>
        <v>54713.739543276388</v>
      </c>
      <c r="BM20" s="264">
        <f t="shared" si="18"/>
        <v>54848.732868196203</v>
      </c>
      <c r="BP20" s="111" t="s">
        <v>201</v>
      </c>
      <c r="BQ20" s="52"/>
      <c r="BR20" s="52"/>
      <c r="BS20" s="52"/>
      <c r="BT20" s="250">
        <f>Q38</f>
        <v>7000</v>
      </c>
      <c r="BU20" s="250"/>
      <c r="BV20" s="253"/>
      <c r="BW20" s="250"/>
      <c r="BX20" s="262"/>
      <c r="CA20" s="149" t="s">
        <v>212</v>
      </c>
      <c r="CB20" s="108"/>
      <c r="CC20" s="108"/>
      <c r="CD20" s="249">
        <f>'Données à saisir'!D103</f>
        <v>0</v>
      </c>
      <c r="CE20" s="249">
        <f>'Données à saisir'!D104</f>
        <v>0</v>
      </c>
      <c r="CF20" s="249">
        <f>'Données à saisir'!D105</f>
        <v>0</v>
      </c>
      <c r="CG20" s="249">
        <f>'Données à saisir'!D106</f>
        <v>0</v>
      </c>
      <c r="CH20" s="288">
        <f>'Données à saisir'!D107</f>
        <v>0</v>
      </c>
      <c r="CK20" s="295">
        <f>'Données à saisir'!D108</f>
        <v>0</v>
      </c>
      <c r="CL20" s="249">
        <f>'Données à saisir'!D109</f>
        <v>0</v>
      </c>
      <c r="CM20" s="249">
        <f>'Données à saisir'!D110</f>
        <v>0</v>
      </c>
      <c r="CN20" s="249">
        <f>'Données à saisir'!D111</f>
        <v>0</v>
      </c>
      <c r="CO20" s="249">
        <f>'Données à saisir'!D112</f>
        <v>0</v>
      </c>
      <c r="CP20" s="249">
        <f>'Données à saisir'!D113</f>
        <v>0</v>
      </c>
      <c r="CQ20" s="296">
        <f>'Données à saisir'!D114</f>
        <v>0</v>
      </c>
      <c r="CR20" s="297">
        <f>SUM(CD20:CQ20)</f>
        <v>0</v>
      </c>
    </row>
    <row r="21" spans="2:96" ht="15" customHeight="1" x14ac:dyDescent="0.25">
      <c r="B21" s="410"/>
      <c r="C21" s="411"/>
      <c r="D21" s="411"/>
      <c r="E21" s="411"/>
      <c r="F21" s="411"/>
      <c r="G21" s="411"/>
      <c r="H21" s="412"/>
      <c r="K21" s="47" t="str">
        <f>'Données à saisir'!A24</f>
        <v>Caution ou dépôt de garantie</v>
      </c>
      <c r="L21" s="23"/>
      <c r="M21" s="23"/>
      <c r="N21" s="23"/>
      <c r="O21" s="23"/>
      <c r="P21" s="23"/>
      <c r="Q21" s="304">
        <f>IF(ISBLANK('Données à saisir'!B24),"",'Données à saisir'!B24)</f>
        <v>0</v>
      </c>
      <c r="T21" s="53"/>
      <c r="U21" s="88" t="s">
        <v>146</v>
      </c>
      <c r="V21" s="52"/>
      <c r="W21" s="52"/>
      <c r="X21" s="236"/>
      <c r="Y21" s="237" t="str">
        <f>IF(ISERROR((Y20-X20)/X20),"",(Y20-X20)/X20)</f>
        <v/>
      </c>
      <c r="Z21" s="237">
        <f>IF(ISERROR((Z20-Y20)/Y20),"",(Z20-Y20)/Y20)</f>
        <v>0</v>
      </c>
      <c r="AA21" s="237">
        <f>IF(ISERROR((AA20-Z20)/Z20),"",(AA20-Z20)/Z20)</f>
        <v>0</v>
      </c>
      <c r="AB21" s="246">
        <f>IF(ISERROR((AB20-AA20)/AA20),"",(AB20-AA20)/AA20)</f>
        <v>0</v>
      </c>
      <c r="AE21" s="47" t="str">
        <f>'Données à saisir'!A79</f>
        <v>Autres abonnements</v>
      </c>
      <c r="AF21" s="52"/>
      <c r="AG21" s="52"/>
      <c r="AH21" s="52"/>
      <c r="AI21" s="236">
        <f>IF(ISBLANK('Données à saisir'!B79),0,'Données à saisir'!B79)</f>
        <v>192.76</v>
      </c>
      <c r="AJ21" s="236">
        <f>IF(ISBLANK('Données à saisir'!C79),0,'Données à saisir'!C79)</f>
        <v>201.76</v>
      </c>
      <c r="AK21" s="341">
        <f>IF(ISBLANK('Données à saisir'!D79),0,'Données à saisir'!D79)</f>
        <v>285.76</v>
      </c>
      <c r="AL21" s="236">
        <f>IF(ISBLANK('Données à saisir'!E79),0,'Données à saisir'!E79)</f>
        <v>285.76</v>
      </c>
      <c r="AM21" s="306">
        <f>IF(ISBLANK('Données à saisir'!F79),0,'Données à saisir'!F79)</f>
        <v>285.76</v>
      </c>
      <c r="AP21" s="334" t="s">
        <v>158</v>
      </c>
      <c r="AQ21" s="55"/>
      <c r="AR21" s="55"/>
      <c r="AS21" s="324">
        <f>SUM(AI38:AI41)</f>
        <v>1202</v>
      </c>
      <c r="AT21" s="309">
        <f t="shared" si="4"/>
        <v>2.225925925925926E-2</v>
      </c>
      <c r="AU21" s="324">
        <f>SUM(AJ38:AJ41)</f>
        <v>50738</v>
      </c>
      <c r="AV21" s="315">
        <f t="shared" si="14"/>
        <v>0.85417508417508414</v>
      </c>
      <c r="AW21" s="324">
        <f>SUM(AK38:AK41)</f>
        <v>50738</v>
      </c>
      <c r="AX21" s="315">
        <f t="shared" si="10"/>
        <v>0.77652280379553107</v>
      </c>
      <c r="AY21" s="324">
        <f>SUM(AL38:AL41)</f>
        <v>50738</v>
      </c>
      <c r="AZ21" s="315">
        <f t="shared" si="11"/>
        <v>0.705929821632301</v>
      </c>
      <c r="BA21" s="324">
        <f>SUM(AM38:AM41)</f>
        <v>50738</v>
      </c>
      <c r="BB21" s="320">
        <f t="shared" si="12"/>
        <v>0.64175438330209189</v>
      </c>
      <c r="BE21" s="432" t="s">
        <v>181</v>
      </c>
      <c r="BF21" s="433"/>
      <c r="BG21" s="433"/>
      <c r="BH21" s="433"/>
      <c r="BI21" s="434">
        <f>BI11-BI20</f>
        <v>-8017.1900000000023</v>
      </c>
      <c r="BJ21" s="366">
        <f>BJ11-BJ20</f>
        <v>5076.8328664495202</v>
      </c>
      <c r="BK21" s="367">
        <f>BK11-BK20</f>
        <v>10773.987701217709</v>
      </c>
      <c r="BL21" s="366">
        <f>BL11-BL20</f>
        <v>17160.260456723612</v>
      </c>
      <c r="BM21" s="368">
        <f>BM11-BM20</f>
        <v>24212.667131803792</v>
      </c>
      <c r="BP21" s="111" t="s">
        <v>202</v>
      </c>
      <c r="BQ21" s="52"/>
      <c r="BR21" s="52"/>
      <c r="BS21" s="52"/>
      <c r="BT21" s="250">
        <f>Q41</f>
        <v>0</v>
      </c>
      <c r="BU21" s="250"/>
      <c r="BV21" s="253"/>
      <c r="BW21" s="250"/>
      <c r="BX21" s="262"/>
      <c r="CA21" s="111" t="s">
        <v>213</v>
      </c>
      <c r="CB21" s="52"/>
      <c r="CC21" s="52"/>
      <c r="CD21" s="250">
        <f>'Données à saisir'!I103</f>
        <v>3000</v>
      </c>
      <c r="CE21" s="250">
        <f>'Données à saisir'!I104</f>
        <v>6000</v>
      </c>
      <c r="CF21" s="250">
        <f>'Données à saisir'!I105</f>
        <v>3000</v>
      </c>
      <c r="CG21" s="250">
        <f>'Données à saisir'!I106</f>
        <v>6000</v>
      </c>
      <c r="CH21" s="289">
        <f>'Données à saisir'!I107</f>
        <v>3000</v>
      </c>
      <c r="CK21" s="293">
        <f>'Données à saisir'!I108</f>
        <v>6000</v>
      </c>
      <c r="CL21" s="250">
        <f>'Données à saisir'!I109</f>
        <v>3000</v>
      </c>
      <c r="CM21" s="250">
        <f>'Données à saisir'!I110</f>
        <v>6000</v>
      </c>
      <c r="CN21" s="250">
        <f>'Données à saisir'!I111</f>
        <v>3000</v>
      </c>
      <c r="CO21" s="250">
        <f>'Données à saisir'!I112</f>
        <v>6000</v>
      </c>
      <c r="CP21" s="250">
        <f>'Données à saisir'!I113</f>
        <v>3000</v>
      </c>
      <c r="CQ21" s="253">
        <f>'Données à saisir'!I114</f>
        <v>6000</v>
      </c>
      <c r="CR21" s="294">
        <f t="shared" ref="CR21:CR25" si="19">SUM(CD21:CQ21)</f>
        <v>54000</v>
      </c>
    </row>
    <row r="22" spans="2:96" ht="15" customHeight="1" x14ac:dyDescent="0.25">
      <c r="B22" s="36"/>
      <c r="C22" s="26"/>
      <c r="D22" s="26"/>
      <c r="E22" s="26"/>
      <c r="F22" s="26"/>
      <c r="G22" s="26"/>
      <c r="H22" s="37"/>
      <c r="K22" s="47" t="str">
        <f>'Données à saisir'!A25</f>
        <v>Frais de dossier</v>
      </c>
      <c r="L22" s="23"/>
      <c r="M22" s="23"/>
      <c r="N22" s="23"/>
      <c r="O22" s="23"/>
      <c r="P22" s="23"/>
      <c r="Q22" s="304">
        <f>IF(ISBLANK('Données à saisir'!B25),"",'Données à saisir'!B25)</f>
        <v>0</v>
      </c>
      <c r="T22" s="42" t="s">
        <v>148</v>
      </c>
      <c r="U22" s="52"/>
      <c r="V22" s="52"/>
      <c r="W22" s="52"/>
      <c r="X22" s="241">
        <f>'Données à saisir'!B141</f>
        <v>0</v>
      </c>
      <c r="Y22" s="241">
        <f>'Données à saisir'!C141</f>
        <v>20736</v>
      </c>
      <c r="Z22" s="241">
        <f>'Données à saisir'!D141</f>
        <v>20736</v>
      </c>
      <c r="AA22" s="241">
        <f>'Données à saisir'!E141</f>
        <v>20736</v>
      </c>
      <c r="AB22" s="247">
        <f>'Données à saisir'!F141</f>
        <v>20736</v>
      </c>
      <c r="AE22" s="47" t="str">
        <f>'Données à saisir'!A80</f>
        <v>Carburant, transports</v>
      </c>
      <c r="AF22" s="52"/>
      <c r="AG22" s="52"/>
      <c r="AH22" s="52"/>
      <c r="AI22" s="236">
        <f>IF(ISBLANK('Données à saisir'!B80),0,'Données à saisir'!B80)</f>
        <v>0</v>
      </c>
      <c r="AJ22" s="236">
        <f>IF(ISBLANK('Données à saisir'!C80),0,'Données à saisir'!C80)</f>
        <v>0</v>
      </c>
      <c r="AK22" s="341">
        <f>IF(ISBLANK('Données à saisir'!D80),0,'Données à saisir'!D80)</f>
        <v>0</v>
      </c>
      <c r="AL22" s="236">
        <f>IF(ISBLANK('Données à saisir'!E80),0,'Données à saisir'!E80)</f>
        <v>0</v>
      </c>
      <c r="AM22" s="306">
        <f>IF(ISBLANK('Données à saisir'!F80),0,'Données à saisir'!F80)</f>
        <v>0</v>
      </c>
      <c r="AP22" s="336" t="s">
        <v>130</v>
      </c>
      <c r="AQ22" s="67"/>
      <c r="AR22" s="67"/>
      <c r="AS22" s="325">
        <f>AS19-AS20-AS21</f>
        <v>49519.25</v>
      </c>
      <c r="AT22" s="310">
        <f t="shared" si="4"/>
        <v>0.91702314814814812</v>
      </c>
      <c r="AU22" s="325">
        <f t="shared" ref="AU22:AW22" si="20">AU19-AU20-AU21</f>
        <v>4082.4100000000035</v>
      </c>
      <c r="AV22" s="314">
        <f t="shared" si="14"/>
        <v>6.8727441077441137E-2</v>
      </c>
      <c r="AW22" s="325">
        <f t="shared" si="20"/>
        <v>9938.4100000000035</v>
      </c>
      <c r="AX22" s="314">
        <f t="shared" si="10"/>
        <v>0.15210299969390884</v>
      </c>
      <c r="AY22" s="325">
        <f t="shared" ref="AY22" si="21">AY19-AY20-AY21</f>
        <v>16472.410000000003</v>
      </c>
      <c r="AZ22" s="314">
        <f t="shared" si="11"/>
        <v>0.22918454517628076</v>
      </c>
      <c r="BA22" s="325">
        <f t="shared" ref="BA22" si="22">BA19-BA20-BA21</f>
        <v>23659.809999999998</v>
      </c>
      <c r="BB22" s="321">
        <f t="shared" si="12"/>
        <v>0.29925867743298246</v>
      </c>
      <c r="BE22" s="162" t="s">
        <v>182</v>
      </c>
      <c r="BF22" s="57"/>
      <c r="BG22" s="57"/>
      <c r="BH22" s="57"/>
      <c r="BI22" s="257">
        <f>BI20/250</f>
        <v>140.06876</v>
      </c>
      <c r="BJ22" s="257">
        <f t="shared" ref="BJ22:BK22" si="23">BJ20/250</f>
        <v>217.29266853420191</v>
      </c>
      <c r="BK22" s="260">
        <f t="shared" si="23"/>
        <v>218.26404919512916</v>
      </c>
      <c r="BL22" s="257">
        <f t="shared" ref="BL22:BM22" si="24">BL20/250</f>
        <v>218.85495817310556</v>
      </c>
      <c r="BM22" s="265">
        <f t="shared" si="24"/>
        <v>219.3949314727848</v>
      </c>
      <c r="BP22" s="111" t="s">
        <v>203</v>
      </c>
      <c r="BQ22" s="52"/>
      <c r="BR22" s="52"/>
      <c r="BS22" s="52"/>
      <c r="BT22" s="250">
        <f>Q45+Q46</f>
        <v>0</v>
      </c>
      <c r="BU22" s="250"/>
      <c r="BV22" s="253"/>
      <c r="BW22" s="250"/>
      <c r="BX22" s="262"/>
      <c r="CA22" s="66" t="s">
        <v>214</v>
      </c>
      <c r="CB22" s="67"/>
      <c r="CC22" s="67"/>
      <c r="CD22" s="251">
        <f>SUM(CD20:CD21)</f>
        <v>3000</v>
      </c>
      <c r="CE22" s="251">
        <f t="shared" ref="CE22:CH22" si="25">SUM(CE20:CE21)</f>
        <v>6000</v>
      </c>
      <c r="CF22" s="251">
        <f t="shared" si="25"/>
        <v>3000</v>
      </c>
      <c r="CG22" s="251">
        <f t="shared" si="25"/>
        <v>6000</v>
      </c>
      <c r="CH22" s="264">
        <f t="shared" si="25"/>
        <v>3000</v>
      </c>
      <c r="CK22" s="298">
        <f t="shared" ref="CK22:CQ22" si="26">SUM(CK20:CK21)</f>
        <v>6000</v>
      </c>
      <c r="CL22" s="251">
        <f t="shared" si="26"/>
        <v>3000</v>
      </c>
      <c r="CM22" s="251">
        <f t="shared" si="26"/>
        <v>6000</v>
      </c>
      <c r="CN22" s="251">
        <f t="shared" si="26"/>
        <v>3000</v>
      </c>
      <c r="CO22" s="251">
        <f t="shared" si="26"/>
        <v>6000</v>
      </c>
      <c r="CP22" s="251">
        <f t="shared" si="26"/>
        <v>3000</v>
      </c>
      <c r="CQ22" s="252">
        <f t="shared" si="26"/>
        <v>6000</v>
      </c>
      <c r="CR22" s="299">
        <f t="shared" si="19"/>
        <v>54000</v>
      </c>
    </row>
    <row r="23" spans="2:96" ht="15" customHeight="1" x14ac:dyDescent="0.25">
      <c r="B23" s="31"/>
      <c r="C23" s="23"/>
      <c r="D23" s="23"/>
      <c r="E23" s="23"/>
      <c r="F23" s="23"/>
      <c r="G23" s="23"/>
      <c r="H23" s="32"/>
      <c r="K23" s="47" t="str">
        <f>'Données à saisir'!A26</f>
        <v>Frais de notaire ou d’avocat</v>
      </c>
      <c r="L23" s="23"/>
      <c r="M23" s="23"/>
      <c r="N23" s="23"/>
      <c r="O23" s="23"/>
      <c r="P23" s="23"/>
      <c r="Q23" s="304">
        <f>IF(ISBLANK('Données à saisir'!B26),"",'Données à saisir'!B26)</f>
        <v>0</v>
      </c>
      <c r="T23" s="100"/>
      <c r="U23" s="41"/>
      <c r="V23" s="41"/>
      <c r="W23" s="41"/>
      <c r="X23" s="244"/>
      <c r="Y23" s="244"/>
      <c r="Z23" s="244"/>
      <c r="AA23" s="244"/>
      <c r="AB23" s="248"/>
      <c r="AE23" s="47" t="str">
        <f>'Données à saisir'!A81</f>
        <v>Frais de déplacement et hébergement</v>
      </c>
      <c r="AF23" s="52"/>
      <c r="AG23" s="52"/>
      <c r="AH23" s="52"/>
      <c r="AI23" s="236">
        <f>IF(ISBLANK('Données à saisir'!B81),0,'Données à saisir'!B81)</f>
        <v>480</v>
      </c>
      <c r="AJ23" s="236">
        <f>IF(ISBLANK('Données à saisir'!C81),0,'Données à saisir'!C81)</f>
        <v>480</v>
      </c>
      <c r="AK23" s="341">
        <f>IF(ISBLANK('Données à saisir'!D81),0,'Données à saisir'!D81)</f>
        <v>480</v>
      </c>
      <c r="AL23" s="236">
        <f>IF(ISBLANK('Données à saisir'!E81),0,'Données à saisir'!E81)</f>
        <v>480</v>
      </c>
      <c r="AM23" s="306">
        <f>IF(ISBLANK('Données à saisir'!F81),0,'Données à saisir'!F81)</f>
        <v>480</v>
      </c>
      <c r="AP23" s="334" t="s">
        <v>286</v>
      </c>
      <c r="AQ23" s="52"/>
      <c r="AR23" s="52"/>
      <c r="AS23" s="324">
        <f>AI44</f>
        <v>606.20000000000005</v>
      </c>
      <c r="AT23" s="309">
        <f t="shared" si="4"/>
        <v>1.1225925925925927E-2</v>
      </c>
      <c r="AU23" s="324">
        <f>AJ44</f>
        <v>606.20000000000005</v>
      </c>
      <c r="AV23" s="315">
        <f t="shared" si="14"/>
        <v>1.0205387205387205E-2</v>
      </c>
      <c r="AW23" s="324">
        <f>AK44</f>
        <v>606.20000000000005</v>
      </c>
      <c r="AX23" s="315">
        <f t="shared" si="10"/>
        <v>9.2776247321701873E-3</v>
      </c>
      <c r="AY23" s="324">
        <f>AL44</f>
        <v>606.20000000000005</v>
      </c>
      <c r="AZ23" s="315">
        <f t="shared" si="11"/>
        <v>8.434204301972897E-3</v>
      </c>
      <c r="BA23" s="324">
        <f>AM44</f>
        <v>606.20000000000005</v>
      </c>
      <c r="BB23" s="320">
        <f t="shared" si="12"/>
        <v>7.6674584563389981E-3</v>
      </c>
      <c r="BI23" s="87"/>
      <c r="BP23" s="111" t="s">
        <v>204</v>
      </c>
      <c r="BQ23" s="52"/>
      <c r="BR23" s="52"/>
      <c r="BS23" s="52"/>
      <c r="BT23" s="250">
        <f>Q47</f>
        <v>6031</v>
      </c>
      <c r="BU23" s="250"/>
      <c r="BV23" s="253"/>
      <c r="BW23" s="250"/>
      <c r="BX23" s="262"/>
      <c r="CA23" s="111" t="s">
        <v>75</v>
      </c>
      <c r="CB23" s="52"/>
      <c r="CC23" s="52"/>
      <c r="CD23" s="250">
        <f>Q12</f>
        <v>1531</v>
      </c>
      <c r="CE23" s="241"/>
      <c r="CF23" s="241"/>
      <c r="CG23" s="241"/>
      <c r="CH23" s="247"/>
      <c r="CK23" s="293"/>
      <c r="CL23" s="241"/>
      <c r="CM23" s="250"/>
      <c r="CN23" s="250"/>
      <c r="CO23" s="241"/>
      <c r="CP23" s="241"/>
      <c r="CQ23" s="300"/>
      <c r="CR23" s="294">
        <f t="shared" si="19"/>
        <v>1531</v>
      </c>
    </row>
    <row r="24" spans="2:96" ht="15" customHeight="1" x14ac:dyDescent="0.25">
      <c r="B24" s="31"/>
      <c r="C24" s="425" t="str">
        <f>IF(ISBLANK('Données à saisir'!B6),"",('Données à saisir'!B6))</f>
        <v>Thilly, Kilic, Draghi</v>
      </c>
      <c r="D24" s="425"/>
      <c r="E24" s="425"/>
      <c r="F24" s="425"/>
      <c r="G24" s="425"/>
      <c r="H24" s="32"/>
      <c r="K24" s="43" t="s">
        <v>72</v>
      </c>
      <c r="L24" s="23"/>
      <c r="M24" s="23"/>
      <c r="N24" s="23"/>
      <c r="O24" s="23"/>
      <c r="P24" s="23"/>
      <c r="Q24" s="303">
        <f>SUM(Q25:Q29)</f>
        <v>1500</v>
      </c>
      <c r="AE24" s="47" t="str">
        <f>'Données à saisir'!A82</f>
        <v>Eau, électricité, gaz</v>
      </c>
      <c r="AF24" s="52"/>
      <c r="AG24" s="52"/>
      <c r="AH24" s="52"/>
      <c r="AI24" s="236">
        <f>IF(ISBLANK('Données à saisir'!B82),0,'Données à saisir'!B82)</f>
        <v>0</v>
      </c>
      <c r="AJ24" s="236">
        <f>IF(ISBLANK('Données à saisir'!C82),0,'Données à saisir'!C82)</f>
        <v>0</v>
      </c>
      <c r="AK24" s="341">
        <f>IF(ISBLANK('Données à saisir'!D82),0,'Données à saisir'!D82)</f>
        <v>0</v>
      </c>
      <c r="AL24" s="236">
        <f>IF(ISBLANK('Données à saisir'!E82),0,'Données à saisir'!E82)</f>
        <v>0</v>
      </c>
      <c r="AM24" s="306">
        <f>IF(ISBLANK('Données à saisir'!F82),0,'Données à saisir'!F82)</f>
        <v>0</v>
      </c>
      <c r="AP24" s="336" t="s">
        <v>160</v>
      </c>
      <c r="AQ24" s="67"/>
      <c r="AR24" s="67"/>
      <c r="AS24" s="325">
        <f>AS22-AS23</f>
        <v>48913.05</v>
      </c>
      <c r="AT24" s="310">
        <f t="shared" si="4"/>
        <v>0.90579722222222225</v>
      </c>
      <c r="AU24" s="325">
        <f t="shared" ref="AU24:AW24" si="27">AU22-AU23</f>
        <v>3476.2100000000037</v>
      </c>
      <c r="AV24" s="314">
        <f t="shared" si="14"/>
        <v>5.8522053872053933E-2</v>
      </c>
      <c r="AW24" s="325">
        <f t="shared" si="27"/>
        <v>9332.2100000000028</v>
      </c>
      <c r="AX24" s="314">
        <f t="shared" si="10"/>
        <v>0.14282537496173864</v>
      </c>
      <c r="AY24" s="325">
        <f t="shared" ref="AY24" si="28">AY22-AY23</f>
        <v>15866.210000000003</v>
      </c>
      <c r="AZ24" s="314">
        <f t="shared" si="11"/>
        <v>0.22075034087430787</v>
      </c>
      <c r="BA24" s="325">
        <f t="shared" ref="BA24" si="29">BA22-BA23</f>
        <v>23053.609999999997</v>
      </c>
      <c r="BB24" s="321">
        <f t="shared" si="12"/>
        <v>0.29159121897664347</v>
      </c>
      <c r="BE24" s="99"/>
      <c r="BF24" s="52"/>
      <c r="BG24" s="52"/>
      <c r="BH24" s="52"/>
      <c r="BI24" s="96"/>
      <c r="BJ24" s="96"/>
      <c r="BK24" s="96"/>
      <c r="BL24" s="96"/>
      <c r="BM24" s="96"/>
      <c r="BP24" s="111" t="s">
        <v>205</v>
      </c>
      <c r="BQ24" s="52"/>
      <c r="BR24" s="52"/>
      <c r="BS24" s="52"/>
      <c r="BT24" s="250">
        <f>AS45</f>
        <v>40614.7192</v>
      </c>
      <c r="BU24" s="250">
        <f>AU45</f>
        <v>3366.8045000000029</v>
      </c>
      <c r="BV24" s="253">
        <f>AW45</f>
        <v>8344.4045000000024</v>
      </c>
      <c r="BW24" s="250">
        <f>AY45</f>
        <v>13898.304500000002</v>
      </c>
      <c r="BX24" s="262">
        <f>BA45</f>
        <v>20007.594499999999</v>
      </c>
      <c r="CA24" s="111" t="s">
        <v>72</v>
      </c>
      <c r="CB24" s="52"/>
      <c r="CC24" s="52"/>
      <c r="CD24" s="250">
        <f>Q24</f>
        <v>1500</v>
      </c>
      <c r="CE24" s="250"/>
      <c r="CF24" s="250"/>
      <c r="CG24" s="250"/>
      <c r="CH24" s="262"/>
      <c r="CK24" s="293"/>
      <c r="CL24" s="250"/>
      <c r="CM24" s="250"/>
      <c r="CN24" s="250"/>
      <c r="CO24" s="250"/>
      <c r="CP24" s="250"/>
      <c r="CQ24" s="253"/>
      <c r="CR24" s="294">
        <f t="shared" si="19"/>
        <v>1500</v>
      </c>
    </row>
    <row r="25" spans="2:96" ht="15" customHeight="1" thickBot="1" x14ac:dyDescent="0.3">
      <c r="B25" s="31"/>
      <c r="C25" s="425"/>
      <c r="D25" s="425"/>
      <c r="E25" s="425"/>
      <c r="F25" s="425"/>
      <c r="G25" s="425"/>
      <c r="H25" s="32"/>
      <c r="K25" s="47" t="str">
        <f>'Données à saisir'!A27</f>
        <v>Enseigne et éléments de communication</v>
      </c>
      <c r="L25" s="23"/>
      <c r="M25" s="23"/>
      <c r="N25" s="23"/>
      <c r="O25" s="23"/>
      <c r="P25" s="23"/>
      <c r="Q25" s="304" t="str">
        <f>IF(ISBLANK('Données à saisir'!B27),"",'Données à saisir'!B27)</f>
        <v>-</v>
      </c>
      <c r="AE25" s="47" t="str">
        <f>'Données à saisir'!A83</f>
        <v>Mutuelle</v>
      </c>
      <c r="AF25" s="52"/>
      <c r="AG25" s="52"/>
      <c r="AH25" s="52"/>
      <c r="AI25" s="236">
        <f>IF(ISBLANK('Données à saisir'!B83),0,'Données à saisir'!B83)</f>
        <v>900</v>
      </c>
      <c r="AJ25" s="236">
        <f>IF(ISBLANK('Données à saisir'!C83),0,'Données à saisir'!C83)</f>
        <v>900</v>
      </c>
      <c r="AK25" s="341">
        <f>IF(ISBLANK('Données à saisir'!D83),0,'Données à saisir'!D83)</f>
        <v>900</v>
      </c>
      <c r="AL25" s="236">
        <f>IF(ISBLANK('Données à saisir'!E83),0,'Données à saisir'!E83)</f>
        <v>900</v>
      </c>
      <c r="AM25" s="306">
        <f>IF(ISBLANK('Données à saisir'!F83),0,'Données à saisir'!F83)</f>
        <v>900</v>
      </c>
      <c r="AP25" s="334" t="s">
        <v>33</v>
      </c>
      <c r="AQ25" s="55"/>
      <c r="AR25" s="55"/>
      <c r="AS25" s="324">
        <f>AI43</f>
        <v>228.44</v>
      </c>
      <c r="AT25" s="309">
        <f t="shared" si="4"/>
        <v>4.2303703703703704E-3</v>
      </c>
      <c r="AU25" s="324">
        <f>AJ43</f>
        <v>228.44</v>
      </c>
      <c r="AV25" s="315">
        <f t="shared" si="14"/>
        <v>3.8457912457912457E-3</v>
      </c>
      <c r="AW25" s="324">
        <f>AK43</f>
        <v>228.44</v>
      </c>
      <c r="AX25" s="315">
        <f t="shared" si="10"/>
        <v>3.4961738598102234E-3</v>
      </c>
      <c r="AY25" s="324">
        <f>AL43</f>
        <v>228.44</v>
      </c>
      <c r="AZ25" s="315">
        <f t="shared" si="11"/>
        <v>3.1783398725547486E-3</v>
      </c>
      <c r="BA25" s="324">
        <f>AM43</f>
        <v>228.44</v>
      </c>
      <c r="BB25" s="320">
        <f t="shared" si="12"/>
        <v>2.8893998841406808E-3</v>
      </c>
      <c r="BP25" s="66" t="s">
        <v>206</v>
      </c>
      <c r="BQ25" s="67"/>
      <c r="BR25" s="67"/>
      <c r="BS25" s="67"/>
      <c r="BT25" s="251">
        <f>SUM(BT20:BT24)</f>
        <v>53645.7192</v>
      </c>
      <c r="BU25" s="251">
        <f>SUM(BU20:BU24)</f>
        <v>3366.8045000000029</v>
      </c>
      <c r="BV25" s="254">
        <f>SUM(BV20:BV24)</f>
        <v>8344.4045000000024</v>
      </c>
      <c r="BW25" s="251">
        <f>SUM(BW20:BW24)</f>
        <v>13898.304500000002</v>
      </c>
      <c r="BX25" s="264">
        <f>SUM(BX20:BX24)</f>
        <v>20007.594499999999</v>
      </c>
      <c r="CA25" s="66" t="s">
        <v>225</v>
      </c>
      <c r="CB25" s="67"/>
      <c r="CC25" s="67"/>
      <c r="CD25" s="251">
        <f>SUM(CD23:CD24)</f>
        <v>3031</v>
      </c>
      <c r="CE25" s="251"/>
      <c r="CF25" s="251"/>
      <c r="CG25" s="251"/>
      <c r="CH25" s="264"/>
      <c r="CK25" s="298"/>
      <c r="CL25" s="251"/>
      <c r="CM25" s="251"/>
      <c r="CN25" s="251"/>
      <c r="CO25" s="251"/>
      <c r="CP25" s="251"/>
      <c r="CQ25" s="252"/>
      <c r="CR25" s="299">
        <f t="shared" si="19"/>
        <v>3031</v>
      </c>
    </row>
    <row r="26" spans="2:96" ht="15" customHeight="1" x14ac:dyDescent="0.25">
      <c r="B26" s="31"/>
      <c r="C26" s="425"/>
      <c r="D26" s="425"/>
      <c r="E26" s="425"/>
      <c r="F26" s="425"/>
      <c r="G26" s="425"/>
      <c r="H26" s="32"/>
      <c r="K26" s="47" t="str">
        <f>'Données à saisir'!A28</f>
        <v>Achat immobilier</v>
      </c>
      <c r="L26" s="23"/>
      <c r="M26" s="23"/>
      <c r="N26" s="23"/>
      <c r="O26" s="23"/>
      <c r="P26" s="23"/>
      <c r="Q26" s="304">
        <f>IF(ISBLANK('Données à saisir'!B28),"",'Données à saisir'!B28)</f>
        <v>0</v>
      </c>
      <c r="T26" s="375" t="s">
        <v>151</v>
      </c>
      <c r="U26" s="376"/>
      <c r="V26" s="376"/>
      <c r="W26" s="376"/>
      <c r="X26" s="376"/>
      <c r="Y26" s="376"/>
      <c r="Z26" s="376"/>
      <c r="AA26" s="376"/>
      <c r="AB26" s="377"/>
      <c r="AE26" s="47" t="str">
        <f>'Données à saisir'!A84</f>
        <v>Fournitures diverses</v>
      </c>
      <c r="AF26" s="52"/>
      <c r="AG26" s="52"/>
      <c r="AH26" s="52"/>
      <c r="AI26" s="236">
        <f>IF(ISBLANK('Données à saisir'!B84),0,'Données à saisir'!B84)</f>
        <v>253.35</v>
      </c>
      <c r="AJ26" s="236">
        <f>IF(ISBLANK('Données à saisir'!C84),0,'Données à saisir'!C84)</f>
        <v>253.35</v>
      </c>
      <c r="AK26" s="341">
        <f>IF(ISBLANK('Données à saisir'!D84),0,'Données à saisir'!D84)</f>
        <v>253.35</v>
      </c>
      <c r="AL26" s="236">
        <f>IF(ISBLANK('Données à saisir'!E84),0,'Données à saisir'!E84)</f>
        <v>253.35</v>
      </c>
      <c r="AM26" s="306">
        <f>IF(ISBLANK('Données à saisir'!F84),0,'Données à saisir'!F84)</f>
        <v>253.35</v>
      </c>
      <c r="AP26" s="334" t="s">
        <v>161</v>
      </c>
      <c r="AQ26" s="55"/>
      <c r="AR26" s="55"/>
      <c r="AS26" s="324">
        <f>AS25*-1</f>
        <v>-228.44</v>
      </c>
      <c r="AT26" s="309">
        <f t="shared" si="4"/>
        <v>-4.2303703703703704E-3</v>
      </c>
      <c r="AU26" s="324">
        <f t="shared" ref="AU26:AW26" si="30">AU25*-1</f>
        <v>-228.44</v>
      </c>
      <c r="AV26" s="315">
        <f t="shared" si="14"/>
        <v>-3.8457912457912457E-3</v>
      </c>
      <c r="AW26" s="324">
        <f t="shared" si="30"/>
        <v>-228.44</v>
      </c>
      <c r="AX26" s="315">
        <f t="shared" si="10"/>
        <v>-3.4961738598102234E-3</v>
      </c>
      <c r="AY26" s="324">
        <f t="shared" ref="AY26" si="31">AY25*-1</f>
        <v>-228.44</v>
      </c>
      <c r="AZ26" s="315">
        <f t="shared" si="11"/>
        <v>-3.1783398725547486E-3</v>
      </c>
      <c r="BA26" s="324">
        <f t="shared" ref="BA26" si="32">BA25*-1</f>
        <v>-228.44</v>
      </c>
      <c r="BB26" s="320">
        <f t="shared" si="12"/>
        <v>-2.8893998841406808E-3</v>
      </c>
      <c r="BI26" s="87"/>
      <c r="BP26" s="111" t="s">
        <v>207</v>
      </c>
      <c r="BQ26" s="52"/>
      <c r="BR26" s="52"/>
      <c r="BS26" s="52"/>
      <c r="BT26" s="250">
        <f>BT25-BT19</f>
        <v>49505.13015890411</v>
      </c>
      <c r="BU26" s="250">
        <f>BU25-BU19</f>
        <v>2035.2976506849345</v>
      </c>
      <c r="BV26" s="255">
        <f>BV25-BV19</f>
        <v>8100.2949109589063</v>
      </c>
      <c r="BW26" s="250">
        <f>BW25-BW19</f>
        <v>13629.783952054797</v>
      </c>
      <c r="BX26" s="262">
        <f>BX25-BX19</f>
        <v>19712.221897260275</v>
      </c>
      <c r="CA26" s="111" t="s">
        <v>265</v>
      </c>
      <c r="CB26" s="52"/>
      <c r="CC26" s="52"/>
      <c r="CD26" s="250">
        <f>Q31</f>
        <v>0</v>
      </c>
      <c r="CE26" s="250"/>
      <c r="CF26" s="250"/>
      <c r="CG26" s="250"/>
      <c r="CH26" s="262"/>
      <c r="CK26" s="293"/>
      <c r="CL26" s="250"/>
      <c r="CM26" s="250"/>
      <c r="CN26" s="250"/>
      <c r="CO26" s="250"/>
      <c r="CP26" s="250"/>
      <c r="CQ26" s="253"/>
      <c r="CR26" s="294">
        <f t="shared" ref="CR26:CR37" si="33">SUM(CD26:CQ26)</f>
        <v>0</v>
      </c>
    </row>
    <row r="27" spans="2:96" ht="15" customHeight="1" x14ac:dyDescent="0.25">
      <c r="B27" s="31"/>
      <c r="C27" s="27"/>
      <c r="D27" s="27"/>
      <c r="E27" s="27"/>
      <c r="F27" s="27"/>
      <c r="G27" s="27"/>
      <c r="H27" s="32"/>
      <c r="K27" s="47" t="str">
        <f>'Données à saisir'!A29</f>
        <v>Travaux et aménagements</v>
      </c>
      <c r="L27" s="23"/>
      <c r="M27" s="23"/>
      <c r="N27" s="23"/>
      <c r="O27" s="23"/>
      <c r="P27" s="23"/>
      <c r="Q27" s="304">
        <f>IF(ISBLANK('Données à saisir'!B29),"",'Données à saisir'!B29)</f>
        <v>0</v>
      </c>
      <c r="T27" s="378"/>
      <c r="U27" s="379"/>
      <c r="V27" s="379"/>
      <c r="W27" s="379"/>
      <c r="X27" s="379"/>
      <c r="Y27" s="379"/>
      <c r="Z27" s="379"/>
      <c r="AA27" s="379"/>
      <c r="AB27" s="380"/>
      <c r="AE27" s="47" t="str">
        <f>'Données à saisir'!A85</f>
        <v>Entretien matériel et vêtements</v>
      </c>
      <c r="AF27" s="52"/>
      <c r="AG27" s="52"/>
      <c r="AH27" s="52"/>
      <c r="AI27" s="236">
        <f>IF(ISBLANK('Données à saisir'!B85),0,'Données à saisir'!B85)</f>
        <v>0</v>
      </c>
      <c r="AJ27" s="236">
        <f>IF(ISBLANK('Données à saisir'!C85),0,'Données à saisir'!C85)</f>
        <v>0</v>
      </c>
      <c r="AK27" s="341">
        <f>IF(ISBLANK('Données à saisir'!D85),0,'Données à saisir'!D85)</f>
        <v>0</v>
      </c>
      <c r="AL27" s="236">
        <f>IF(ISBLANK('Données à saisir'!E85),0,'Données à saisir'!E85)</f>
        <v>0</v>
      </c>
      <c r="AM27" s="306">
        <f>IF(ISBLANK('Données à saisir'!F85),0,'Données à saisir'!F85)</f>
        <v>0</v>
      </c>
      <c r="AP27" s="336" t="s">
        <v>163</v>
      </c>
      <c r="AQ27" s="67"/>
      <c r="AR27" s="67"/>
      <c r="AS27" s="325">
        <f>AS24+AS26</f>
        <v>48684.61</v>
      </c>
      <c r="AT27" s="310">
        <f t="shared" si="4"/>
        <v>0.90156685185185181</v>
      </c>
      <c r="AU27" s="325">
        <f t="shared" ref="AU27:AW27" si="34">AU24+AU26</f>
        <v>3247.7700000000036</v>
      </c>
      <c r="AV27" s="314">
        <f t="shared" si="14"/>
        <v>5.4676262626262684E-2</v>
      </c>
      <c r="AW27" s="325">
        <f t="shared" si="34"/>
        <v>9103.7700000000023</v>
      </c>
      <c r="AX27" s="314">
        <f t="shared" si="10"/>
        <v>0.1393292011019284</v>
      </c>
      <c r="AY27" s="325">
        <f t="shared" ref="AY27" si="35">AY24+AY26</f>
        <v>15637.770000000002</v>
      </c>
      <c r="AZ27" s="314">
        <f t="shared" si="11"/>
        <v>0.21757200100175311</v>
      </c>
      <c r="BA27" s="325">
        <f t="shared" ref="BA27" si="36">BA24+BA26</f>
        <v>22825.17</v>
      </c>
      <c r="BB27" s="321">
        <f t="shared" si="12"/>
        <v>0.28870181909250281</v>
      </c>
      <c r="BP27" s="66" t="s">
        <v>266</v>
      </c>
      <c r="BQ27" s="67"/>
      <c r="BR27" s="67"/>
      <c r="BS27" s="67"/>
      <c r="BT27" s="251">
        <f>BT26</f>
        <v>49505.13015890411</v>
      </c>
      <c r="BU27" s="251">
        <f>BT27+BU26</f>
        <v>51540.427809589048</v>
      </c>
      <c r="BV27" s="254">
        <f>+BU27+BV26</f>
        <v>59640.722720547958</v>
      </c>
      <c r="BW27" s="251">
        <f>+BV27+BW26</f>
        <v>73270.506672602758</v>
      </c>
      <c r="BX27" s="264">
        <f>+BW27+BX26</f>
        <v>92982.728569863029</v>
      </c>
      <c r="CA27" s="111" t="s">
        <v>226</v>
      </c>
      <c r="CB27" s="52"/>
      <c r="CC27" s="52"/>
      <c r="CD27" s="250">
        <f>IF(ISERROR('Données à saisir'!$L$73/12),0,'Données à saisir'!$L$73/12)</f>
        <v>0</v>
      </c>
      <c r="CE27" s="250">
        <f>IF(ISERROR('Données à saisir'!$L$73/12),0,'Données à saisir'!$L$73/12)</f>
        <v>0</v>
      </c>
      <c r="CF27" s="250">
        <f>IF(ISERROR('Données à saisir'!$L$73/12),0,'Données à saisir'!$L$73/12)</f>
        <v>0</v>
      </c>
      <c r="CG27" s="250">
        <f>IF(ISERROR('Données à saisir'!$L$73/12),0,'Données à saisir'!$L$73/12)</f>
        <v>0</v>
      </c>
      <c r="CH27" s="262">
        <f>IF(ISERROR('Données à saisir'!$L$73/12),0,'Données à saisir'!$L$73/12)</f>
        <v>0</v>
      </c>
      <c r="CK27" s="293">
        <f>IF(ISERROR('Données à saisir'!$L$73/12),0,'Données à saisir'!$L$73/12)</f>
        <v>0</v>
      </c>
      <c r="CL27" s="250">
        <f>IF(ISERROR('Données à saisir'!$L$73/12),0,'Données à saisir'!$L$73/12)</f>
        <v>0</v>
      </c>
      <c r="CM27" s="250">
        <f>IF(ISERROR('Données à saisir'!$L$73/12),0,'Données à saisir'!$L$73/12)</f>
        <v>0</v>
      </c>
      <c r="CN27" s="250">
        <f>IF(ISERROR('Données à saisir'!$L$73/12),0,'Données à saisir'!$L$73/12)</f>
        <v>0</v>
      </c>
      <c r="CO27" s="250">
        <f>IF(ISERROR('Données à saisir'!$L$73/12),0,'Données à saisir'!$L$73/12)</f>
        <v>0</v>
      </c>
      <c r="CP27" s="250">
        <f>IF(ISERROR('Données à saisir'!$L$73/12),0,'Données à saisir'!$L$73/12)</f>
        <v>0</v>
      </c>
      <c r="CQ27" s="253">
        <f>IF(ISERROR('Données à saisir'!$L$73/12),0,'Données à saisir'!$L$73/12)</f>
        <v>0</v>
      </c>
      <c r="CR27" s="294">
        <f t="shared" si="33"/>
        <v>0</v>
      </c>
    </row>
    <row r="28" spans="2:96" ht="15" customHeight="1" thickBot="1" x14ac:dyDescent="0.3">
      <c r="B28" s="31"/>
      <c r="C28" s="25"/>
      <c r="D28" s="25"/>
      <c r="E28" s="25"/>
      <c r="F28" s="25"/>
      <c r="G28" s="25"/>
      <c r="H28" s="32"/>
      <c r="K28" s="47" t="str">
        <f>'Données à saisir'!A30</f>
        <v>Matériel</v>
      </c>
      <c r="L28" s="23"/>
      <c r="M28" s="23"/>
      <c r="N28" s="23"/>
      <c r="O28" s="23"/>
      <c r="P28" s="23"/>
      <c r="Q28" s="304">
        <f>IF(ISBLANK('Données à saisir'!B30),"",'Données à saisir'!B30)</f>
        <v>1500</v>
      </c>
      <c r="T28" s="381"/>
      <c r="U28" s="382"/>
      <c r="V28" s="382"/>
      <c r="W28" s="382"/>
      <c r="X28" s="382"/>
      <c r="Y28" s="382"/>
      <c r="Z28" s="382"/>
      <c r="AA28" s="382"/>
      <c r="AB28" s="383"/>
      <c r="AE28" s="47" t="str">
        <f>'Données à saisir'!A86</f>
        <v>Nettoyage des locaux</v>
      </c>
      <c r="AF28" s="52"/>
      <c r="AG28" s="52"/>
      <c r="AH28" s="52"/>
      <c r="AI28" s="236">
        <f>IF(ISBLANK('Données à saisir'!B86),0,'Données à saisir'!B86)</f>
        <v>0</v>
      </c>
      <c r="AJ28" s="236">
        <f>IF(ISBLANK('Données à saisir'!C86),0,'Données à saisir'!C86)</f>
        <v>0</v>
      </c>
      <c r="AK28" s="341">
        <f>IF(ISBLANK('Données à saisir'!D86),0,'Données à saisir'!D86)</f>
        <v>0</v>
      </c>
      <c r="AL28" s="236">
        <f>IF(ISBLANK('Données à saisir'!E86),0,'Données à saisir'!E86)</f>
        <v>0</v>
      </c>
      <c r="AM28" s="306">
        <f>IF(ISBLANK('Données à saisir'!F86),0,'Données à saisir'!F86)</f>
        <v>0</v>
      </c>
      <c r="AP28" s="336" t="s">
        <v>164</v>
      </c>
      <c r="AQ28" s="67"/>
      <c r="AR28" s="67"/>
      <c r="AS28" s="325">
        <f>IF(ISERROR(AS27-AI46),AS27,(AS27-AI46))</f>
        <v>40008.519200000002</v>
      </c>
      <c r="AT28" s="310">
        <f t="shared" si="4"/>
        <v>0.7408985037037038</v>
      </c>
      <c r="AU28" s="325">
        <f>IF(ISERROR(AU27-AJ46),AU27,(AU27-AJ46))</f>
        <v>2760.6045000000031</v>
      </c>
      <c r="AV28" s="314">
        <f t="shared" si="14"/>
        <v>4.6474823232323284E-2</v>
      </c>
      <c r="AW28" s="325">
        <f>IF(ISERROR(AW27-AK46),AW27,(AW27-AK46))</f>
        <v>7738.2045000000016</v>
      </c>
      <c r="AX28" s="314">
        <f t="shared" si="10"/>
        <v>0.11842982093663915</v>
      </c>
      <c r="AY28" s="325">
        <f>IF(ISERROR(AY27-AL46),AY27,(AY27-AL46))</f>
        <v>13292.104500000001</v>
      </c>
      <c r="AZ28" s="314">
        <f t="shared" si="11"/>
        <v>0.18493620085149012</v>
      </c>
      <c r="BA28" s="325">
        <f>IF(ISERROR(BA27-AM46),BA27,(BA27-AM46))</f>
        <v>19401.394499999999</v>
      </c>
      <c r="BB28" s="321">
        <f t="shared" si="12"/>
        <v>0.24539654622862736</v>
      </c>
      <c r="BP28" s="52"/>
      <c r="BQ28" s="52"/>
      <c r="BR28" s="52"/>
      <c r="BS28" s="52"/>
      <c r="BT28" s="52"/>
      <c r="BU28" s="52"/>
      <c r="BV28" s="52"/>
      <c r="BW28" s="52"/>
      <c r="BX28" s="52"/>
      <c r="CA28" s="111" t="s">
        <v>227</v>
      </c>
      <c r="CB28" s="52"/>
      <c r="CC28" s="52"/>
      <c r="CD28" s="250">
        <f>CD20*'Données à saisir'!$D$125</f>
        <v>0</v>
      </c>
      <c r="CE28" s="250">
        <f>CE20*'Données à saisir'!$D$125</f>
        <v>0</v>
      </c>
      <c r="CF28" s="250">
        <f>CF20*'Données à saisir'!$D$125</f>
        <v>0</v>
      </c>
      <c r="CG28" s="250">
        <f>CG20*'Données à saisir'!$D$125</f>
        <v>0</v>
      </c>
      <c r="CH28" s="262">
        <f>CH20*'Données à saisir'!$D$125</f>
        <v>0</v>
      </c>
      <c r="CK28" s="293">
        <f>CK20*'Données à saisir'!$D$125</f>
        <v>0</v>
      </c>
      <c r="CL28" s="250">
        <f>CL20*'Données à saisir'!$D$125</f>
        <v>0</v>
      </c>
      <c r="CM28" s="250">
        <f>CM20*'Données à saisir'!$D$125</f>
        <v>0</v>
      </c>
      <c r="CN28" s="250">
        <f>CN20*'Données à saisir'!$D$125</f>
        <v>0</v>
      </c>
      <c r="CO28" s="250">
        <f>CO20*'Données à saisir'!$D$125</f>
        <v>0</v>
      </c>
      <c r="CP28" s="250">
        <f>CP20*'Données à saisir'!$D$125</f>
        <v>0</v>
      </c>
      <c r="CQ28" s="253">
        <f>CQ20*'Données à saisir'!$D$125</f>
        <v>0</v>
      </c>
      <c r="CR28" s="294">
        <f t="shared" si="33"/>
        <v>0</v>
      </c>
    </row>
    <row r="29" spans="2:96" ht="15" customHeight="1" thickBot="1" x14ac:dyDescent="0.3">
      <c r="B29" s="31"/>
      <c r="C29" s="421" t="str">
        <f>IF(ISBLANK('Données à saisir'!B7),"",('Données à saisir'!B7))</f>
        <v>Agence digitale Webstudio33</v>
      </c>
      <c r="D29" s="421"/>
      <c r="E29" s="421"/>
      <c r="F29" s="421"/>
      <c r="G29" s="421"/>
      <c r="H29" s="32"/>
      <c r="K29" s="47" t="str">
        <f>'Données à saisir'!A31</f>
        <v>Matériel de bureau</v>
      </c>
      <c r="L29" s="23"/>
      <c r="M29" s="23"/>
      <c r="N29" s="23"/>
      <c r="O29" s="23"/>
      <c r="P29" s="23"/>
      <c r="Q29" s="304">
        <f>IF(ISBLANK('Données à saisir'!B31),"",'Données à saisir'!B31)</f>
        <v>0</v>
      </c>
      <c r="AE29" s="47" t="str">
        <f>'Données à saisir'!A87</f>
        <v>Budget publicité et communication</v>
      </c>
      <c r="AF29" s="52"/>
      <c r="AG29" s="52"/>
      <c r="AH29" s="52"/>
      <c r="AI29" s="236">
        <f>IF(ISBLANK('Données à saisir'!B87),0,'Données à saisir'!B87)</f>
        <v>0</v>
      </c>
      <c r="AJ29" s="236">
        <f>IF(ISBLANK('Données à saisir'!C87),0,'Données à saisir'!C87)</f>
        <v>607.84</v>
      </c>
      <c r="AK29" s="341">
        <f>IF(ISBLANK('Données à saisir'!D87),0,'Données à saisir'!D87)</f>
        <v>607.84</v>
      </c>
      <c r="AL29" s="236">
        <f>IF(ISBLANK('Données à saisir'!E87),0,'Données à saisir'!E87)</f>
        <v>607.84</v>
      </c>
      <c r="AM29" s="306">
        <f>IF(ISBLANK('Données à saisir'!F87),0,'Données à saisir'!F87)</f>
        <v>607.84</v>
      </c>
      <c r="AP29" s="337" t="s">
        <v>287</v>
      </c>
      <c r="AQ29" s="110"/>
      <c r="AR29" s="110"/>
      <c r="AS29" s="326">
        <f>AS28+AS23</f>
        <v>40614.7192</v>
      </c>
      <c r="AT29" s="311">
        <f t="shared" si="4"/>
        <v>0.75212442962962966</v>
      </c>
      <c r="AU29" s="326">
        <f t="shared" ref="AU29:AW29" si="37">AU28+AU23</f>
        <v>3366.8045000000029</v>
      </c>
      <c r="AV29" s="316">
        <f t="shared" si="14"/>
        <v>5.6680210437710488E-2</v>
      </c>
      <c r="AW29" s="326">
        <f t="shared" si="37"/>
        <v>8344.4045000000024</v>
      </c>
      <c r="AX29" s="317">
        <f t="shared" si="10"/>
        <v>0.12770744566880934</v>
      </c>
      <c r="AY29" s="326">
        <f t="shared" ref="AY29" si="38">AY28+AY23</f>
        <v>13898.304500000002</v>
      </c>
      <c r="AZ29" s="317">
        <f t="shared" si="11"/>
        <v>0.19337040515346304</v>
      </c>
      <c r="BA29" s="326">
        <f t="shared" ref="BA29" si="39">BA28+BA23</f>
        <v>20007.594499999999</v>
      </c>
      <c r="BB29" s="322">
        <f t="shared" si="12"/>
        <v>0.25306400468496637</v>
      </c>
      <c r="BP29" s="138" t="s">
        <v>260</v>
      </c>
      <c r="BQ29" s="52"/>
      <c r="BR29" s="52"/>
      <c r="BS29" s="403">
        <f>Q32</f>
        <v>10000</v>
      </c>
      <c r="BT29" s="403"/>
      <c r="BU29" s="52"/>
      <c r="BV29" s="52"/>
      <c r="BW29" s="52"/>
      <c r="BX29" s="52"/>
      <c r="CA29" s="111" t="s">
        <v>82</v>
      </c>
      <c r="CB29" s="52"/>
      <c r="CC29" s="52"/>
      <c r="CD29" s="250">
        <f>$AI$18/12</f>
        <v>273.22916666666669</v>
      </c>
      <c r="CE29" s="250">
        <f t="shared" ref="CE29:CQ29" si="40">$AI$18/12</f>
        <v>273.22916666666669</v>
      </c>
      <c r="CF29" s="250">
        <f t="shared" si="40"/>
        <v>273.22916666666669</v>
      </c>
      <c r="CG29" s="250">
        <f t="shared" si="40"/>
        <v>273.22916666666669</v>
      </c>
      <c r="CH29" s="262">
        <f t="shared" si="40"/>
        <v>273.22916666666669</v>
      </c>
      <c r="CK29" s="293">
        <f t="shared" si="40"/>
        <v>273.22916666666669</v>
      </c>
      <c r="CL29" s="250">
        <f t="shared" si="40"/>
        <v>273.22916666666669</v>
      </c>
      <c r="CM29" s="250">
        <f t="shared" si="40"/>
        <v>273.22916666666669</v>
      </c>
      <c r="CN29" s="250">
        <f t="shared" si="40"/>
        <v>273.22916666666669</v>
      </c>
      <c r="CO29" s="250">
        <f t="shared" si="40"/>
        <v>273.22916666666669</v>
      </c>
      <c r="CP29" s="250">
        <f t="shared" si="40"/>
        <v>273.22916666666669</v>
      </c>
      <c r="CQ29" s="253">
        <f t="shared" si="40"/>
        <v>273.22916666666669</v>
      </c>
      <c r="CR29" s="294">
        <f t="shared" si="33"/>
        <v>3278.7499999999995</v>
      </c>
    </row>
    <row r="30" spans="2:96" ht="15" customHeight="1" x14ac:dyDescent="0.25">
      <c r="B30" s="31"/>
      <c r="C30" s="421"/>
      <c r="D30" s="421"/>
      <c r="E30" s="421"/>
      <c r="F30" s="421"/>
      <c r="G30" s="421"/>
      <c r="H30" s="32"/>
      <c r="K30" s="44"/>
      <c r="L30" s="23"/>
      <c r="M30" s="23"/>
      <c r="N30" s="23"/>
      <c r="O30" s="23"/>
      <c r="P30" s="23"/>
      <c r="Q30" s="304"/>
      <c r="X30" s="82" t="s">
        <v>42</v>
      </c>
      <c r="Y30" s="84" t="s">
        <v>43</v>
      </c>
      <c r="Z30" s="112" t="s">
        <v>44</v>
      </c>
      <c r="AA30" s="206" t="s">
        <v>98</v>
      </c>
      <c r="AB30" s="209" t="s">
        <v>99</v>
      </c>
      <c r="AE30" s="47" t="str">
        <f>'Données à saisir'!A88</f>
        <v>Loyer et charges locatives</v>
      </c>
      <c r="AF30" s="55"/>
      <c r="AG30" s="55"/>
      <c r="AH30" s="55"/>
      <c r="AI30" s="236">
        <f>IF(ISBLANK('Données à saisir'!B88),0,'Données à saisir'!B88)</f>
        <v>0</v>
      </c>
      <c r="AJ30" s="236">
        <f>IF(ISBLANK('Données à saisir'!C88),0,'Données à saisir'!C88)</f>
        <v>0</v>
      </c>
      <c r="AK30" s="341">
        <f>IF(ISBLANK('Données à saisir'!D88),0,'Données à saisir'!D88)</f>
        <v>0</v>
      </c>
      <c r="AL30" s="236">
        <f>IF(ISBLANK('Données à saisir'!E88),0,'Données à saisir'!E88)</f>
        <v>0</v>
      </c>
      <c r="AM30" s="306">
        <f>IF(ISBLANK('Données à saisir'!F88),0,'Données à saisir'!F88)</f>
        <v>0</v>
      </c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E30" s="375" t="s">
        <v>183</v>
      </c>
      <c r="BF30" s="376"/>
      <c r="BG30" s="376"/>
      <c r="BH30" s="376"/>
      <c r="BI30" s="376"/>
      <c r="BJ30" s="376"/>
      <c r="BK30" s="376"/>
      <c r="BL30" s="376"/>
      <c r="BM30" s="377"/>
      <c r="BP30" s="139"/>
      <c r="BQ30" s="139"/>
      <c r="BR30" s="52"/>
      <c r="BS30" s="140"/>
      <c r="BT30" s="59"/>
      <c r="BU30" s="59"/>
      <c r="BV30" s="59"/>
      <c r="BW30" s="59"/>
      <c r="BX30" s="59"/>
      <c r="CA30" s="111" t="str">
        <f>AE37</f>
        <v>Impôts et taxes</v>
      </c>
      <c r="CB30" s="52"/>
      <c r="CC30" s="52"/>
      <c r="CD30" s="250">
        <f t="shared" ref="CD30:CH34" si="41">$AI37/12</f>
        <v>0</v>
      </c>
      <c r="CE30" s="250">
        <f t="shared" si="41"/>
        <v>0</v>
      </c>
      <c r="CF30" s="250">
        <f t="shared" si="41"/>
        <v>0</v>
      </c>
      <c r="CG30" s="250">
        <f t="shared" si="41"/>
        <v>0</v>
      </c>
      <c r="CH30" s="262">
        <f t="shared" si="41"/>
        <v>0</v>
      </c>
      <c r="CK30" s="293">
        <f t="shared" ref="CK30:CQ34" si="42">$AI37/12</f>
        <v>0</v>
      </c>
      <c r="CL30" s="250">
        <f t="shared" si="42"/>
        <v>0</v>
      </c>
      <c r="CM30" s="250">
        <f t="shared" si="42"/>
        <v>0</v>
      </c>
      <c r="CN30" s="250">
        <f t="shared" si="42"/>
        <v>0</v>
      </c>
      <c r="CO30" s="250">
        <f t="shared" si="42"/>
        <v>0</v>
      </c>
      <c r="CP30" s="250">
        <f t="shared" si="42"/>
        <v>0</v>
      </c>
      <c r="CQ30" s="253">
        <f t="shared" si="42"/>
        <v>0</v>
      </c>
      <c r="CR30" s="294">
        <f t="shared" si="33"/>
        <v>0</v>
      </c>
    </row>
    <row r="31" spans="2:96" ht="15" customHeight="1" x14ac:dyDescent="0.25">
      <c r="B31" s="31"/>
      <c r="C31" s="421"/>
      <c r="D31" s="421"/>
      <c r="E31" s="421"/>
      <c r="F31" s="421"/>
      <c r="G31" s="421"/>
      <c r="H31" s="32"/>
      <c r="K31" s="43" t="str">
        <f>'Données à saisir'!A32</f>
        <v>Stock de matières et produits</v>
      </c>
      <c r="L31" s="24"/>
      <c r="M31" s="24"/>
      <c r="N31" s="24"/>
      <c r="O31" s="24"/>
      <c r="P31" s="24"/>
      <c r="Q31" s="303">
        <f>IF(ISBLANK('Données à saisir'!B32),"",'Données à saisir'!B32)</f>
        <v>0</v>
      </c>
      <c r="T31" s="99"/>
      <c r="U31" s="55"/>
      <c r="V31" s="55"/>
      <c r="W31" s="55"/>
      <c r="X31" s="83"/>
      <c r="Y31" s="85"/>
      <c r="Z31" s="213"/>
      <c r="AA31" s="207"/>
      <c r="AB31" s="211"/>
      <c r="AE31" s="47" t="str">
        <f>'Données à saisir'!A89</f>
        <v>Expert comptable, avocats</v>
      </c>
      <c r="AF31" s="55"/>
      <c r="AG31" s="55"/>
      <c r="AH31" s="55"/>
      <c r="AI31" s="236">
        <f>IF(ISBLANK('Données à saisir'!B89),0,'Données à saisir'!B89)</f>
        <v>879</v>
      </c>
      <c r="AJ31" s="236">
        <f>IF(ISBLANK('Données à saisir'!C89),0,'Données à saisir'!C89)</f>
        <v>879</v>
      </c>
      <c r="AK31" s="341">
        <f>IF(ISBLANK('Données à saisir'!D89),0,'Données à saisir'!D89)</f>
        <v>879</v>
      </c>
      <c r="AL31" s="236">
        <f>IF(ISBLANK('Données à saisir'!E89),0,'Données à saisir'!E89)</f>
        <v>879</v>
      </c>
      <c r="AM31" s="306">
        <f>IF(ISBLANK('Données à saisir'!F89),0,'Données à saisir'!F89)</f>
        <v>879</v>
      </c>
      <c r="AP31" s="95"/>
      <c r="AQ31" s="52"/>
      <c r="AR31" s="52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E31" s="378"/>
      <c r="BF31" s="379"/>
      <c r="BG31" s="379"/>
      <c r="BH31" s="379"/>
      <c r="BI31" s="379"/>
      <c r="BJ31" s="379"/>
      <c r="BK31" s="379"/>
      <c r="BL31" s="379"/>
      <c r="BM31" s="380"/>
      <c r="BP31" s="55"/>
      <c r="BQ31" s="52"/>
      <c r="BR31" s="52"/>
      <c r="BS31" s="52"/>
      <c r="BT31" s="59"/>
      <c r="BU31" s="148"/>
      <c r="BV31" s="59"/>
      <c r="BW31" s="59"/>
      <c r="BX31" s="59"/>
      <c r="CA31" s="149" t="str">
        <f>AE38</f>
        <v>Salaires employés</v>
      </c>
      <c r="CB31" s="108"/>
      <c r="CC31" s="108"/>
      <c r="CD31" s="249">
        <f t="shared" si="41"/>
        <v>0</v>
      </c>
      <c r="CE31" s="249">
        <f t="shared" si="41"/>
        <v>0</v>
      </c>
      <c r="CF31" s="249">
        <f t="shared" si="41"/>
        <v>0</v>
      </c>
      <c r="CG31" s="249">
        <f t="shared" si="41"/>
        <v>0</v>
      </c>
      <c r="CH31" s="288">
        <f t="shared" si="41"/>
        <v>0</v>
      </c>
      <c r="CK31" s="295">
        <f t="shared" si="42"/>
        <v>0</v>
      </c>
      <c r="CL31" s="249">
        <f t="shared" si="42"/>
        <v>0</v>
      </c>
      <c r="CM31" s="249">
        <f t="shared" si="42"/>
        <v>0</v>
      </c>
      <c r="CN31" s="249">
        <f t="shared" si="42"/>
        <v>0</v>
      </c>
      <c r="CO31" s="249">
        <f t="shared" si="42"/>
        <v>0</v>
      </c>
      <c r="CP31" s="249">
        <f t="shared" si="42"/>
        <v>0</v>
      </c>
      <c r="CQ31" s="296">
        <f t="shared" si="42"/>
        <v>0</v>
      </c>
      <c r="CR31" s="297">
        <f t="shared" si="33"/>
        <v>0</v>
      </c>
    </row>
    <row r="32" spans="2:96" ht="15" customHeight="1" thickBot="1" x14ac:dyDescent="0.3">
      <c r="B32" s="31"/>
      <c r="C32" s="421"/>
      <c r="D32" s="421"/>
      <c r="E32" s="421"/>
      <c r="F32" s="421"/>
      <c r="G32" s="421"/>
      <c r="H32" s="32"/>
      <c r="K32" s="43" t="str">
        <f>'Données à saisir'!A33</f>
        <v>Trésorerie de départ</v>
      </c>
      <c r="L32" s="24"/>
      <c r="M32" s="24"/>
      <c r="N32" s="24"/>
      <c r="O32" s="24"/>
      <c r="P32" s="24"/>
      <c r="Q32" s="303">
        <f>IF(ISBLANK('Données à saisir'!B33),"",'Données à saisir'!B33)</f>
        <v>10000</v>
      </c>
      <c r="T32" s="101" t="s">
        <v>152</v>
      </c>
      <c r="U32" s="39"/>
      <c r="V32" s="39"/>
      <c r="W32" s="39"/>
      <c r="X32" s="214">
        <f>SUM(X34:X40)</f>
        <v>306.2</v>
      </c>
      <c r="Y32" s="214">
        <f>SUM(Y34:Y40)</f>
        <v>306.2</v>
      </c>
      <c r="Z32" s="215">
        <f>SUM(Z34:Z40)</f>
        <v>306.2</v>
      </c>
      <c r="AA32" s="216">
        <f>SUM(AA34:AA40)</f>
        <v>306.2</v>
      </c>
      <c r="AB32" s="217">
        <f>SUM(AB34:AB40)</f>
        <v>306.2</v>
      </c>
      <c r="AE32" s="47" t="str">
        <f>IF(ISBLANK('Données à saisir'!A93),"",'Données à saisir'!A93)</f>
        <v/>
      </c>
      <c r="AF32" s="52"/>
      <c r="AG32" s="52"/>
      <c r="AH32" s="52"/>
      <c r="AI32" s="236">
        <f>IF(ISBLANK('Données à saisir'!B93),0,'Données à saisir'!B93)</f>
        <v>0</v>
      </c>
      <c r="AJ32" s="236">
        <f>IF(ISBLANK('Données à saisir'!C93),0,'Données à saisir'!C93)</f>
        <v>0</v>
      </c>
      <c r="AK32" s="342">
        <f>IF(ISBLANK('Données à saisir'!D93),0,'Données à saisir'!D93)</f>
        <v>0</v>
      </c>
      <c r="AL32" s="236">
        <f>IF(ISBLANK('Données à saisir'!E93),0,'Données à saisir'!E93)</f>
        <v>0</v>
      </c>
      <c r="AM32" s="306">
        <f>IF(ISBLANK('Données à saisir'!F93),0,'Données à saisir'!F93)</f>
        <v>0</v>
      </c>
      <c r="AP32" s="95"/>
      <c r="AQ32" s="52"/>
      <c r="AR32" s="52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E32" s="381"/>
      <c r="BF32" s="382"/>
      <c r="BG32" s="382"/>
      <c r="BH32" s="382"/>
      <c r="BI32" s="382"/>
      <c r="BJ32" s="382"/>
      <c r="BK32" s="382"/>
      <c r="BL32" s="382"/>
      <c r="BM32" s="383"/>
      <c r="BP32" s="141"/>
      <c r="BQ32" s="52"/>
      <c r="BR32" s="52"/>
      <c r="BS32" s="134"/>
      <c r="BT32" s="142"/>
      <c r="BU32" s="142"/>
      <c r="BV32" s="142"/>
      <c r="BW32" s="142"/>
      <c r="BX32" s="142"/>
      <c r="CA32" s="111" t="str">
        <f>AE39</f>
        <v>Charges sociales employés</v>
      </c>
      <c r="CB32" s="52"/>
      <c r="CC32" s="52"/>
      <c r="CD32" s="250">
        <f t="shared" si="41"/>
        <v>0</v>
      </c>
      <c r="CE32" s="250">
        <f t="shared" si="41"/>
        <v>0</v>
      </c>
      <c r="CF32" s="250">
        <f t="shared" si="41"/>
        <v>0</v>
      </c>
      <c r="CG32" s="250">
        <f t="shared" si="41"/>
        <v>0</v>
      </c>
      <c r="CH32" s="262">
        <f t="shared" si="41"/>
        <v>0</v>
      </c>
      <c r="CK32" s="293">
        <f t="shared" si="42"/>
        <v>0</v>
      </c>
      <c r="CL32" s="250">
        <f t="shared" si="42"/>
        <v>0</v>
      </c>
      <c r="CM32" s="250">
        <f t="shared" si="42"/>
        <v>0</v>
      </c>
      <c r="CN32" s="250">
        <f t="shared" si="42"/>
        <v>0</v>
      </c>
      <c r="CO32" s="250">
        <f t="shared" si="42"/>
        <v>0</v>
      </c>
      <c r="CP32" s="250">
        <f t="shared" si="42"/>
        <v>0</v>
      </c>
      <c r="CQ32" s="253">
        <f t="shared" si="42"/>
        <v>0</v>
      </c>
      <c r="CR32" s="294">
        <f t="shared" si="33"/>
        <v>0</v>
      </c>
    </row>
    <row r="33" spans="2:96" ht="15" customHeight="1" x14ac:dyDescent="0.25">
      <c r="B33" s="31"/>
      <c r="C33" s="421"/>
      <c r="D33" s="421"/>
      <c r="E33" s="421"/>
      <c r="F33" s="421"/>
      <c r="G33" s="421"/>
      <c r="H33" s="32"/>
      <c r="K33" s="44"/>
      <c r="L33" s="23"/>
      <c r="M33" s="23"/>
      <c r="N33" s="23"/>
      <c r="O33" s="24" t="s">
        <v>77</v>
      </c>
      <c r="P33" s="23"/>
      <c r="Q33" s="48">
        <f>+SUM(Q12,Q24,Q31:Q32)</f>
        <v>13031</v>
      </c>
      <c r="T33" s="40"/>
      <c r="U33" s="23"/>
      <c r="V33" s="23"/>
      <c r="W33" s="23"/>
      <c r="X33" s="218"/>
      <c r="Y33" s="218"/>
      <c r="Z33" s="219"/>
      <c r="AA33" s="218"/>
      <c r="AB33" s="220"/>
      <c r="AE33" s="47" t="str">
        <f>IF(ISBLANK('Données à saisir'!A94),"",'Données à saisir'!A94)</f>
        <v/>
      </c>
      <c r="AF33" s="59"/>
      <c r="AG33" s="59"/>
      <c r="AH33" s="59"/>
      <c r="AI33" s="236">
        <f>IF(ISBLANK('Données à saisir'!B94),0,'Données à saisir'!B94)</f>
        <v>0</v>
      </c>
      <c r="AJ33" s="236">
        <f>IF(ISBLANK('Données à saisir'!C94),0,'Données à saisir'!C94)</f>
        <v>0</v>
      </c>
      <c r="AK33" s="342">
        <f>IF(ISBLANK('Données à saisir'!D94),0,'Données à saisir'!D94)</f>
        <v>0</v>
      </c>
      <c r="AL33" s="236">
        <f>IF(ISBLANK('Données à saisir'!E94),0,'Données à saisir'!E94)</f>
        <v>0</v>
      </c>
      <c r="AM33" s="306">
        <f>IF(ISBLANK('Données à saisir'!F94),0,'Données à saisir'!F94)</f>
        <v>0</v>
      </c>
      <c r="BP33" s="55"/>
      <c r="BQ33" s="52"/>
      <c r="BR33" s="52"/>
      <c r="BS33" s="52"/>
      <c r="BT33" s="357"/>
      <c r="BU33" s="143"/>
      <c r="BV33" s="143"/>
      <c r="BW33" s="208"/>
      <c r="BX33" s="208"/>
      <c r="CA33" s="111" t="str">
        <f>AE40</f>
        <v>Prélèvement dirigeant(s)</v>
      </c>
      <c r="CB33" s="52"/>
      <c r="CC33" s="52"/>
      <c r="CD33" s="250">
        <f t="shared" si="41"/>
        <v>0</v>
      </c>
      <c r="CE33" s="250">
        <f t="shared" si="41"/>
        <v>0</v>
      </c>
      <c r="CF33" s="250">
        <f t="shared" si="41"/>
        <v>0</v>
      </c>
      <c r="CG33" s="250">
        <f t="shared" si="41"/>
        <v>0</v>
      </c>
      <c r="CH33" s="262">
        <f t="shared" si="41"/>
        <v>0</v>
      </c>
      <c r="CK33" s="293">
        <f t="shared" si="42"/>
        <v>0</v>
      </c>
      <c r="CL33" s="250">
        <f t="shared" si="42"/>
        <v>0</v>
      </c>
      <c r="CM33" s="250">
        <f t="shared" si="42"/>
        <v>0</v>
      </c>
      <c r="CN33" s="250">
        <f t="shared" si="42"/>
        <v>0</v>
      </c>
      <c r="CO33" s="250">
        <f t="shared" si="42"/>
        <v>0</v>
      </c>
      <c r="CP33" s="250">
        <f t="shared" si="42"/>
        <v>0</v>
      </c>
      <c r="CQ33" s="253">
        <f t="shared" si="42"/>
        <v>0</v>
      </c>
      <c r="CR33" s="294">
        <f t="shared" si="33"/>
        <v>0</v>
      </c>
    </row>
    <row r="34" spans="2:96" ht="15" customHeight="1" thickBot="1" x14ac:dyDescent="0.3">
      <c r="B34" s="31"/>
      <c r="C34" s="429" t="str">
        <f>IF(ISBLANK('Données à saisir'!B8),"",('Données à saisir'!B8))</f>
        <v>EURL (IS)</v>
      </c>
      <c r="D34" s="429"/>
      <c r="E34" s="429"/>
      <c r="F34" s="429"/>
      <c r="G34" s="429"/>
      <c r="H34" s="32"/>
      <c r="K34" s="40"/>
      <c r="L34" s="23"/>
      <c r="M34" s="23"/>
      <c r="N34" s="23"/>
      <c r="O34" s="23"/>
      <c r="P34" s="23"/>
      <c r="Q34" s="46"/>
      <c r="T34" s="47" t="str">
        <f>K14</f>
        <v xml:space="preserve">Frais d’établissement </v>
      </c>
      <c r="U34" s="23"/>
      <c r="V34" s="23"/>
      <c r="W34" s="23"/>
      <c r="X34" s="221">
        <f>'Données à saisir'!C40</f>
        <v>228</v>
      </c>
      <c r="Y34" s="221">
        <f>'Données à saisir'!D40</f>
        <v>228</v>
      </c>
      <c r="Z34" s="222">
        <f>'Données à saisir'!E40</f>
        <v>228</v>
      </c>
      <c r="AA34" s="223">
        <f>'Données à saisir'!F40</f>
        <v>228</v>
      </c>
      <c r="AB34" s="224">
        <f>'Données à saisir'!G40</f>
        <v>228</v>
      </c>
      <c r="AE34" s="47" t="str">
        <f>IF(ISBLANK('Données à saisir'!A95),"",'Données à saisir'!A95)</f>
        <v/>
      </c>
      <c r="AF34" s="52"/>
      <c r="AG34" s="52"/>
      <c r="AH34" s="52"/>
      <c r="AI34" s="236">
        <f>IF(ISBLANK('Données à saisir'!B95),0,'Données à saisir'!B95)</f>
        <v>0</v>
      </c>
      <c r="AJ34" s="236">
        <f>IF(ISBLANK('Données à saisir'!C95),0,'Données à saisir'!C95)</f>
        <v>0</v>
      </c>
      <c r="AK34" s="342">
        <f>IF(ISBLANK('Données à saisir'!D95),0,'Données à saisir'!D95)</f>
        <v>0</v>
      </c>
      <c r="AL34" s="236">
        <f>IF(ISBLANK('Données à saisir'!E95),0,'Données à saisir'!E95)</f>
        <v>0</v>
      </c>
      <c r="AM34" s="306">
        <f>IF(ISBLANK('Données à saisir'!F95),0,'Données à saisir'!F95)</f>
        <v>0</v>
      </c>
      <c r="BE34" s="89" t="s">
        <v>192</v>
      </c>
      <c r="BP34" s="141"/>
      <c r="BQ34" s="52"/>
      <c r="BR34" s="52"/>
      <c r="BS34" s="134"/>
      <c r="BU34" s="142"/>
      <c r="BV34" s="142"/>
      <c r="BW34" s="142"/>
      <c r="BX34" s="142"/>
      <c r="CA34" s="111" t="str">
        <f>AE41</f>
        <v>Charges sociales dirigeant(s)</v>
      </c>
      <c r="CB34" s="52"/>
      <c r="CC34" s="52"/>
      <c r="CD34" s="250">
        <f t="shared" si="41"/>
        <v>100.16666666666667</v>
      </c>
      <c r="CE34" s="250">
        <f t="shared" si="41"/>
        <v>100.16666666666667</v>
      </c>
      <c r="CF34" s="250">
        <f t="shared" si="41"/>
        <v>100.16666666666667</v>
      </c>
      <c r="CG34" s="250">
        <f t="shared" si="41"/>
        <v>100.16666666666667</v>
      </c>
      <c r="CH34" s="262">
        <f t="shared" si="41"/>
        <v>100.16666666666667</v>
      </c>
      <c r="CK34" s="293">
        <f t="shared" si="42"/>
        <v>100.16666666666667</v>
      </c>
      <c r="CL34" s="250">
        <f t="shared" si="42"/>
        <v>100.16666666666667</v>
      </c>
      <c r="CM34" s="250">
        <f t="shared" si="42"/>
        <v>100.16666666666667</v>
      </c>
      <c r="CN34" s="250">
        <f t="shared" si="42"/>
        <v>100.16666666666667</v>
      </c>
      <c r="CO34" s="250">
        <f t="shared" si="42"/>
        <v>100.16666666666667</v>
      </c>
      <c r="CP34" s="250">
        <f t="shared" si="42"/>
        <v>100.16666666666667</v>
      </c>
      <c r="CQ34" s="253">
        <f t="shared" si="42"/>
        <v>100.16666666666667</v>
      </c>
      <c r="CR34" s="294">
        <f t="shared" si="33"/>
        <v>1202</v>
      </c>
    </row>
    <row r="35" spans="2:96" ht="15" customHeight="1" x14ac:dyDescent="0.25">
      <c r="B35" s="31"/>
      <c r="C35" s="429"/>
      <c r="D35" s="429"/>
      <c r="E35" s="429"/>
      <c r="F35" s="429"/>
      <c r="G35" s="429"/>
      <c r="H35" s="32"/>
      <c r="K35" s="415" t="s">
        <v>136</v>
      </c>
      <c r="L35" s="416"/>
      <c r="M35" s="416"/>
      <c r="N35" s="416"/>
      <c r="O35" s="416"/>
      <c r="P35" s="417"/>
      <c r="Q35" s="413" t="s">
        <v>76</v>
      </c>
      <c r="T35" s="47" t="str">
        <f t="shared" ref="T35" si="43">K16</f>
        <v>Logiciels, formations</v>
      </c>
      <c r="U35" s="23"/>
      <c r="V35" s="23"/>
      <c r="W35" s="23"/>
      <c r="X35" s="221">
        <f>'Données à saisir'!C42</f>
        <v>78.2</v>
      </c>
      <c r="Y35" s="221">
        <f>'Données à saisir'!D42</f>
        <v>78.2</v>
      </c>
      <c r="Z35" s="222">
        <f>'Données à saisir'!E42</f>
        <v>78.2</v>
      </c>
      <c r="AA35" s="223">
        <f>'Données à saisir'!F42</f>
        <v>78.2</v>
      </c>
      <c r="AB35" s="224">
        <f>'Données à saisir'!G42</f>
        <v>78.2</v>
      </c>
      <c r="AE35" s="70"/>
      <c r="AF35" s="52"/>
      <c r="AG35" s="52"/>
      <c r="AH35" s="52"/>
      <c r="AI35" s="236"/>
      <c r="AJ35" s="236"/>
      <c r="AK35" s="342"/>
      <c r="AL35" s="236"/>
      <c r="AM35" s="306"/>
      <c r="AP35" s="375" t="s">
        <v>162</v>
      </c>
      <c r="AQ35" s="376"/>
      <c r="AR35" s="376"/>
      <c r="AS35" s="376"/>
      <c r="AT35" s="376"/>
      <c r="AU35" s="376"/>
      <c r="AV35" s="376"/>
      <c r="AW35" s="376"/>
      <c r="AX35" s="376"/>
      <c r="AY35" s="376"/>
      <c r="AZ35" s="376"/>
      <c r="BA35" s="376"/>
      <c r="BB35" s="377"/>
      <c r="BE35" s="128"/>
      <c r="BF35" s="128"/>
      <c r="BH35" s="136" t="s">
        <v>190</v>
      </c>
      <c r="BI35" s="399" t="s">
        <v>42</v>
      </c>
      <c r="BJ35" s="384" t="s">
        <v>43</v>
      </c>
      <c r="BK35" s="392" t="s">
        <v>44</v>
      </c>
      <c r="BL35" s="384" t="s">
        <v>98</v>
      </c>
      <c r="BM35" s="386" t="s">
        <v>99</v>
      </c>
      <c r="BP35" s="144"/>
      <c r="BQ35" s="145"/>
      <c r="BR35" s="52"/>
      <c r="BS35" s="145"/>
      <c r="BT35" s="142"/>
      <c r="BU35" s="146"/>
      <c r="BV35" s="146"/>
      <c r="BW35" s="146"/>
      <c r="BX35" s="146"/>
      <c r="CA35" s="66" t="s">
        <v>228</v>
      </c>
      <c r="CB35" s="67"/>
      <c r="CC35" s="67"/>
      <c r="CD35" s="251">
        <f>SUM(CD31:CD34)</f>
        <v>100.16666666666667</v>
      </c>
      <c r="CE35" s="251">
        <f t="shared" ref="CE35:CQ35" si="44">SUM(CE31:CE34)</f>
        <v>100.16666666666667</v>
      </c>
      <c r="CF35" s="251">
        <f t="shared" si="44"/>
        <v>100.16666666666667</v>
      </c>
      <c r="CG35" s="251">
        <f t="shared" si="44"/>
        <v>100.16666666666667</v>
      </c>
      <c r="CH35" s="264">
        <f t="shared" si="44"/>
        <v>100.16666666666667</v>
      </c>
      <c r="CK35" s="298">
        <f t="shared" si="44"/>
        <v>100.16666666666667</v>
      </c>
      <c r="CL35" s="251">
        <f t="shared" si="44"/>
        <v>100.16666666666667</v>
      </c>
      <c r="CM35" s="251">
        <f t="shared" si="44"/>
        <v>100.16666666666667</v>
      </c>
      <c r="CN35" s="251">
        <f t="shared" si="44"/>
        <v>100.16666666666667</v>
      </c>
      <c r="CO35" s="251">
        <f t="shared" si="44"/>
        <v>100.16666666666667</v>
      </c>
      <c r="CP35" s="251">
        <f t="shared" si="44"/>
        <v>100.16666666666667</v>
      </c>
      <c r="CQ35" s="252">
        <f t="shared" si="44"/>
        <v>100.16666666666667</v>
      </c>
      <c r="CR35" s="299">
        <f t="shared" si="33"/>
        <v>1202</v>
      </c>
    </row>
    <row r="36" spans="2:96" ht="15" customHeight="1" x14ac:dyDescent="0.25">
      <c r="B36" s="31"/>
      <c r="C36" s="429"/>
      <c r="D36" s="429"/>
      <c r="E36" s="429"/>
      <c r="F36" s="429"/>
      <c r="G36" s="429"/>
      <c r="H36" s="32"/>
      <c r="K36" s="418"/>
      <c r="L36" s="419"/>
      <c r="M36" s="419"/>
      <c r="N36" s="419"/>
      <c r="O36" s="419"/>
      <c r="P36" s="420"/>
      <c r="Q36" s="414"/>
      <c r="T36" s="47" t="str">
        <f>K18</f>
        <v>Droits d’entrée</v>
      </c>
      <c r="U36" s="23"/>
      <c r="V36" s="23"/>
      <c r="W36" s="23"/>
      <c r="X36" s="221">
        <f>'Données à saisir'!C44</f>
        <v>0</v>
      </c>
      <c r="Y36" s="221">
        <f>'Données à saisir'!D44</f>
        <v>0</v>
      </c>
      <c r="Z36" s="222">
        <f>'Données à saisir'!E44</f>
        <v>0</v>
      </c>
      <c r="AA36" s="223">
        <f>'Données à saisir'!F44</f>
        <v>0</v>
      </c>
      <c r="AB36" s="224">
        <f>'Données à saisir'!G44</f>
        <v>0</v>
      </c>
      <c r="AE36" s="66" t="s">
        <v>129</v>
      </c>
      <c r="AF36" s="67"/>
      <c r="AG36" s="67"/>
      <c r="AH36" s="67"/>
      <c r="AI36" s="68">
        <f>AI17-AI18</f>
        <v>50721.25</v>
      </c>
      <c r="AJ36" s="68">
        <f>AJ17-AJ18</f>
        <v>55144.41</v>
      </c>
      <c r="AK36" s="115">
        <f>AK17-AK18</f>
        <v>61000.41</v>
      </c>
      <c r="AL36" s="68">
        <f>AL17-AL18</f>
        <v>67534.41</v>
      </c>
      <c r="AM36" s="69">
        <f>AM17-AM18</f>
        <v>74721.81</v>
      </c>
      <c r="AP36" s="378"/>
      <c r="AQ36" s="379"/>
      <c r="AR36" s="379"/>
      <c r="AS36" s="379"/>
      <c r="AT36" s="379"/>
      <c r="AU36" s="379"/>
      <c r="AV36" s="379"/>
      <c r="AW36" s="379"/>
      <c r="AX36" s="379"/>
      <c r="AY36" s="379"/>
      <c r="AZ36" s="379"/>
      <c r="BA36" s="379"/>
      <c r="BB36" s="380"/>
      <c r="BE36" s="66" t="s">
        <v>187</v>
      </c>
      <c r="BF36" s="67"/>
      <c r="BG36" s="67"/>
      <c r="BH36" s="67"/>
      <c r="BI36" s="401"/>
      <c r="BJ36" s="385"/>
      <c r="BK36" s="393"/>
      <c r="BL36" s="385"/>
      <c r="BM36" s="387"/>
      <c r="BP36" s="52"/>
      <c r="BQ36" s="52"/>
      <c r="BR36" s="52"/>
      <c r="BS36" s="52"/>
      <c r="BT36" s="52"/>
      <c r="BU36" s="52"/>
      <c r="BV36" s="52"/>
      <c r="BW36" s="52"/>
      <c r="BX36" s="52"/>
      <c r="CA36" s="111" t="str">
        <f>AE43</f>
        <v>Frais bancaires, charges financières</v>
      </c>
      <c r="CB36" s="55"/>
      <c r="CC36" s="55"/>
      <c r="CD36" s="250">
        <f>$AI43/12</f>
        <v>19.036666666666665</v>
      </c>
      <c r="CE36" s="250">
        <f>$AI43/12</f>
        <v>19.036666666666665</v>
      </c>
      <c r="CF36" s="250">
        <f>$AI43/12</f>
        <v>19.036666666666665</v>
      </c>
      <c r="CG36" s="250">
        <f>$AI43/12</f>
        <v>19.036666666666665</v>
      </c>
      <c r="CH36" s="262">
        <f>$AI43/12</f>
        <v>19.036666666666665</v>
      </c>
      <c r="CK36" s="293">
        <f t="shared" ref="CK36:CQ36" si="45">$AI43/12</f>
        <v>19.036666666666665</v>
      </c>
      <c r="CL36" s="250">
        <f t="shared" si="45"/>
        <v>19.036666666666665</v>
      </c>
      <c r="CM36" s="250">
        <f t="shared" si="45"/>
        <v>19.036666666666665</v>
      </c>
      <c r="CN36" s="250">
        <f t="shared" si="45"/>
        <v>19.036666666666665</v>
      </c>
      <c r="CO36" s="250">
        <f t="shared" si="45"/>
        <v>19.036666666666665</v>
      </c>
      <c r="CP36" s="250">
        <f t="shared" si="45"/>
        <v>19.036666666666665</v>
      </c>
      <c r="CQ36" s="253">
        <f t="shared" si="45"/>
        <v>19.036666666666665</v>
      </c>
      <c r="CR36" s="294">
        <f t="shared" si="33"/>
        <v>228.43999999999997</v>
      </c>
    </row>
    <row r="37" spans="2:96" ht="15" customHeight="1" thickBot="1" x14ac:dyDescent="0.3">
      <c r="B37" s="31"/>
      <c r="C37" s="23"/>
      <c r="D37" s="23"/>
      <c r="E37" s="23"/>
      <c r="F37" s="23"/>
      <c r="G37" s="23"/>
      <c r="H37" s="32"/>
      <c r="K37" s="38"/>
      <c r="L37" s="39"/>
      <c r="M37" s="39"/>
      <c r="N37" s="39"/>
      <c r="O37" s="39"/>
      <c r="P37" s="39"/>
      <c r="Q37" s="45"/>
      <c r="T37" s="47" t="str">
        <f>K22</f>
        <v>Frais de dossier</v>
      </c>
      <c r="U37" s="23"/>
      <c r="V37" s="23"/>
      <c r="W37" s="23"/>
      <c r="X37" s="221">
        <f>'Données à saisir'!C48</f>
        <v>0</v>
      </c>
      <c r="Y37" s="221">
        <f>'Données à saisir'!D48</f>
        <v>0</v>
      </c>
      <c r="Z37" s="222">
        <f>'Données à saisir'!E48</f>
        <v>0</v>
      </c>
      <c r="AA37" s="223">
        <f>'Données à saisir'!F48</f>
        <v>0</v>
      </c>
      <c r="AB37" s="224">
        <f>'Données à saisir'!G48</f>
        <v>0</v>
      </c>
      <c r="AE37" s="51" t="s">
        <v>83</v>
      </c>
      <c r="AF37" s="52"/>
      <c r="AG37" s="52"/>
      <c r="AH37" s="52"/>
      <c r="AI37" s="241">
        <f>IF(ISBLANK('Données à saisir'!B91),0,'Données à saisir'!B91)</f>
        <v>0</v>
      </c>
      <c r="AJ37" s="241">
        <f>IF(ISBLANK('Données à saisir'!C91),0,'Données à saisir'!C91)</f>
        <v>324</v>
      </c>
      <c r="AK37" s="242">
        <f>IF(ISBLANK('Données à saisir'!D91),0,'Données à saisir'!D91)</f>
        <v>324</v>
      </c>
      <c r="AL37" s="241">
        <f>IF(ISBLANK('Données à saisir'!E91),0,'Données à saisir'!E91)</f>
        <v>324</v>
      </c>
      <c r="AM37" s="243">
        <f>IF(ISBLANK('Données à saisir'!F91),0,'Données à saisir'!F91)</f>
        <v>324</v>
      </c>
      <c r="AP37" s="381"/>
      <c r="AQ37" s="382"/>
      <c r="AR37" s="382"/>
      <c r="AS37" s="382"/>
      <c r="AT37" s="382"/>
      <c r="AU37" s="382"/>
      <c r="AV37" s="382"/>
      <c r="AW37" s="382"/>
      <c r="AX37" s="382"/>
      <c r="AY37" s="382"/>
      <c r="AZ37" s="382"/>
      <c r="BA37" s="382"/>
      <c r="BB37" s="383"/>
      <c r="BE37" s="111" t="s">
        <v>189</v>
      </c>
      <c r="BF37" s="52"/>
      <c r="BG37" s="52"/>
      <c r="BH37" s="278">
        <f>'Données à saisir'!D129</f>
        <v>15</v>
      </c>
      <c r="BI37" s="266">
        <f>BI11/365*$BH37</f>
        <v>1109.5890410958905</v>
      </c>
      <c r="BJ37" s="267">
        <f>BJ11/365*$BH37</f>
        <v>2441.0958904109589</v>
      </c>
      <c r="BK37" s="268">
        <f>BK11/365*$BH37</f>
        <v>2685.205479452055</v>
      </c>
      <c r="BL37" s="267">
        <f>BL11/365*$BH37</f>
        <v>2953.7260273972606</v>
      </c>
      <c r="BM37" s="269">
        <f>BM11/365*$BH37</f>
        <v>3249.0986301369858</v>
      </c>
      <c r="BP37" s="52"/>
      <c r="BQ37" s="52"/>
      <c r="BR37" s="52"/>
      <c r="BS37" s="52"/>
      <c r="BT37" s="52"/>
      <c r="BU37" s="52"/>
      <c r="BV37" s="52"/>
      <c r="BW37" s="52"/>
      <c r="BX37" s="52"/>
      <c r="CA37" s="66" t="s">
        <v>229</v>
      </c>
      <c r="CB37" s="67"/>
      <c r="CC37" s="67"/>
      <c r="CD37" s="251">
        <f>SUM(CD25:CD30,CD35:CD36)</f>
        <v>3423.4324999999999</v>
      </c>
      <c r="CE37" s="251">
        <f>SUM(CE25:CE30,CE35:CE36)</f>
        <v>392.43250000000006</v>
      </c>
      <c r="CF37" s="251">
        <f>SUM(CF25:CF30,CF35:CF36)</f>
        <v>392.43250000000006</v>
      </c>
      <c r="CG37" s="251">
        <f>SUM(CG25:CG30,CG35:CG36)</f>
        <v>392.43250000000006</v>
      </c>
      <c r="CH37" s="264">
        <f>SUM(CH25:CH30,CH35:CH36)</f>
        <v>392.43250000000006</v>
      </c>
      <c r="CK37" s="298">
        <f t="shared" ref="CK37:CQ37" si="46">SUM(CK25:CK30,CK35:CK36)</f>
        <v>392.43250000000006</v>
      </c>
      <c r="CL37" s="251">
        <f t="shared" si="46"/>
        <v>392.43250000000006</v>
      </c>
      <c r="CM37" s="251">
        <f t="shared" si="46"/>
        <v>392.43250000000006</v>
      </c>
      <c r="CN37" s="251">
        <f t="shared" si="46"/>
        <v>392.43250000000006</v>
      </c>
      <c r="CO37" s="251">
        <f t="shared" si="46"/>
        <v>392.43250000000006</v>
      </c>
      <c r="CP37" s="251">
        <f t="shared" si="46"/>
        <v>392.43250000000006</v>
      </c>
      <c r="CQ37" s="252">
        <f t="shared" si="46"/>
        <v>392.43250000000006</v>
      </c>
      <c r="CR37" s="299">
        <f t="shared" si="33"/>
        <v>7740.1899999999987</v>
      </c>
    </row>
    <row r="38" spans="2:96" ht="15" customHeight="1" thickBot="1" x14ac:dyDescent="0.3">
      <c r="B38" s="33"/>
      <c r="C38" s="34"/>
      <c r="D38" s="34"/>
      <c r="E38" s="34"/>
      <c r="F38" s="34"/>
      <c r="G38" s="34"/>
      <c r="H38" s="35"/>
      <c r="K38" s="43" t="s">
        <v>78</v>
      </c>
      <c r="Q38" s="303">
        <f>SUM(Q39:Q40)</f>
        <v>7000</v>
      </c>
      <c r="T38" s="47" t="str">
        <f>K23</f>
        <v>Frais de notaire ou d’avocat</v>
      </c>
      <c r="U38" s="23"/>
      <c r="V38" s="23"/>
      <c r="W38" s="23"/>
      <c r="X38" s="221">
        <f>'Données à saisir'!C49</f>
        <v>0</v>
      </c>
      <c r="Y38" s="221">
        <f>'Données à saisir'!D49</f>
        <v>0</v>
      </c>
      <c r="Z38" s="222">
        <f>'Données à saisir'!E49</f>
        <v>0</v>
      </c>
      <c r="AA38" s="223">
        <f>'Données à saisir'!F49</f>
        <v>0</v>
      </c>
      <c r="AB38" s="224">
        <f>'Données à saisir'!G49</f>
        <v>0</v>
      </c>
      <c r="AE38" s="51" t="s">
        <v>24</v>
      </c>
      <c r="AF38" s="52"/>
      <c r="AG38" s="52"/>
      <c r="AH38" s="52"/>
      <c r="AI38" s="241">
        <f>'Données à saisir'!B135</f>
        <v>0</v>
      </c>
      <c r="AJ38" s="241">
        <f>'Données à saisir'!C135</f>
        <v>28800</v>
      </c>
      <c r="AK38" s="242">
        <f>'Données à saisir'!D135</f>
        <v>28800</v>
      </c>
      <c r="AL38" s="241">
        <f>'Données à saisir'!E135</f>
        <v>28800</v>
      </c>
      <c r="AM38" s="243">
        <f>'Données à saisir'!F135</f>
        <v>28800</v>
      </c>
      <c r="BE38" s="66" t="s">
        <v>186</v>
      </c>
      <c r="BF38" s="67"/>
      <c r="BG38" s="67"/>
      <c r="BH38" s="279"/>
      <c r="BI38" s="270"/>
      <c r="BJ38" s="271"/>
      <c r="BK38" s="272"/>
      <c r="BL38" s="271"/>
      <c r="BM38" s="273"/>
      <c r="BP38" s="137"/>
      <c r="BQ38" s="137"/>
      <c r="BR38" s="137"/>
      <c r="BS38" s="137"/>
      <c r="BT38" s="137"/>
      <c r="BU38" s="137"/>
      <c r="BV38" s="137"/>
      <c r="BW38" s="137"/>
      <c r="BX38" s="137"/>
      <c r="CA38" s="66" t="s">
        <v>231</v>
      </c>
      <c r="CB38" s="67"/>
      <c r="CC38" s="67"/>
      <c r="CD38" s="251">
        <f>SUM(CD16:CD21)</f>
        <v>16031</v>
      </c>
      <c r="CE38" s="251">
        <f>SUM(CE16:CE21)</f>
        <v>6000</v>
      </c>
      <c r="CF38" s="251">
        <f>SUM(CF16:CF21)</f>
        <v>3000</v>
      </c>
      <c r="CG38" s="251">
        <f>SUM(CG16:CG21)</f>
        <v>6000</v>
      </c>
      <c r="CH38" s="264">
        <f>SUM(CH16:CH21)</f>
        <v>3000</v>
      </c>
      <c r="CK38" s="298">
        <f t="shared" ref="CK38:CQ38" si="47">SUM(CK16:CK21)</f>
        <v>6000</v>
      </c>
      <c r="CL38" s="251">
        <f t="shared" si="47"/>
        <v>3000</v>
      </c>
      <c r="CM38" s="251">
        <f t="shared" si="47"/>
        <v>6000</v>
      </c>
      <c r="CN38" s="251">
        <f t="shared" si="47"/>
        <v>3000</v>
      </c>
      <c r="CO38" s="251">
        <f t="shared" si="47"/>
        <v>6000</v>
      </c>
      <c r="CP38" s="251">
        <f t="shared" si="47"/>
        <v>3000</v>
      </c>
      <c r="CQ38" s="252">
        <f t="shared" si="47"/>
        <v>6000</v>
      </c>
      <c r="CR38" s="299">
        <f t="shared" ref="CR38" si="48">SUM(CD38:CQ38)</f>
        <v>67031</v>
      </c>
    </row>
    <row r="39" spans="2:96" ht="15" customHeight="1" thickTop="1" x14ac:dyDescent="0.25">
      <c r="K39" s="47" t="str">
        <f>'Données à saisir'!A59</f>
        <v>Apport personnel ou familial</v>
      </c>
      <c r="L39" s="23"/>
      <c r="M39" s="23"/>
      <c r="N39" s="23"/>
      <c r="O39" s="23"/>
      <c r="P39" s="23"/>
      <c r="Q39" s="304">
        <f>IF(ISBLANK('Données à saisir'!B59),0,'Données à saisir'!B59)</f>
        <v>7000</v>
      </c>
      <c r="T39" s="47"/>
      <c r="U39" s="23"/>
      <c r="V39" s="23"/>
      <c r="W39" s="23"/>
      <c r="X39" s="221"/>
      <c r="Y39" s="221"/>
      <c r="Z39" s="222"/>
      <c r="AA39" s="223"/>
      <c r="AB39" s="224"/>
      <c r="AE39" s="111" t="s">
        <v>25</v>
      </c>
      <c r="AF39" s="161"/>
      <c r="AG39" s="161"/>
      <c r="AH39" s="161"/>
      <c r="AI39" s="250">
        <f>'Données à saisir'!B141</f>
        <v>0</v>
      </c>
      <c r="AJ39" s="250">
        <f>'Données à saisir'!C141</f>
        <v>20736</v>
      </c>
      <c r="AK39" s="255">
        <f>'Données à saisir'!D141</f>
        <v>20736</v>
      </c>
      <c r="AL39" s="250">
        <f>'Données à saisir'!E141</f>
        <v>20736</v>
      </c>
      <c r="AM39" s="262">
        <f>'Données à saisir'!F141</f>
        <v>20736</v>
      </c>
      <c r="BE39" s="129" t="s">
        <v>188</v>
      </c>
      <c r="BF39" s="130"/>
      <c r="BG39" s="130"/>
      <c r="BH39" s="280">
        <f>'Données à saisir'!D130</f>
        <v>0</v>
      </c>
      <c r="BI39" s="266">
        <f>BI12/365*$BH39</f>
        <v>0</v>
      </c>
      <c r="BJ39" s="267">
        <f>BJ12/365*$BH39</f>
        <v>0</v>
      </c>
      <c r="BK39" s="268">
        <f>BK12/365*$BH39</f>
        <v>0</v>
      </c>
      <c r="BL39" s="267">
        <f>BL12/365*$BH39</f>
        <v>0</v>
      </c>
      <c r="BM39" s="269">
        <f>BM12/365*$BH39</f>
        <v>0</v>
      </c>
      <c r="BP39" s="137"/>
      <c r="BQ39" s="137"/>
      <c r="BR39" s="137"/>
      <c r="BS39" s="137"/>
      <c r="BT39" s="137"/>
      <c r="BU39" s="137"/>
      <c r="BV39" s="137"/>
      <c r="BW39" s="137"/>
      <c r="BX39" s="137"/>
      <c r="CA39" s="111" t="s">
        <v>230</v>
      </c>
      <c r="CB39" s="52"/>
      <c r="CC39" s="52"/>
      <c r="CD39" s="236">
        <v>0</v>
      </c>
      <c r="CE39" s="250">
        <f>CD41</f>
        <v>12607.567500000001</v>
      </c>
      <c r="CF39" s="250">
        <f>CE41</f>
        <v>18215.135000000002</v>
      </c>
      <c r="CG39" s="250">
        <f>CF41</f>
        <v>20822.702500000003</v>
      </c>
      <c r="CH39" s="289">
        <f>CG41</f>
        <v>26430.270000000004</v>
      </c>
      <c r="CK39" s="293">
        <f>CH41</f>
        <v>29037.837500000005</v>
      </c>
      <c r="CL39" s="250">
        <f t="shared" ref="CL39:CQ39" si="49">CK41</f>
        <v>34645.405000000006</v>
      </c>
      <c r="CM39" s="250">
        <f t="shared" si="49"/>
        <v>37252.972500000003</v>
      </c>
      <c r="CN39" s="250">
        <f t="shared" si="49"/>
        <v>42860.54</v>
      </c>
      <c r="CO39" s="250">
        <f t="shared" si="49"/>
        <v>45468.107499999998</v>
      </c>
      <c r="CP39" s="250">
        <f t="shared" si="49"/>
        <v>51075.674999999996</v>
      </c>
      <c r="CQ39" s="253">
        <f t="shared" si="49"/>
        <v>53683.242499999993</v>
      </c>
      <c r="CR39" s="294"/>
    </row>
    <row r="40" spans="2:96" ht="15" customHeight="1" x14ac:dyDescent="0.25">
      <c r="K40" s="47" t="str">
        <f>'Données à saisir'!A60</f>
        <v>Apports en nature (en valeur)</v>
      </c>
      <c r="L40" s="23"/>
      <c r="M40" s="23"/>
      <c r="N40" s="23"/>
      <c r="O40" s="23"/>
      <c r="P40" s="23"/>
      <c r="Q40" s="304">
        <f>IF(ISBLANK('Données à saisir'!B60),0,'Données à saisir'!B60)</f>
        <v>0</v>
      </c>
      <c r="T40" s="47"/>
      <c r="U40" s="23"/>
      <c r="V40" s="23"/>
      <c r="W40" s="23"/>
      <c r="X40" s="221"/>
      <c r="Y40" s="221"/>
      <c r="Z40" s="222"/>
      <c r="AA40" s="223"/>
      <c r="AB40" s="224"/>
      <c r="AE40" s="51" t="s">
        <v>88</v>
      </c>
      <c r="AF40" s="52"/>
      <c r="AG40" s="52"/>
      <c r="AH40" s="52"/>
      <c r="AI40" s="241">
        <f>'Données à saisir'!B136</f>
        <v>0</v>
      </c>
      <c r="AJ40" s="241">
        <f>'Données à saisir'!C136</f>
        <v>0</v>
      </c>
      <c r="AK40" s="242">
        <f>'Données à saisir'!D136</f>
        <v>0</v>
      </c>
      <c r="AL40" s="241">
        <f>'Données à saisir'!E136</f>
        <v>0</v>
      </c>
      <c r="AM40" s="243">
        <f>'Données à saisir'!F136</f>
        <v>0</v>
      </c>
      <c r="BE40" s="132" t="s">
        <v>191</v>
      </c>
      <c r="BF40" s="131"/>
      <c r="BG40" s="67"/>
      <c r="BH40" s="281"/>
      <c r="BI40" s="274">
        <f>BI37-BI39</f>
        <v>1109.5890410958905</v>
      </c>
      <c r="BJ40" s="275">
        <f>BJ37-BJ39</f>
        <v>2441.0958904109589</v>
      </c>
      <c r="BK40" s="276">
        <f>BK37-BK39</f>
        <v>2685.205479452055</v>
      </c>
      <c r="BL40" s="275">
        <f>BL37-BL39</f>
        <v>2953.7260273972606</v>
      </c>
      <c r="BM40" s="277">
        <f>BM37-BM39</f>
        <v>3249.0986301369858</v>
      </c>
      <c r="BP40" s="137"/>
      <c r="BQ40" s="137"/>
      <c r="BR40" s="137"/>
      <c r="BS40" s="137"/>
      <c r="BT40" s="137"/>
      <c r="BU40" s="137"/>
      <c r="BV40" s="137"/>
      <c r="BW40" s="137"/>
      <c r="BX40" s="137"/>
      <c r="CA40" s="71" t="s">
        <v>239</v>
      </c>
      <c r="CB40" s="59"/>
      <c r="CC40" s="59"/>
      <c r="CD40" s="241">
        <f>CD38-CD37</f>
        <v>12607.567500000001</v>
      </c>
      <c r="CE40" s="241">
        <f t="shared" ref="CE40:CQ40" si="50">CE38-CE37</f>
        <v>5607.5675000000001</v>
      </c>
      <c r="CF40" s="241">
        <f t="shared" si="50"/>
        <v>2607.5675000000001</v>
      </c>
      <c r="CG40" s="241">
        <f t="shared" si="50"/>
        <v>5607.5675000000001</v>
      </c>
      <c r="CH40" s="247">
        <f t="shared" si="50"/>
        <v>2607.5675000000001</v>
      </c>
      <c r="CI40" s="1"/>
      <c r="CJ40" s="1"/>
      <c r="CK40" s="301">
        <f t="shared" si="50"/>
        <v>5607.5675000000001</v>
      </c>
      <c r="CL40" s="241">
        <f t="shared" si="50"/>
        <v>2607.5675000000001</v>
      </c>
      <c r="CM40" s="241">
        <f t="shared" si="50"/>
        <v>5607.5675000000001</v>
      </c>
      <c r="CN40" s="241">
        <f t="shared" si="50"/>
        <v>2607.5675000000001</v>
      </c>
      <c r="CO40" s="241">
        <f t="shared" si="50"/>
        <v>5607.5675000000001</v>
      </c>
      <c r="CP40" s="241">
        <f t="shared" si="50"/>
        <v>2607.5675000000001</v>
      </c>
      <c r="CQ40" s="300">
        <f t="shared" si="50"/>
        <v>5607.5675000000001</v>
      </c>
      <c r="CR40" s="302"/>
    </row>
    <row r="41" spans="2:96" ht="15" customHeight="1" thickBot="1" x14ac:dyDescent="0.3">
      <c r="K41" s="43" t="s">
        <v>73</v>
      </c>
      <c r="L41" s="23"/>
      <c r="M41" s="23"/>
      <c r="N41" s="93" t="s">
        <v>142</v>
      </c>
      <c r="O41" s="93" t="s">
        <v>143</v>
      </c>
      <c r="P41" s="23"/>
      <c r="Q41" s="303">
        <f>SUM(Q42:Q44)</f>
        <v>0</v>
      </c>
      <c r="T41" s="101" t="s">
        <v>153</v>
      </c>
      <c r="U41" s="39"/>
      <c r="V41" s="39"/>
      <c r="W41" s="39"/>
      <c r="X41" s="214">
        <f>SUM(X43:X47)</f>
        <v>300</v>
      </c>
      <c r="Y41" s="214">
        <f>SUM(Y43:Y47)</f>
        <v>300</v>
      </c>
      <c r="Z41" s="225">
        <f>SUM(Z43:Z47)</f>
        <v>300</v>
      </c>
      <c r="AA41" s="216">
        <f>SUM(AA43:AA47)</f>
        <v>300</v>
      </c>
      <c r="AB41" s="217">
        <f>SUM(AB43:AB47)</f>
        <v>300</v>
      </c>
      <c r="AE41" s="111" t="s">
        <v>87</v>
      </c>
      <c r="AF41" s="161"/>
      <c r="AG41" s="161"/>
      <c r="AH41" s="88" t="str">
        <f>IF('Données à saisir'!C138="Oui","(Accre)","")</f>
        <v/>
      </c>
      <c r="AI41" s="250">
        <f>IF('Données à saisir'!C138="Oui",'Données à saisir'!I149,'Données à saisir'!B149)</f>
        <v>1202</v>
      </c>
      <c r="AJ41" s="250">
        <f>IF('Données à saisir'!C138="Oui",'Données à saisir'!J149,'Données à saisir'!C149)</f>
        <v>1202</v>
      </c>
      <c r="AK41" s="255">
        <f>IF('Données à saisir'!C138="Oui",'Données à saisir'!K149,'Données à saisir'!D149)</f>
        <v>1202</v>
      </c>
      <c r="AL41" s="250">
        <f>IF('Données à saisir'!D138="Oui",'Données à saisir'!L149,'Données à saisir'!E149)</f>
        <v>1202</v>
      </c>
      <c r="AM41" s="262">
        <f>IF('Données à saisir'!E138="Oui",'Données à saisir'!M149,'Données à saisir'!F149)</f>
        <v>1202</v>
      </c>
      <c r="AS41" s="406" t="s">
        <v>42</v>
      </c>
      <c r="AT41" s="112"/>
      <c r="AU41" s="392" t="s">
        <v>43</v>
      </c>
      <c r="AV41" s="119"/>
      <c r="AW41" s="392" t="s">
        <v>44</v>
      </c>
      <c r="AX41" s="112"/>
      <c r="AY41" s="392" t="s">
        <v>98</v>
      </c>
      <c r="AZ41" s="119"/>
      <c r="BA41" s="408" t="s">
        <v>99</v>
      </c>
      <c r="BB41" s="209"/>
      <c r="BE41" s="52"/>
      <c r="BF41" s="52"/>
      <c r="BG41" s="52"/>
      <c r="BH41" s="52"/>
      <c r="BI41" s="52"/>
      <c r="BJ41" s="52"/>
      <c r="BK41" s="52"/>
      <c r="BL41" s="52"/>
      <c r="BM41" s="52"/>
      <c r="BP41" s="52"/>
      <c r="BQ41" s="52"/>
      <c r="BR41" s="52"/>
      <c r="BS41" s="52"/>
      <c r="BT41" s="52"/>
      <c r="BU41" s="52"/>
      <c r="BV41" s="52"/>
      <c r="BW41" s="52"/>
      <c r="BX41" s="52"/>
      <c r="CA41" s="66" t="s">
        <v>240</v>
      </c>
      <c r="CB41" s="67"/>
      <c r="CC41" s="67"/>
      <c r="CD41" s="68">
        <f>CD40</f>
        <v>12607.567500000001</v>
      </c>
      <c r="CE41" s="68">
        <f>CE39+CE40</f>
        <v>18215.135000000002</v>
      </c>
      <c r="CF41" s="68">
        <f>CF39+CF40</f>
        <v>20822.702500000003</v>
      </c>
      <c r="CG41" s="68">
        <f>CG39+CG40</f>
        <v>26430.270000000004</v>
      </c>
      <c r="CH41" s="69">
        <f t="shared" ref="CH41:CQ41" si="51">CH39+CH40</f>
        <v>29037.837500000005</v>
      </c>
      <c r="CK41" s="153">
        <f t="shared" si="51"/>
        <v>34645.405000000006</v>
      </c>
      <c r="CL41" s="68">
        <f t="shared" si="51"/>
        <v>37252.972500000003</v>
      </c>
      <c r="CM41" s="68">
        <f t="shared" si="51"/>
        <v>42860.54</v>
      </c>
      <c r="CN41" s="68">
        <f t="shared" si="51"/>
        <v>45468.107499999998</v>
      </c>
      <c r="CO41" s="68">
        <f t="shared" si="51"/>
        <v>51075.674999999996</v>
      </c>
      <c r="CP41" s="68">
        <f t="shared" si="51"/>
        <v>53683.242499999993</v>
      </c>
      <c r="CQ41" s="117">
        <f t="shared" si="51"/>
        <v>59290.80999999999</v>
      </c>
      <c r="CR41" s="155"/>
    </row>
    <row r="42" spans="2:96" ht="15" customHeight="1" thickTop="1" x14ac:dyDescent="0.25">
      <c r="B42" s="28"/>
      <c r="C42" s="29"/>
      <c r="D42" s="29"/>
      <c r="E42" s="29"/>
      <c r="F42" s="29"/>
      <c r="G42" s="29"/>
      <c r="H42" s="30"/>
      <c r="K42" s="47" t="str">
        <f>IF(ISBLANK('Données à saisir'!A61),"",'Données à saisir'!A61)</f>
        <v>Prêt n°1 (nom de la banque)</v>
      </c>
      <c r="L42" s="23"/>
      <c r="M42" s="23"/>
      <c r="N42" s="195" t="str">
        <f>IF(ISBLANK('Données à saisir'!C61),"",'Données à saisir'!C61)</f>
        <v/>
      </c>
      <c r="O42" s="92" t="str">
        <f>IF(ISBLANK('Données à saisir'!D61),"",'Données à saisir'!D61)</f>
        <v/>
      </c>
      <c r="P42" s="23"/>
      <c r="Q42" s="304">
        <f>IF(ISBLANK('Données à saisir'!B61),0,'Données à saisir'!B61)</f>
        <v>0</v>
      </c>
      <c r="T42" s="40"/>
      <c r="U42" s="23"/>
      <c r="V42" s="23"/>
      <c r="W42" s="23"/>
      <c r="X42" s="218"/>
      <c r="Y42" s="218"/>
      <c r="Z42" s="219"/>
      <c r="AA42" s="218"/>
      <c r="AB42" s="220"/>
      <c r="AE42" s="66" t="s">
        <v>130</v>
      </c>
      <c r="AF42" s="67"/>
      <c r="AG42" s="67"/>
      <c r="AH42" s="67"/>
      <c r="AI42" s="68">
        <f>AI36-SUM(AI37:AI41)</f>
        <v>49519.25</v>
      </c>
      <c r="AJ42" s="68">
        <f t="shared" ref="AJ42:AK42" si="52">AJ36-SUM(AJ37:AJ41)</f>
        <v>4082.4100000000035</v>
      </c>
      <c r="AK42" s="115">
        <f t="shared" si="52"/>
        <v>9938.4100000000035</v>
      </c>
      <c r="AL42" s="68">
        <f t="shared" ref="AL42:AM42" si="53">AL36-SUM(AL37:AL41)</f>
        <v>16472.410000000003</v>
      </c>
      <c r="AM42" s="69">
        <f t="shared" si="53"/>
        <v>23659.809999999998</v>
      </c>
      <c r="AP42" s="59"/>
      <c r="AS42" s="407"/>
      <c r="AT42" s="113"/>
      <c r="AU42" s="393"/>
      <c r="AV42" s="120"/>
      <c r="AW42" s="393"/>
      <c r="AX42" s="113"/>
      <c r="AY42" s="393"/>
      <c r="AZ42" s="120"/>
      <c r="BA42" s="409"/>
      <c r="BB42" s="210"/>
      <c r="BE42" s="52"/>
      <c r="BF42" s="52"/>
      <c r="BG42" s="52"/>
      <c r="BH42" s="52"/>
      <c r="BI42" s="52"/>
      <c r="BJ42" s="52"/>
      <c r="BK42" s="52"/>
      <c r="BL42" s="52"/>
      <c r="BM42" s="52"/>
      <c r="BP42" s="52"/>
      <c r="BQ42" s="52"/>
      <c r="BR42" s="52"/>
      <c r="BS42" s="52"/>
      <c r="BT42" s="52"/>
      <c r="BU42" s="52"/>
      <c r="BV42" s="52"/>
      <c r="BW42" s="52"/>
      <c r="BX42" s="52"/>
      <c r="CA42" s="111"/>
      <c r="CB42" s="52"/>
      <c r="CC42" s="52"/>
      <c r="CD42" s="164" t="str">
        <f>IF(CD41&lt;0,CD41,"")</f>
        <v/>
      </c>
      <c r="CE42" s="164" t="str">
        <f t="shared" ref="CE42:CQ42" si="54">IF(CE41&lt;0,CE41,"")</f>
        <v/>
      </c>
      <c r="CF42" s="164" t="str">
        <f t="shared" si="54"/>
        <v/>
      </c>
      <c r="CG42" s="164" t="str">
        <f t="shared" si="54"/>
        <v/>
      </c>
      <c r="CH42" s="165" t="str">
        <f t="shared" si="54"/>
        <v/>
      </c>
      <c r="CI42" s="166" t="str">
        <f t="shared" si="54"/>
        <v/>
      </c>
      <c r="CJ42" s="166" t="str">
        <f t="shared" si="54"/>
        <v/>
      </c>
      <c r="CK42" s="167" t="str">
        <f t="shared" si="54"/>
        <v/>
      </c>
      <c r="CL42" s="164" t="str">
        <f t="shared" si="54"/>
        <v/>
      </c>
      <c r="CM42" s="164" t="str">
        <f t="shared" si="54"/>
        <v/>
      </c>
      <c r="CN42" s="164" t="str">
        <f t="shared" si="54"/>
        <v/>
      </c>
      <c r="CO42" s="164" t="str">
        <f t="shared" si="54"/>
        <v/>
      </c>
      <c r="CP42" s="164" t="str">
        <f t="shared" si="54"/>
        <v/>
      </c>
      <c r="CQ42" s="168" t="str">
        <f t="shared" si="54"/>
        <v/>
      </c>
      <c r="CR42" s="187">
        <f>SUM(CD42:CQ42)</f>
        <v>0</v>
      </c>
    </row>
    <row r="43" spans="2:96" ht="15" customHeight="1" thickBot="1" x14ac:dyDescent="0.3">
      <c r="B43" s="31"/>
      <c r="C43" s="430" t="str">
        <f>IF(ISBLANK('Données à saisir'!B9),"",('Données à saisir'!B9))</f>
        <v>05 56 89 56 12</v>
      </c>
      <c r="D43" s="430"/>
      <c r="E43" s="430"/>
      <c r="F43" s="430"/>
      <c r="G43" s="430"/>
      <c r="H43" s="32"/>
      <c r="K43" s="47" t="str">
        <f>IF(ISBLANK('Données à saisir'!A62),"",'Données à saisir'!A62)</f>
        <v>Prêt n°2 (nom de la banque)</v>
      </c>
      <c r="L43" s="23"/>
      <c r="M43" s="23"/>
      <c r="N43" s="195" t="str">
        <f>IF(ISBLANK('Données à saisir'!C62),"",'Données à saisir'!C62)</f>
        <v/>
      </c>
      <c r="O43" s="92" t="str">
        <f>IF(ISBLANK('Données à saisir'!D62),"",'Données à saisir'!D62)</f>
        <v/>
      </c>
      <c r="P43" s="23"/>
      <c r="Q43" s="304">
        <f>IF(ISBLANK('Données à saisir'!B62),0,'Données à saisir'!B62)</f>
        <v>0</v>
      </c>
      <c r="T43" s="47" t="str">
        <f>K25</f>
        <v>Enseigne et éléments de communication</v>
      </c>
      <c r="U43" s="23"/>
      <c r="V43" s="23"/>
      <c r="W43" s="23"/>
      <c r="X43" s="221">
        <f>'Données à saisir'!C50</f>
        <v>0</v>
      </c>
      <c r="Y43" s="221" t="str">
        <f>'Données à saisir'!D50</f>
        <v/>
      </c>
      <c r="Z43" s="222" t="str">
        <f>'Données à saisir'!E50</f>
        <v/>
      </c>
      <c r="AA43" s="223" t="str">
        <f>'Données à saisir'!F50</f>
        <v/>
      </c>
      <c r="AB43" s="224" t="str">
        <f>'Données à saisir'!G50</f>
        <v/>
      </c>
      <c r="AE43" s="51" t="s">
        <v>133</v>
      </c>
      <c r="AF43" s="55"/>
      <c r="AG43" s="55"/>
      <c r="AH43" s="55"/>
      <c r="AI43" s="241">
        <f>IF(ISERROR('Données à saisir'!B90+SUM('Données à saisir'!G70:G72)),0,'Données à saisir'!B90+SUM('Données à saisir'!G70:G72))</f>
        <v>228.44</v>
      </c>
      <c r="AJ43" s="241">
        <f>'Données à saisir'!C90+SUM('Données à saisir'!H70:H72)</f>
        <v>228.44</v>
      </c>
      <c r="AK43" s="242">
        <f>'Données à saisir'!D90+SUM('Données à saisir'!I70:I72)</f>
        <v>228.44</v>
      </c>
      <c r="AL43" s="241">
        <f>'Données à saisir'!E90+SUM('Données à saisir'!J70:J72)</f>
        <v>228.44</v>
      </c>
      <c r="AM43" s="243">
        <f>'Données à saisir'!F90+SUM('Données à saisir'!K70:K72)</f>
        <v>228.44</v>
      </c>
      <c r="AP43" s="336" t="s">
        <v>164</v>
      </c>
      <c r="AQ43" s="67"/>
      <c r="AR43" s="67"/>
      <c r="AS43" s="327">
        <f>AS28</f>
        <v>40008.519200000002</v>
      </c>
      <c r="AT43" s="121"/>
      <c r="AU43" s="327">
        <f>AU28</f>
        <v>2760.6045000000031</v>
      </c>
      <c r="AV43" s="121"/>
      <c r="AW43" s="330">
        <f>AW28</f>
        <v>7738.2045000000016</v>
      </c>
      <c r="AX43" s="115"/>
      <c r="AY43" s="327">
        <f>AY28</f>
        <v>13292.104500000001</v>
      </c>
      <c r="AZ43" s="121"/>
      <c r="BA43" s="330">
        <f>BA28</f>
        <v>19401.394499999999</v>
      </c>
      <c r="BB43" s="69"/>
      <c r="BE43" s="139"/>
      <c r="BF43" s="139"/>
      <c r="BG43" s="52"/>
      <c r="BH43" s="140"/>
      <c r="BI43" s="398"/>
      <c r="BJ43" s="398"/>
      <c r="BK43" s="398"/>
      <c r="BL43" s="208"/>
      <c r="BM43" s="208"/>
      <c r="BP43" s="139"/>
      <c r="BQ43" s="139"/>
      <c r="BR43" s="52"/>
      <c r="BS43" s="140"/>
      <c r="BT43" s="59"/>
      <c r="BU43" s="59"/>
      <c r="BV43" s="59"/>
      <c r="BW43" s="59"/>
      <c r="BX43" s="59"/>
      <c r="CA43" s="126"/>
      <c r="CB43" s="57"/>
      <c r="CC43" s="57"/>
      <c r="CD43" s="64"/>
      <c r="CE43" s="64"/>
      <c r="CF43" s="64"/>
      <c r="CG43" s="64"/>
      <c r="CH43" s="62"/>
      <c r="CK43" s="154"/>
      <c r="CL43" s="64"/>
      <c r="CM43" s="64"/>
      <c r="CN43" s="64"/>
      <c r="CO43" s="64"/>
      <c r="CP43" s="64"/>
      <c r="CQ43" s="118"/>
      <c r="CR43" s="156"/>
    </row>
    <row r="44" spans="2:96" ht="15" customHeight="1" x14ac:dyDescent="0.25">
      <c r="B44" s="31"/>
      <c r="C44" s="431" t="str">
        <f>IF(ISBLANK('Données à saisir'!B10),"",('Données à saisir'!B10))</f>
        <v>webstudio33@</v>
      </c>
      <c r="D44" s="431"/>
      <c r="E44" s="431"/>
      <c r="F44" s="431"/>
      <c r="G44" s="431"/>
      <c r="H44" s="32"/>
      <c r="K44" s="47" t="str">
        <f>IF(ISBLANK('Données à saisir'!A63),"",'Données à saisir'!A63)</f>
        <v>Prêt n°3 (nom de la banque)</v>
      </c>
      <c r="L44" s="23"/>
      <c r="M44" s="23"/>
      <c r="N44" s="195" t="str">
        <f>IF(ISBLANK('Données à saisir'!C63),"",'Données à saisir'!C63)</f>
        <v/>
      </c>
      <c r="O44" s="92" t="str">
        <f>IF(ISBLANK('Données à saisir'!D63),"",'Données à saisir'!D63)</f>
        <v/>
      </c>
      <c r="P44" s="23"/>
      <c r="Q44" s="304">
        <f>IF(ISBLANK('Données à saisir'!B63),0,'Données à saisir'!B63)</f>
        <v>0</v>
      </c>
      <c r="T44" s="47" t="str">
        <f>K26</f>
        <v>Achat immobilier</v>
      </c>
      <c r="U44" s="23"/>
      <c r="V44" s="23"/>
      <c r="W44" s="23"/>
      <c r="X44" s="221">
        <f>'Données à saisir'!C51</f>
        <v>0</v>
      </c>
      <c r="Y44" s="221">
        <f>'Données à saisir'!D51</f>
        <v>0</v>
      </c>
      <c r="Z44" s="222">
        <f>'Données à saisir'!E51</f>
        <v>0</v>
      </c>
      <c r="AA44" s="223">
        <f>'Données à saisir'!F51</f>
        <v>0</v>
      </c>
      <c r="AB44" s="224">
        <f>'Données à saisir'!G51</f>
        <v>0</v>
      </c>
      <c r="AE44" s="51" t="s">
        <v>89</v>
      </c>
      <c r="AF44" s="55"/>
      <c r="AG44" s="55"/>
      <c r="AH44" s="55"/>
      <c r="AI44" s="241">
        <f>'Données à saisir'!C39</f>
        <v>606.20000000000005</v>
      </c>
      <c r="AJ44" s="241">
        <f>'Données à saisir'!D39</f>
        <v>606.20000000000005</v>
      </c>
      <c r="AK44" s="242">
        <f>'Données à saisir'!E39</f>
        <v>606.20000000000005</v>
      </c>
      <c r="AL44" s="241">
        <f>'Données à saisir'!F39</f>
        <v>606.20000000000005</v>
      </c>
      <c r="AM44" s="243">
        <f>'Données à saisir'!G39</f>
        <v>606.20000000000005</v>
      </c>
      <c r="AP44" s="338" t="s">
        <v>285</v>
      </c>
      <c r="AQ44" s="55"/>
      <c r="AR44" s="55"/>
      <c r="AS44" s="328">
        <f>AS23</f>
        <v>606.20000000000005</v>
      </c>
      <c r="AT44" s="122"/>
      <c r="AU44" s="328">
        <f>AU23</f>
        <v>606.20000000000005</v>
      </c>
      <c r="AV44" s="122"/>
      <c r="AW44" s="331">
        <f>AW23</f>
        <v>606.20000000000005</v>
      </c>
      <c r="AX44" s="114"/>
      <c r="AY44" s="328">
        <f>AY23</f>
        <v>606.20000000000005</v>
      </c>
      <c r="AZ44" s="122"/>
      <c r="BA44" s="331">
        <f>BA23</f>
        <v>606.20000000000005</v>
      </c>
      <c r="BB44" s="109"/>
      <c r="BE44" s="55"/>
      <c r="BF44" s="52"/>
      <c r="BG44" s="52"/>
      <c r="BH44" s="52"/>
      <c r="BI44" s="398"/>
      <c r="BJ44" s="398"/>
      <c r="BK44" s="398"/>
      <c r="BL44" s="208"/>
      <c r="BM44" s="208"/>
      <c r="BP44" s="55"/>
      <c r="BQ44" s="52"/>
      <c r="BR44" s="52"/>
      <c r="BS44" s="52"/>
      <c r="BT44" s="59"/>
      <c r="BU44" s="59"/>
      <c r="BV44" s="59"/>
      <c r="BW44" s="59"/>
      <c r="BX44" s="59"/>
      <c r="CA44" s="97"/>
      <c r="CB44" s="55"/>
      <c r="CC44" s="55"/>
      <c r="CD44" s="94"/>
      <c r="CE44" s="94"/>
      <c r="CF44" s="94"/>
      <c r="CG44" s="94"/>
      <c r="CH44" s="94"/>
      <c r="CQ44" s="87"/>
    </row>
    <row r="45" spans="2:96" ht="15" customHeight="1" x14ac:dyDescent="0.25">
      <c r="B45" s="31"/>
      <c r="C45" s="431" t="str">
        <f>IF(ISBLANK('Données à saisir'!B11),"",('Données à saisir'!B11))</f>
        <v>Bordeaux</v>
      </c>
      <c r="D45" s="431"/>
      <c r="E45" s="431"/>
      <c r="F45" s="431"/>
      <c r="G45" s="431"/>
      <c r="H45" s="32"/>
      <c r="K45" s="43" t="str">
        <f>IF(ISBLANK('Données à saisir'!A64),"",'Données à saisir'!A64)</f>
        <v>Subvention n°1 (libellé)</v>
      </c>
      <c r="L45" s="23"/>
      <c r="M45" s="23"/>
      <c r="N45" s="23"/>
      <c r="O45" s="23"/>
      <c r="P45" s="23"/>
      <c r="Q45" s="303">
        <f>IF(ISBLANK('Données à saisir'!B64),0,'Données à saisir'!B64)</f>
        <v>0</v>
      </c>
      <c r="T45" s="47" t="str">
        <f>K27</f>
        <v>Travaux et aménagements</v>
      </c>
      <c r="U45" s="23"/>
      <c r="V45" s="23"/>
      <c r="W45" s="23"/>
      <c r="X45" s="221">
        <f>'Données à saisir'!C52</f>
        <v>0</v>
      </c>
      <c r="Y45" s="221">
        <f>'Données à saisir'!D52</f>
        <v>0</v>
      </c>
      <c r="Z45" s="222">
        <f>'Données à saisir'!E52</f>
        <v>0</v>
      </c>
      <c r="AA45" s="223">
        <f>'Données à saisir'!F52</f>
        <v>0</v>
      </c>
      <c r="AB45" s="224">
        <f>'Données à saisir'!G52</f>
        <v>0</v>
      </c>
      <c r="AE45" s="66" t="s">
        <v>131</v>
      </c>
      <c r="AF45" s="67"/>
      <c r="AG45" s="67"/>
      <c r="AH45" s="67"/>
      <c r="AI45" s="68">
        <f>AI42-AI43-AI44</f>
        <v>48684.61</v>
      </c>
      <c r="AJ45" s="68">
        <f t="shared" ref="AJ45:AK45" si="55">AJ42-AJ43-AJ44</f>
        <v>3247.7700000000032</v>
      </c>
      <c r="AK45" s="115">
        <f t="shared" si="55"/>
        <v>9103.7700000000023</v>
      </c>
      <c r="AL45" s="68">
        <f t="shared" ref="AL45:AM45" si="56">AL42-AL43-AL44</f>
        <v>15637.770000000002</v>
      </c>
      <c r="AM45" s="69">
        <f t="shared" si="56"/>
        <v>22825.17</v>
      </c>
      <c r="AP45" s="336" t="s">
        <v>162</v>
      </c>
      <c r="AQ45" s="67"/>
      <c r="AR45" s="67"/>
      <c r="AS45" s="327">
        <f>AS43+AS44</f>
        <v>40614.7192</v>
      </c>
      <c r="AT45" s="121"/>
      <c r="AU45" s="327">
        <f t="shared" ref="AU45:AW45" si="57">AU43+AU44</f>
        <v>3366.8045000000029</v>
      </c>
      <c r="AV45" s="121"/>
      <c r="AW45" s="330">
        <f t="shared" si="57"/>
        <v>8344.4045000000024</v>
      </c>
      <c r="AX45" s="115"/>
      <c r="AY45" s="327">
        <f t="shared" ref="AY45" si="58">AY43+AY44</f>
        <v>13898.304500000002</v>
      </c>
      <c r="AZ45" s="121"/>
      <c r="BA45" s="330">
        <f t="shared" ref="BA45" si="59">BA43+BA44</f>
        <v>20007.594499999999</v>
      </c>
      <c r="BB45" s="69"/>
      <c r="BE45" s="141"/>
      <c r="BF45" s="52"/>
      <c r="BG45" s="52"/>
      <c r="BH45" s="134"/>
      <c r="BI45" s="142"/>
      <c r="BJ45" s="142"/>
      <c r="BK45" s="142"/>
      <c r="BL45" s="142"/>
      <c r="BM45" s="142"/>
      <c r="BP45" s="141"/>
      <c r="BQ45" s="52"/>
      <c r="BR45" s="52"/>
      <c r="BS45" s="134"/>
      <c r="BT45" s="142"/>
      <c r="BU45" s="142"/>
      <c r="BV45" s="142"/>
      <c r="BW45" s="142"/>
      <c r="BX45" s="142"/>
      <c r="CA45" s="358" t="s">
        <v>296</v>
      </c>
      <c r="CB45" s="52"/>
      <c r="CC45" s="52"/>
      <c r="CD45" s="94"/>
      <c r="CE45" s="94"/>
      <c r="CF45" s="94"/>
      <c r="CG45" s="94"/>
      <c r="CH45" s="94"/>
      <c r="CQ45" s="87"/>
    </row>
    <row r="46" spans="2:96" ht="15" customHeight="1" x14ac:dyDescent="0.25">
      <c r="B46" s="31"/>
      <c r="C46" s="23"/>
      <c r="D46" s="23"/>
      <c r="E46" s="23"/>
      <c r="F46" s="23"/>
      <c r="G46" s="23"/>
      <c r="H46" s="32"/>
      <c r="K46" s="43" t="str">
        <f>IF(ISBLANK('Données à saisir'!A65),"",'Données à saisir'!A65)</f>
        <v>Subvention n°2 (libellé)</v>
      </c>
      <c r="L46" s="23"/>
      <c r="M46" s="23"/>
      <c r="N46" s="23"/>
      <c r="O46" s="23"/>
      <c r="P46" s="23"/>
      <c r="Q46" s="303">
        <f>IF(ISBLANK('Données à saisir'!B65),0,'Données à saisir'!B65)</f>
        <v>0</v>
      </c>
      <c r="T46" s="47" t="str">
        <f>K28</f>
        <v>Matériel</v>
      </c>
      <c r="U46" s="23"/>
      <c r="V46" s="23"/>
      <c r="W46" s="23"/>
      <c r="X46" s="221">
        <f>'Données à saisir'!C53</f>
        <v>300</v>
      </c>
      <c r="Y46" s="221">
        <f>'Données à saisir'!D53</f>
        <v>300</v>
      </c>
      <c r="Z46" s="222">
        <f>'Données à saisir'!E53</f>
        <v>300</v>
      </c>
      <c r="AA46" s="223">
        <f>'Données à saisir'!F53</f>
        <v>300</v>
      </c>
      <c r="AB46" s="224">
        <f>'Données à saisir'!G53</f>
        <v>300</v>
      </c>
      <c r="AE46" s="51" t="str">
        <f>IF(ISERROR(+IF((VLOOKUP('Données à saisir'!B8,'Données à saisir'!J11:K16,2,0))="IR","","Impôt sur les sociétés")),"",+IF((VLOOKUP('Données à saisir'!B8,'Données à saisir'!J11:K16,2,0))="IR","","Impôt sur les sociétés"))</f>
        <v>Impôt sur les sociétés</v>
      </c>
      <c r="AF46" s="52"/>
      <c r="AG46" s="52"/>
      <c r="AH46" s="52"/>
      <c r="AI46" s="241">
        <f>IF(AE46="Impôt sur les sociétés",IF(AI45&lt;0,0,IF(AI45&gt;38120,38120*0.15+(AI45-38120)*28%,AI45*0.15)),"")</f>
        <v>8676.0907999999999</v>
      </c>
      <c r="AJ46" s="241">
        <f>IF(AE46="Impôt sur les sociétés",IF(AJ45&lt;0,0,IF(AJ45&gt;38120,38120*0.15+(AJ45-38120)*28%,AJ45*0.15)),"")</f>
        <v>487.16550000000046</v>
      </c>
      <c r="AK46" s="242">
        <f>+IF(AE46="Impôt sur les sociétés",IF(AK45&lt;0,0,IF(AK45&gt;38120,38120*0.15+(AK45-38120)*28%,AK45*0.15)),"")</f>
        <v>1365.5655000000004</v>
      </c>
      <c r="AL46" s="241">
        <f>+IF(AE46="Impôt sur les sociétés",IF(AL45&lt;0,0,IF(AL45&gt;38120,38120*0.15+(AL45-38120)*28%,AL45*0.15)),"")</f>
        <v>2345.6655000000001</v>
      </c>
      <c r="AM46" s="243">
        <f>+IF(AE46="Impôt sur les sociétés",IF(AM45&lt;0,0,IF(AM45&gt;38120,38120*0.15+(AM45-38120)*28%,AM45*0.15)),"")</f>
        <v>3423.7754999999997</v>
      </c>
      <c r="AP46" s="339" t="s">
        <v>284</v>
      </c>
      <c r="AQ46" s="52"/>
      <c r="AR46" s="52"/>
      <c r="AS46" s="328">
        <f>IF(ISERROR(SUM('Données à saisir'!L70:L72)),0,SUM('Données à saisir'!L70:L72))</f>
        <v>0</v>
      </c>
      <c r="AT46" s="122"/>
      <c r="AU46" s="328">
        <f>SUM('Données à saisir'!M70:M72)</f>
        <v>0</v>
      </c>
      <c r="AV46" s="122"/>
      <c r="AW46" s="331">
        <f>SUM('Données à saisir'!N70:N72)</f>
        <v>0</v>
      </c>
      <c r="AX46" s="114"/>
      <c r="AY46" s="328">
        <f>SUM('Données à saisir'!O70:O72)</f>
        <v>0</v>
      </c>
      <c r="AZ46" s="122"/>
      <c r="BA46" s="331">
        <f>SUM('Données à saisir'!P70:P72)</f>
        <v>0</v>
      </c>
      <c r="BB46" s="109"/>
      <c r="BE46" s="141"/>
      <c r="BF46" s="52"/>
      <c r="BG46" s="52"/>
      <c r="BH46" s="134"/>
      <c r="BI46" s="142"/>
      <c r="BJ46" s="142"/>
      <c r="BK46" s="142"/>
      <c r="BL46" s="142"/>
      <c r="BM46" s="142"/>
      <c r="BP46" s="141"/>
      <c r="BQ46" s="52"/>
      <c r="BR46" s="52"/>
      <c r="BS46" s="134"/>
      <c r="BT46" s="142"/>
      <c r="BU46" s="142"/>
      <c r="BV46" s="142"/>
      <c r="BW46" s="142"/>
      <c r="BX46" s="142"/>
      <c r="CA46" s="359" t="s">
        <v>297</v>
      </c>
      <c r="CB46" s="52"/>
      <c r="CC46" s="52"/>
      <c r="CD46" s="94"/>
      <c r="CE46" s="94"/>
      <c r="CF46" s="94"/>
      <c r="CG46" s="94"/>
      <c r="CH46" s="94"/>
    </row>
    <row r="47" spans="2:96" ht="15" customHeight="1" x14ac:dyDescent="0.25">
      <c r="B47" s="31"/>
      <c r="C47" s="23"/>
      <c r="D47" s="23"/>
      <c r="E47" s="23"/>
      <c r="F47" s="23"/>
      <c r="G47" s="23"/>
      <c r="H47" s="32"/>
      <c r="K47" s="43" t="str">
        <f>IF(ISBLANK('Données à saisir'!A66),"",'Données à saisir'!A66)</f>
        <v>Investisseurs</v>
      </c>
      <c r="L47" s="23"/>
      <c r="M47" s="23"/>
      <c r="N47" s="23"/>
      <c r="O47" s="23"/>
      <c r="P47" s="23"/>
      <c r="Q47" s="303">
        <f>IF(ISBLANK('Données à saisir'!B66),"",'Données à saisir'!B66)</f>
        <v>6031</v>
      </c>
      <c r="T47" s="47" t="str">
        <f>K29</f>
        <v>Matériel de bureau</v>
      </c>
      <c r="U47" s="23"/>
      <c r="V47" s="23"/>
      <c r="W47" s="23"/>
      <c r="X47" s="221">
        <f>'Données à saisir'!C54</f>
        <v>0</v>
      </c>
      <c r="Y47" s="221">
        <f>'Données à saisir'!D54</f>
        <v>0</v>
      </c>
      <c r="Z47" s="222">
        <f>'Données à saisir'!E54</f>
        <v>0</v>
      </c>
      <c r="AA47" s="223">
        <f>'Données à saisir'!F54</f>
        <v>0</v>
      </c>
      <c r="AB47" s="224">
        <f>'Données à saisir'!G54</f>
        <v>0</v>
      </c>
      <c r="AE47" s="54"/>
      <c r="AF47" s="52"/>
      <c r="AG47" s="52"/>
      <c r="AH47" s="52"/>
      <c r="AI47" s="250"/>
      <c r="AJ47" s="250"/>
      <c r="AK47" s="242"/>
      <c r="AL47" s="241"/>
      <c r="AM47" s="243"/>
      <c r="AP47" s="337" t="s">
        <v>165</v>
      </c>
      <c r="AQ47" s="110"/>
      <c r="AR47" s="110"/>
      <c r="AS47" s="329">
        <f>AS45-AS46</f>
        <v>40614.7192</v>
      </c>
      <c r="AT47" s="123"/>
      <c r="AU47" s="329">
        <f>AU45-AU46</f>
        <v>3366.8045000000029</v>
      </c>
      <c r="AV47" s="123"/>
      <c r="AW47" s="332">
        <f>AW45-AW46</f>
        <v>8344.4045000000024</v>
      </c>
      <c r="AX47" s="116"/>
      <c r="AY47" s="329">
        <f>AY45-AY46</f>
        <v>13898.304500000002</v>
      </c>
      <c r="AZ47" s="123"/>
      <c r="BA47" s="332">
        <f>BA45-BA46</f>
        <v>20007.594499999999</v>
      </c>
      <c r="BB47" s="62"/>
      <c r="BE47" s="144"/>
      <c r="BF47" s="145"/>
      <c r="BG47" s="52"/>
      <c r="BH47" s="145"/>
      <c r="BI47" s="146"/>
      <c r="BJ47" s="146"/>
      <c r="BK47" s="146"/>
      <c r="BL47" s="146"/>
      <c r="BM47" s="146"/>
      <c r="BP47" s="144"/>
      <c r="BQ47" s="145"/>
      <c r="BR47" s="52"/>
      <c r="BS47" s="145"/>
      <c r="BT47" s="146"/>
      <c r="BU47" s="146"/>
      <c r="BV47" s="146"/>
      <c r="BW47" s="146"/>
      <c r="BX47" s="146"/>
      <c r="CA47" s="98"/>
      <c r="CB47" s="52"/>
      <c r="CC47" s="52"/>
      <c r="CD47" s="114"/>
      <c r="CE47" s="114"/>
      <c r="CF47" s="114"/>
      <c r="CG47" s="114"/>
      <c r="CH47" s="94"/>
    </row>
    <row r="48" spans="2:96" ht="15" customHeight="1" x14ac:dyDescent="0.25">
      <c r="B48" s="31"/>
      <c r="C48" s="427">
        <f ca="1">TODAY()</f>
        <v>43803</v>
      </c>
      <c r="D48" s="428"/>
      <c r="E48" s="428"/>
      <c r="F48" s="428"/>
      <c r="G48" s="428"/>
      <c r="H48" s="32"/>
      <c r="K48" s="40"/>
      <c r="Q48" s="305"/>
      <c r="T48" s="100"/>
      <c r="U48" s="41"/>
      <c r="V48" s="41"/>
      <c r="W48" s="41"/>
      <c r="X48" s="226"/>
      <c r="Y48" s="226"/>
      <c r="Z48" s="227"/>
      <c r="AA48" s="226"/>
      <c r="AB48" s="228"/>
      <c r="AE48" s="66" t="s">
        <v>254</v>
      </c>
      <c r="AF48" s="67"/>
      <c r="AG48" s="67"/>
      <c r="AH48" s="67"/>
      <c r="AI48" s="68">
        <f>AI45-SUM(AI46)</f>
        <v>40008.519200000002</v>
      </c>
      <c r="AJ48" s="68">
        <f t="shared" ref="AJ48:AK48" si="60">AJ45-SUM(AJ46)</f>
        <v>2760.6045000000026</v>
      </c>
      <c r="AK48" s="115">
        <f t="shared" si="60"/>
        <v>7738.2045000000016</v>
      </c>
      <c r="AL48" s="68">
        <f t="shared" ref="AL48:AM48" si="61">AL45-SUM(AL46)</f>
        <v>13292.104500000001</v>
      </c>
      <c r="AM48" s="69">
        <f t="shared" si="61"/>
        <v>19401.394499999999</v>
      </c>
      <c r="BE48" s="52"/>
      <c r="BF48" s="52"/>
      <c r="BG48" s="52"/>
      <c r="BH48" s="52"/>
      <c r="BI48" s="52"/>
      <c r="BJ48" s="52"/>
      <c r="BK48" s="52"/>
      <c r="BL48" s="52"/>
      <c r="BM48" s="52"/>
      <c r="CA48" s="55"/>
      <c r="CB48" s="52"/>
      <c r="CC48" s="52"/>
      <c r="CD48" s="94"/>
      <c r="CE48" s="94"/>
      <c r="CF48" s="94"/>
      <c r="CG48" s="94"/>
      <c r="CH48" s="94"/>
    </row>
    <row r="49" spans="2:96" ht="15" customHeight="1" thickBot="1" x14ac:dyDescent="0.3">
      <c r="B49" s="33"/>
      <c r="C49" s="34"/>
      <c r="D49" s="34"/>
      <c r="E49" s="34"/>
      <c r="F49" s="34"/>
      <c r="G49" s="34"/>
      <c r="H49" s="35"/>
      <c r="K49" s="49"/>
      <c r="L49" s="41"/>
      <c r="M49" s="41"/>
      <c r="N49" s="41"/>
      <c r="O49" s="50" t="s">
        <v>80</v>
      </c>
      <c r="P49" s="41"/>
      <c r="Q49" s="48">
        <f>SUM(Q38,Q41,Q45:Q47)</f>
        <v>13031</v>
      </c>
      <c r="T49" s="103" t="s">
        <v>154</v>
      </c>
      <c r="U49" s="102"/>
      <c r="V49" s="102"/>
      <c r="W49" s="102"/>
      <c r="X49" s="229">
        <f>SUM(X32,X41)</f>
        <v>606.20000000000005</v>
      </c>
      <c r="Y49" s="229">
        <f>SUM(Y32,Y41)</f>
        <v>606.20000000000005</v>
      </c>
      <c r="Z49" s="230">
        <f>SUM(Z32,Z41)</f>
        <v>606.20000000000005</v>
      </c>
      <c r="AA49" s="229">
        <f>SUM(AA32,AA41)</f>
        <v>606.20000000000005</v>
      </c>
      <c r="AB49" s="231">
        <f>SUM(AB32,AB41)</f>
        <v>606.20000000000005</v>
      </c>
      <c r="AE49" s="56"/>
      <c r="AF49" s="57"/>
      <c r="AG49" s="57"/>
      <c r="AH49" s="57"/>
      <c r="AI49" s="64"/>
      <c r="AJ49" s="65"/>
      <c r="AK49" s="116"/>
      <c r="AL49" s="64"/>
      <c r="AM49" s="62"/>
      <c r="CA49" s="98"/>
      <c r="CB49" s="52"/>
      <c r="CC49" s="52"/>
      <c r="CD49" s="94"/>
      <c r="CE49" s="94"/>
      <c r="CF49" s="94"/>
      <c r="CG49" s="114"/>
      <c r="CH49" s="94"/>
    </row>
    <row r="50" spans="2:96" s="4" customFormat="1" ht="93" customHeight="1" thickTop="1" x14ac:dyDescent="0.25">
      <c r="B50" s="160"/>
      <c r="H50" s="4">
        <v>1</v>
      </c>
      <c r="K50" s="160"/>
      <c r="Q50" s="4">
        <v>2</v>
      </c>
      <c r="T50" s="160"/>
      <c r="AB50" s="4">
        <v>3</v>
      </c>
      <c r="AD50" s="160"/>
      <c r="AE50" s="160" t="s">
        <v>264</v>
      </c>
      <c r="AM50" s="4">
        <v>4</v>
      </c>
      <c r="AP50" s="160"/>
      <c r="BB50" s="4">
        <v>5</v>
      </c>
      <c r="BE50" s="160"/>
      <c r="BM50" s="4">
        <v>6</v>
      </c>
      <c r="BP50" s="160"/>
      <c r="BX50" s="4">
        <v>7</v>
      </c>
      <c r="CA50" s="160"/>
      <c r="CH50" s="4">
        <v>8</v>
      </c>
      <c r="CK50" s="160"/>
      <c r="CR50" s="4">
        <v>9</v>
      </c>
    </row>
    <row r="52" spans="2:96" ht="15" customHeight="1" x14ac:dyDescent="0.25">
      <c r="X52" s="87"/>
      <c r="AI52" s="87"/>
      <c r="AS52" s="87"/>
      <c r="AT52" s="87"/>
      <c r="BI52" s="87"/>
      <c r="BT52" s="87"/>
      <c r="CE52" s="152"/>
      <c r="CF52" s="152"/>
    </row>
    <row r="53" spans="2:96" ht="15" hidden="1" customHeight="1" x14ac:dyDescent="0.25">
      <c r="X53" s="87"/>
      <c r="Y53" s="87"/>
      <c r="Z53" s="87"/>
      <c r="AA53" s="87"/>
      <c r="AB53" s="87"/>
      <c r="AE53" t="s">
        <v>121</v>
      </c>
      <c r="AI53" s="87">
        <f>AI36-SUM(AI37:AI39,AI43:AI44)</f>
        <v>49886.61</v>
      </c>
      <c r="AJ53" s="87">
        <f>AJ36-SUM(AJ37:AJ39,AJ43:AJ44)</f>
        <v>4449.7700000000041</v>
      </c>
      <c r="AK53" s="87">
        <f>AK36-SUM(AK37:AK39,AK43:AK44)</f>
        <v>10305.770000000004</v>
      </c>
      <c r="AL53" s="87">
        <f>AL36-SUM(AL37:AL39,AL43:AL44)</f>
        <v>16839.770000000004</v>
      </c>
      <c r="AM53" s="87">
        <f>AM36-SUM(AM37:AM39,AM43:AM44)</f>
        <v>24027.17</v>
      </c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I53" s="87"/>
      <c r="BJ53" s="87"/>
      <c r="BK53" s="87"/>
      <c r="BL53" s="87"/>
      <c r="BM53" s="87"/>
      <c r="BT53" s="87"/>
      <c r="BU53" s="87"/>
      <c r="BV53" s="87"/>
      <c r="BW53" s="87"/>
      <c r="BX53" s="87"/>
      <c r="CE53" s="152"/>
      <c r="CF53" s="152"/>
      <c r="CG53" s="152"/>
      <c r="CH53" s="152"/>
    </row>
    <row r="54" spans="2:96" ht="15" customHeight="1" x14ac:dyDescent="0.25">
      <c r="AK54" s="87"/>
      <c r="AL54" s="87"/>
      <c r="AM54" s="87"/>
    </row>
    <row r="55" spans="2:96" ht="15" customHeight="1" x14ac:dyDescent="0.25">
      <c r="AI55" s="87"/>
    </row>
    <row r="56" spans="2:96" ht="15" customHeight="1" x14ac:dyDescent="0.25">
      <c r="AI56" s="87"/>
    </row>
  </sheetData>
  <mergeCells count="76">
    <mergeCell ref="C48:G48"/>
    <mergeCell ref="C34:G36"/>
    <mergeCell ref="C43:G43"/>
    <mergeCell ref="C45:G45"/>
    <mergeCell ref="C44:G44"/>
    <mergeCell ref="K2:Q4"/>
    <mergeCell ref="K9:P10"/>
    <mergeCell ref="Q9:Q10"/>
    <mergeCell ref="C24:G26"/>
    <mergeCell ref="A1:H9"/>
    <mergeCell ref="AP35:BB37"/>
    <mergeCell ref="B15:H21"/>
    <mergeCell ref="AK8:AK9"/>
    <mergeCell ref="Q35:Q36"/>
    <mergeCell ref="K35:P36"/>
    <mergeCell ref="AI8:AI9"/>
    <mergeCell ref="AJ8:AJ9"/>
    <mergeCell ref="C29:G33"/>
    <mergeCell ref="T26:AB28"/>
    <mergeCell ref="AS11:AS12"/>
    <mergeCell ref="AU11:AU12"/>
    <mergeCell ref="AW11:AW12"/>
    <mergeCell ref="AX11:AX12"/>
    <mergeCell ref="AT11:AT12"/>
    <mergeCell ref="AV11:AV12"/>
    <mergeCell ref="AW41:AW42"/>
    <mergeCell ref="AU41:AU42"/>
    <mergeCell ref="AS41:AS42"/>
    <mergeCell ref="BI43:BI44"/>
    <mergeCell ref="BJ43:BJ44"/>
    <mergeCell ref="AY41:AY42"/>
    <mergeCell ref="BA41:BA42"/>
    <mergeCell ref="BI9:BI10"/>
    <mergeCell ref="BJ9:BJ10"/>
    <mergeCell ref="BK9:BK10"/>
    <mergeCell ref="BI35:BI36"/>
    <mergeCell ref="BJ35:BJ36"/>
    <mergeCell ref="BK35:BK36"/>
    <mergeCell ref="CR14:CR15"/>
    <mergeCell ref="CA2:CH4"/>
    <mergeCell ref="BK43:BK44"/>
    <mergeCell ref="BT12:BT14"/>
    <mergeCell ref="BU12:BU14"/>
    <mergeCell ref="BV12:BV14"/>
    <mergeCell ref="BS29:BT29"/>
    <mergeCell ref="CK2:CR4"/>
    <mergeCell ref="CD14:CD15"/>
    <mergeCell ref="CE14:CE15"/>
    <mergeCell ref="CF14:CF15"/>
    <mergeCell ref="CG14:CG15"/>
    <mergeCell ref="CH14:CH15"/>
    <mergeCell ref="CK14:CK15"/>
    <mergeCell ref="CL14:CL15"/>
    <mergeCell ref="CM14:CM15"/>
    <mergeCell ref="CN14:CN15"/>
    <mergeCell ref="CO14:CO15"/>
    <mergeCell ref="CP14:CP15"/>
    <mergeCell ref="CQ14:CQ15"/>
    <mergeCell ref="BA11:BA12"/>
    <mergeCell ref="BB11:BB12"/>
    <mergeCell ref="T2:AB4"/>
    <mergeCell ref="BL35:BL36"/>
    <mergeCell ref="BM35:BM36"/>
    <mergeCell ref="BX12:BX14"/>
    <mergeCell ref="BE2:BM4"/>
    <mergeCell ref="BL9:BL10"/>
    <mergeCell ref="BM9:BM10"/>
    <mergeCell ref="BE30:BM32"/>
    <mergeCell ref="BP2:BX4"/>
    <mergeCell ref="BW12:BW14"/>
    <mergeCell ref="AE2:AM4"/>
    <mergeCell ref="AL8:AL9"/>
    <mergeCell ref="AM8:AM9"/>
    <mergeCell ref="AP2:BB4"/>
    <mergeCell ref="AY11:AY12"/>
    <mergeCell ref="AZ11:AZ12"/>
  </mergeCells>
  <printOptions horizontalCentered="1" verticalCentered="1"/>
  <pageMargins left="0" right="0" top="0" bottom="0" header="0.31496062992125984" footer="0.31496062992125984"/>
  <pageSetup paperSize="9" scale="93" fitToWidth="9" orientation="portrait" r:id="rId1"/>
  <colBreaks count="8" manualBreakCount="8">
    <brk id="9" max="48" man="1"/>
    <brk id="18" max="48" man="1"/>
    <brk id="29" max="48" man="1"/>
    <brk id="40" max="48" man="1"/>
    <brk id="55" max="48" man="1"/>
    <brk id="66" max="48" man="1"/>
    <brk id="77" max="48" man="1"/>
    <brk id="87" max="4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Données à saisir</vt:lpstr>
      <vt:lpstr>Plan financier à imprimer</vt:lpstr>
      <vt:lpstr>'Plan financier à imprimer'!Print_Area</vt:lpstr>
    </vt:vector>
  </TitlesOfParts>
  <Company>TIPSO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HHH</cp:lastModifiedBy>
  <cp:lastPrinted>2018-05-14T11:55:24Z</cp:lastPrinted>
  <dcterms:created xsi:type="dcterms:W3CDTF">2016-07-10T11:43:10Z</dcterms:created>
  <dcterms:modified xsi:type="dcterms:W3CDTF">2019-12-04T22:40:02Z</dcterms:modified>
</cp:coreProperties>
</file>