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15" yWindow="4260" windowWidth="14445" windowHeight="3885" tabRatio="860"/>
  </bookViews>
  <sheets>
    <sheet name="客户输入" sheetId="1" r:id="rId1"/>
    <sheet name="Template" sheetId="2" r:id="rId2"/>
    <sheet name="TemplateSeason" sheetId="28" r:id="rId3"/>
    <sheet name="Template_2sets" sheetId="13" r:id="rId4"/>
    <sheet name="Results 6FASets2_56" sheetId="34" r:id="rId5"/>
    <sheet name="Template_2setsSeason" sheetId="29" r:id="rId6"/>
    <sheet name="ROI" sheetId="19" r:id="rId7"/>
    <sheet name="Weather Data" sheetId="30" r:id="rId8"/>
  </sheets>
  <functionGroups builtInGroupCount="17"/>
  <definedNames>
    <definedName name="hello">客户输入!$A$43</definedName>
    <definedName name="_xlnm.Print_Area" localSheetId="4">'Results 6FASets2_56'!$A:$I</definedName>
    <definedName name="_xlnm.Print_Area" localSheetId="1">Template!$A:$I</definedName>
    <definedName name="_xlnm.Print_Area" localSheetId="5">Template_2setsSeason!$A:$I</definedName>
    <definedName name="_xlnm.Print_Area" localSheetId="2">TemplateSeason!$A:$I</definedName>
  </definedNames>
  <calcPr calcId="145621"/>
</workbook>
</file>

<file path=xl/calcChain.xml><?xml version="1.0" encoding="utf-8"?>
<calcChain xmlns="http://schemas.openxmlformats.org/spreadsheetml/2006/main">
  <c r="AC18" i="34" l="1"/>
  <c r="AC19" i="34" s="1"/>
  <c r="AC16" i="34"/>
  <c r="AC17" i="34" s="1"/>
  <c r="AC14" i="34"/>
  <c r="AC15" i="34" s="1"/>
  <c r="AC12" i="34"/>
  <c r="G28" i="34" s="1"/>
  <c r="AB4" i="34"/>
  <c r="AD3" i="34"/>
  <c r="AB3" i="34"/>
  <c r="AD4" i="34" l="1"/>
  <c r="G29" i="34"/>
  <c r="E29" i="34"/>
  <c r="E28" i="34"/>
  <c r="AC13" i="34"/>
  <c r="N15" i="19"/>
  <c r="O15" i="19" s="1"/>
  <c r="AB5" i="34" l="1"/>
  <c r="AD5" i="34"/>
  <c r="C18" i="19"/>
  <c r="C17" i="19"/>
  <c r="C16" i="19"/>
  <c r="AC18" i="29"/>
  <c r="AC19" i="29" s="1"/>
  <c r="AC16" i="29"/>
  <c r="AC17" i="29" s="1"/>
  <c r="AC14" i="29"/>
  <c r="AC15" i="29" s="1"/>
  <c r="AC12" i="29"/>
  <c r="AG5" i="29"/>
  <c r="AF5" i="29"/>
  <c r="AG4" i="29"/>
  <c r="AG6" i="29" s="1"/>
  <c r="AF4" i="29"/>
  <c r="AE4" i="29"/>
  <c r="AC4" i="29"/>
  <c r="AD3" i="29"/>
  <c r="AB3" i="29"/>
  <c r="E30" i="34" l="1"/>
  <c r="AB6" i="34"/>
  <c r="AD6" i="34"/>
  <c r="G30" i="34"/>
  <c r="G29" i="29"/>
  <c r="AB4" i="29"/>
  <c r="AF6" i="29"/>
  <c r="AC5" i="29"/>
  <c r="E29" i="29"/>
  <c r="AC13" i="29"/>
  <c r="G28" i="29"/>
  <c r="E28" i="29"/>
  <c r="AD4" i="29"/>
  <c r="AE5" i="29"/>
  <c r="AC16" i="13"/>
  <c r="AC14" i="13"/>
  <c r="AC12" i="13"/>
  <c r="E29" i="13" l="1"/>
  <c r="G29" i="13"/>
  <c r="E30" i="13"/>
  <c r="G30" i="13"/>
  <c r="G28" i="13"/>
  <c r="E28" i="13"/>
  <c r="AB5" i="29"/>
  <c r="AC6" i="29"/>
  <c r="AE6" i="29"/>
  <c r="AD5" i="29"/>
  <c r="AC12" i="28"/>
  <c r="AD19" i="28"/>
  <c r="AD18" i="28"/>
  <c r="AD17" i="28"/>
  <c r="AD16" i="28"/>
  <c r="AD15" i="28"/>
  <c r="AD14" i="28"/>
  <c r="AD13" i="28"/>
  <c r="AD12" i="28"/>
  <c r="AC18" i="28"/>
  <c r="AC16" i="28"/>
  <c r="AC17" i="28" s="1"/>
  <c r="AC14" i="28"/>
  <c r="E8" i="19"/>
  <c r="B97" i="19"/>
  <c r="E95" i="19"/>
  <c r="E99" i="19" s="1"/>
  <c r="E93" i="19"/>
  <c r="B70" i="19"/>
  <c r="E64" i="19"/>
  <c r="E97" i="19" s="1"/>
  <c r="F60" i="19"/>
  <c r="E60" i="19"/>
  <c r="B60" i="19"/>
  <c r="B61" i="19" s="1"/>
  <c r="E44" i="19"/>
  <c r="F44" i="19" s="1"/>
  <c r="G44" i="19" s="1"/>
  <c r="H44" i="19" s="1"/>
  <c r="I44" i="19" s="1"/>
  <c r="J44" i="19" s="1"/>
  <c r="K44" i="19" s="1"/>
  <c r="L44" i="19" s="1"/>
  <c r="M44" i="19" s="1"/>
  <c r="N44" i="19" s="1"/>
  <c r="O44" i="19" s="1"/>
  <c r="P44" i="19" s="1"/>
  <c r="Q44" i="19" s="1"/>
  <c r="R44" i="19" s="1"/>
  <c r="E37" i="19"/>
  <c r="D31" i="19"/>
  <c r="D30" i="19"/>
  <c r="D29" i="19"/>
  <c r="J21" i="19"/>
  <c r="J19" i="19"/>
  <c r="J20" i="19" s="1"/>
  <c r="D18" i="19"/>
  <c r="D17" i="19"/>
  <c r="D16" i="19"/>
  <c r="E12" i="19"/>
  <c r="G8" i="19"/>
  <c r="D8" i="19"/>
  <c r="D7" i="19" s="1"/>
  <c r="C8" i="19"/>
  <c r="B8" i="19"/>
  <c r="B7" i="19" s="1"/>
  <c r="G7" i="19"/>
  <c r="C7" i="19"/>
  <c r="G6" i="19"/>
  <c r="G5" i="19"/>
  <c r="AD12" i="2"/>
  <c r="AD13" i="2" s="1"/>
  <c r="AD14" i="2"/>
  <c r="AD15" i="2" s="1"/>
  <c r="AB4" i="2"/>
  <c r="AB5" i="2" s="1"/>
  <c r="AC16" i="2"/>
  <c r="AC14" i="2"/>
  <c r="AC12" i="2"/>
  <c r="AC13" i="2" l="1"/>
  <c r="G28" i="2"/>
  <c r="E28" i="2"/>
  <c r="AC15" i="2"/>
  <c r="E29" i="2"/>
  <c r="G29" i="2"/>
  <c r="AC17" i="2"/>
  <c r="E30" i="2"/>
  <c r="G30" i="2"/>
  <c r="AC13" i="28"/>
  <c r="G28" i="28"/>
  <c r="E28" i="28"/>
  <c r="AC19" i="28"/>
  <c r="G30" i="28" s="1"/>
  <c r="E30" i="28"/>
  <c r="AC15" i="28"/>
  <c r="E29" i="28"/>
  <c r="G29" i="28"/>
  <c r="AD6" i="29"/>
  <c r="G30" i="29"/>
  <c r="AB6" i="29"/>
  <c r="E30" i="29"/>
  <c r="J22" i="19"/>
  <c r="C59" i="19" s="1"/>
  <c r="E41" i="19"/>
  <c r="E46" i="19" s="1"/>
  <c r="R52" i="19"/>
  <c r="S44" i="19"/>
  <c r="T44" i="19" s="1"/>
  <c r="U44" i="19" s="1"/>
  <c r="V44" i="19" s="1"/>
  <c r="W44" i="19" s="1"/>
  <c r="X44" i="19" s="1"/>
  <c r="L52" i="19"/>
  <c r="E40" i="19"/>
  <c r="E47" i="19" s="1"/>
  <c r="T52" i="19"/>
  <c r="O52" i="19"/>
  <c r="J52" i="19"/>
  <c r="W52" i="19"/>
  <c r="G52" i="19"/>
  <c r="U52" i="19"/>
  <c r="Q52" i="19"/>
  <c r="M52" i="19"/>
  <c r="I52" i="19"/>
  <c r="E52" i="19"/>
  <c r="F37" i="19"/>
  <c r="G37" i="19" s="1"/>
  <c r="F39" i="19"/>
  <c r="F41" i="19"/>
  <c r="F46" i="19" s="1"/>
  <c r="F52" i="19"/>
  <c r="K52" i="19"/>
  <c r="P52" i="19"/>
  <c r="V52" i="19"/>
  <c r="H52" i="19"/>
  <c r="N52" i="19"/>
  <c r="S52" i="19"/>
  <c r="X52" i="19"/>
  <c r="E39" i="19"/>
  <c r="F64" i="19"/>
  <c r="F93" i="19"/>
  <c r="G93" i="19" s="1"/>
  <c r="F95" i="19"/>
  <c r="AD16" i="2"/>
  <c r="AD17" i="2" s="1"/>
  <c r="J23" i="19" l="1"/>
  <c r="E67" i="19"/>
  <c r="D77" i="19"/>
  <c r="C60" i="19"/>
  <c r="C61" i="19" s="1"/>
  <c r="G95" i="19"/>
  <c r="H93" i="19"/>
  <c r="F97" i="19"/>
  <c r="G64" i="19"/>
  <c r="H37" i="19"/>
  <c r="G39" i="19"/>
  <c r="G41" i="19"/>
  <c r="G46" i="19" s="1"/>
  <c r="F40" i="19"/>
  <c r="F47" i="19" s="1"/>
  <c r="F48" i="19" s="1"/>
  <c r="Y52" i="19"/>
  <c r="E48" i="19"/>
  <c r="N17" i="19" s="1"/>
  <c r="O17" i="19" s="1"/>
  <c r="F99" i="19"/>
  <c r="F67" i="19" s="1"/>
  <c r="G40" i="19"/>
  <c r="G47" i="19" s="1"/>
  <c r="AD3" i="13"/>
  <c r="AB3" i="13"/>
  <c r="AG5" i="13"/>
  <c r="AG4" i="13"/>
  <c r="AF5" i="13"/>
  <c r="AF4" i="13"/>
  <c r="G48" i="19" l="1"/>
  <c r="D75" i="19"/>
  <c r="I93" i="19"/>
  <c r="H95" i="19"/>
  <c r="I37" i="19"/>
  <c r="H40" i="19"/>
  <c r="H47" i="19" s="1"/>
  <c r="H39" i="19"/>
  <c r="H41" i="19"/>
  <c r="H46" i="19" s="1"/>
  <c r="G97" i="19"/>
  <c r="G99" i="19" s="1"/>
  <c r="G67" i="19" s="1"/>
  <c r="H64" i="19"/>
  <c r="F59" i="19"/>
  <c r="E68" i="19"/>
  <c r="H48" i="19" l="1"/>
  <c r="J93" i="19"/>
  <c r="I95" i="19"/>
  <c r="E74" i="19"/>
  <c r="I41" i="19"/>
  <c r="I46" i="19" s="1"/>
  <c r="I39" i="19"/>
  <c r="J37" i="19"/>
  <c r="I40" i="19"/>
  <c r="I47" i="19" s="1"/>
  <c r="H97" i="19"/>
  <c r="H99" i="19" s="1"/>
  <c r="H67" i="19" s="1"/>
  <c r="I64" i="19"/>
  <c r="I48" i="19" l="1"/>
  <c r="K93" i="19"/>
  <c r="J95" i="19"/>
  <c r="I97" i="19"/>
  <c r="I99" i="19" s="1"/>
  <c r="I67" i="19" s="1"/>
  <c r="J64" i="19"/>
  <c r="K37" i="19"/>
  <c r="J40" i="19"/>
  <c r="J47" i="19" s="1"/>
  <c r="J39" i="19"/>
  <c r="J41" i="19"/>
  <c r="J46" i="19" s="1"/>
  <c r="F68" i="19"/>
  <c r="AC17" i="13"/>
  <c r="AC15" i="13"/>
  <c r="AC13" i="13"/>
  <c r="AE4" i="13"/>
  <c r="AD4" i="13" s="1"/>
  <c r="AC4" i="13"/>
  <c r="L93" i="19" l="1"/>
  <c r="K95" i="19"/>
  <c r="F74" i="19"/>
  <c r="L37" i="19"/>
  <c r="K39" i="19"/>
  <c r="K41" i="19"/>
  <c r="K46" i="19" s="1"/>
  <c r="K40" i="19"/>
  <c r="K47" i="19" s="1"/>
  <c r="J48" i="19"/>
  <c r="J97" i="19"/>
  <c r="J99" i="19" s="1"/>
  <c r="J67" i="19" s="1"/>
  <c r="K64" i="19"/>
  <c r="AC5" i="13"/>
  <c r="AB5" i="13" s="1"/>
  <c r="AB4" i="13"/>
  <c r="AE5" i="13"/>
  <c r="AD5" i="13" s="1"/>
  <c r="G68" i="19" l="1"/>
  <c r="K48" i="19"/>
  <c r="K97" i="19"/>
  <c r="K99" i="19" s="1"/>
  <c r="K67" i="19" s="1"/>
  <c r="L64" i="19"/>
  <c r="M37" i="19"/>
  <c r="L39" i="19"/>
  <c r="L41" i="19"/>
  <c r="L46" i="19" s="1"/>
  <c r="L40" i="19"/>
  <c r="L47" i="19" s="1"/>
  <c r="M93" i="19"/>
  <c r="L95" i="19"/>
  <c r="G74" i="19" l="1"/>
  <c r="L48" i="19"/>
  <c r="N93" i="19"/>
  <c r="M95" i="19"/>
  <c r="L97" i="19"/>
  <c r="L99" i="19" s="1"/>
  <c r="L67" i="19" s="1"/>
  <c r="M64" i="19"/>
  <c r="M41" i="19"/>
  <c r="M46" i="19" s="1"/>
  <c r="M39" i="19"/>
  <c r="N37" i="19"/>
  <c r="M40" i="19"/>
  <c r="M47" i="19" s="1"/>
  <c r="O37" i="19" l="1"/>
  <c r="N39" i="19"/>
  <c r="N40" i="19"/>
  <c r="N47" i="19" s="1"/>
  <c r="N41" i="19"/>
  <c r="N46" i="19" s="1"/>
  <c r="O93" i="19"/>
  <c r="N95" i="19"/>
  <c r="M97" i="19"/>
  <c r="M99" i="19" s="1"/>
  <c r="M67" i="19" s="1"/>
  <c r="N64" i="19"/>
  <c r="M48" i="19"/>
  <c r="H68" i="19"/>
  <c r="N97" i="19" l="1"/>
  <c r="N99" i="19" s="1"/>
  <c r="N67" i="19" s="1"/>
  <c r="O64" i="19"/>
  <c r="O95" i="19"/>
  <c r="P93" i="19"/>
  <c r="P37" i="19"/>
  <c r="O41" i="19"/>
  <c r="O46" i="19" s="1"/>
  <c r="O39" i="19"/>
  <c r="O40" i="19"/>
  <c r="O47" i="19" s="1"/>
  <c r="N48" i="19"/>
  <c r="H74" i="19"/>
  <c r="I68" i="19" l="1"/>
  <c r="O48" i="19"/>
  <c r="O97" i="19"/>
  <c r="O99" i="19" s="1"/>
  <c r="O67" i="19" s="1"/>
  <c r="P64" i="19"/>
  <c r="Q37" i="19"/>
  <c r="P39" i="19"/>
  <c r="P41" i="19"/>
  <c r="P46" i="19" s="1"/>
  <c r="P40" i="19"/>
  <c r="P47" i="19" s="1"/>
  <c r="Q93" i="19"/>
  <c r="P95" i="19"/>
  <c r="P48" i="19" l="1"/>
  <c r="I74" i="19"/>
  <c r="R93" i="19"/>
  <c r="Q95" i="19"/>
  <c r="Q41" i="19"/>
  <c r="Q46" i="19" s="1"/>
  <c r="Q39" i="19"/>
  <c r="R37" i="19"/>
  <c r="Q40" i="19"/>
  <c r="Q47" i="19" s="1"/>
  <c r="P97" i="19"/>
  <c r="P99" i="19" s="1"/>
  <c r="P67" i="19" s="1"/>
  <c r="Q64" i="19"/>
  <c r="Q48" i="19" l="1"/>
  <c r="Q97" i="19"/>
  <c r="Q99" i="19" s="1"/>
  <c r="Q67" i="19" s="1"/>
  <c r="R64" i="19"/>
  <c r="J68" i="19"/>
  <c r="S37" i="19"/>
  <c r="R41" i="19"/>
  <c r="R46" i="19" s="1"/>
  <c r="R39" i="19"/>
  <c r="R40" i="19"/>
  <c r="R47" i="19" s="1"/>
  <c r="S93" i="19"/>
  <c r="R95" i="19"/>
  <c r="R48" i="19" l="1"/>
  <c r="S64" i="19"/>
  <c r="R97" i="19"/>
  <c r="R99" i="19" s="1"/>
  <c r="R67" i="19" s="1"/>
  <c r="T93" i="19"/>
  <c r="S95" i="19"/>
  <c r="T37" i="19"/>
  <c r="S41" i="19"/>
  <c r="S46" i="19" s="1"/>
  <c r="S39" i="19"/>
  <c r="S40" i="19"/>
  <c r="S47" i="19" s="1"/>
  <c r="J74" i="19"/>
  <c r="K68" i="19" l="1"/>
  <c r="S48" i="19"/>
  <c r="U37" i="19"/>
  <c r="T40" i="19"/>
  <c r="T47" i="19" s="1"/>
  <c r="T39" i="19"/>
  <c r="T41" i="19"/>
  <c r="T46" i="19" s="1"/>
  <c r="S97" i="19"/>
  <c r="S99" i="19" s="1"/>
  <c r="S67" i="19" s="1"/>
  <c r="T64" i="19"/>
  <c r="U93" i="19"/>
  <c r="T95" i="19"/>
  <c r="T48" i="19" l="1"/>
  <c r="T97" i="19"/>
  <c r="T99" i="19" s="1"/>
  <c r="T67" i="19" s="1"/>
  <c r="U64" i="19"/>
  <c r="V93" i="19"/>
  <c r="U95" i="19"/>
  <c r="K74" i="19"/>
  <c r="U41" i="19"/>
  <c r="U46" i="19" s="1"/>
  <c r="U39" i="19"/>
  <c r="V37" i="19"/>
  <c r="U40" i="19"/>
  <c r="U47" i="19" s="1"/>
  <c r="U48" i="19" l="1"/>
  <c r="U97" i="19"/>
  <c r="V64" i="19"/>
  <c r="U99" i="19"/>
  <c r="U67" i="19" s="1"/>
  <c r="W37" i="19"/>
  <c r="V39" i="19"/>
  <c r="V40" i="19"/>
  <c r="V47" i="19" s="1"/>
  <c r="V41" i="19"/>
  <c r="V46" i="19" s="1"/>
  <c r="L68" i="19"/>
  <c r="W93" i="19"/>
  <c r="V95" i="19"/>
  <c r="V48" i="19" l="1"/>
  <c r="L74" i="19"/>
  <c r="W95" i="19"/>
  <c r="X93" i="19"/>
  <c r="X37" i="19"/>
  <c r="W39" i="19"/>
  <c r="W41" i="19"/>
  <c r="W46" i="19" s="1"/>
  <c r="W40" i="19"/>
  <c r="W47" i="19" s="1"/>
  <c r="V97" i="19"/>
  <c r="W64" i="19"/>
  <c r="V99" i="19"/>
  <c r="V67" i="19" s="1"/>
  <c r="W48" i="19" l="1"/>
  <c r="X95" i="19"/>
  <c r="M68" i="19"/>
  <c r="W97" i="19"/>
  <c r="W99" i="19" s="1"/>
  <c r="W67" i="19" s="1"/>
  <c r="X64" i="19"/>
  <c r="X97" i="19" s="1"/>
  <c r="Y97" i="19" s="1"/>
  <c r="X40" i="19"/>
  <c r="X47" i="19" s="1"/>
  <c r="Y47" i="19" s="1"/>
  <c r="X39" i="19"/>
  <c r="X41" i="19"/>
  <c r="X46" i="19" s="1"/>
  <c r="X99" i="19" l="1"/>
  <c r="X67" i="19" s="1"/>
  <c r="Y67" i="19" s="1"/>
  <c r="Y95" i="19"/>
  <c r="Y99" i="19" s="1"/>
  <c r="X48" i="19"/>
  <c r="Y46" i="19"/>
  <c r="Y48" i="19" s="1"/>
  <c r="M74" i="19"/>
  <c r="N68" i="19" l="1"/>
  <c r="N74" i="19" l="1"/>
  <c r="O68" i="19" l="1"/>
  <c r="O74" i="19" l="1"/>
  <c r="P68" i="19" l="1"/>
  <c r="P74" i="19" l="1"/>
  <c r="Q68" i="19" l="1"/>
  <c r="Q74" i="19" l="1"/>
  <c r="R68" i="19" l="1"/>
  <c r="R74" i="19" l="1"/>
  <c r="S68" i="19" l="1"/>
  <c r="S74" i="19" l="1"/>
  <c r="T68" i="19" l="1"/>
  <c r="T74" i="19" l="1"/>
  <c r="U68" i="19" l="1"/>
  <c r="U74" i="19" l="1"/>
  <c r="V68" i="19" l="1"/>
  <c r="V74" i="19" l="1"/>
  <c r="W68" i="19" l="1"/>
  <c r="W74" i="19" l="1"/>
  <c r="X68" i="19" l="1"/>
  <c r="X74" i="19" l="1"/>
  <c r="Y68" i="19"/>
  <c r="Y74" i="19" l="1"/>
  <c r="M51" i="19"/>
  <c r="M53" i="19" s="1"/>
  <c r="M55" i="19" s="1"/>
  <c r="M66" i="19" s="1"/>
  <c r="K51" i="19"/>
  <c r="K53" i="19" s="1"/>
  <c r="K55" i="19" s="1"/>
  <c r="K66" i="19" s="1"/>
  <c r="O51" i="19"/>
  <c r="O53" i="19" s="1"/>
  <c r="O55" i="19" s="1"/>
  <c r="O66" i="19" s="1"/>
  <c r="O69" i="19" s="1"/>
  <c r="P51" i="19"/>
  <c r="P53" i="19" s="1"/>
  <c r="P55" i="19" s="1"/>
  <c r="P66" i="19" s="1"/>
  <c r="T51" i="19"/>
  <c r="T53" i="19" s="1"/>
  <c r="T55" i="19" s="1"/>
  <c r="T66" i="19" s="1"/>
  <c r="V51" i="19"/>
  <c r="V53" i="19" s="1"/>
  <c r="V55" i="19" s="1"/>
  <c r="V66" i="19" s="1"/>
  <c r="G51" i="19"/>
  <c r="G53" i="19" s="1"/>
  <c r="G55" i="19" s="1"/>
  <c r="G66" i="19" s="1"/>
  <c r="G82" i="19" s="1"/>
  <c r="I51" i="19"/>
  <c r="I53" i="19" s="1"/>
  <c r="I55" i="19" s="1"/>
  <c r="I66" i="19" s="1"/>
  <c r="I85" i="19" s="1"/>
  <c r="S51" i="19"/>
  <c r="S53" i="19" s="1"/>
  <c r="S55" i="19" s="1"/>
  <c r="S66" i="19" s="1"/>
  <c r="S85" i="19" s="1"/>
  <c r="F51" i="19"/>
  <c r="F53" i="19" s="1"/>
  <c r="F55" i="19" s="1"/>
  <c r="F66" i="19" s="1"/>
  <c r="H51" i="19"/>
  <c r="H53" i="19" s="1"/>
  <c r="H55" i="19" s="1"/>
  <c r="H66" i="19" s="1"/>
  <c r="H82" i="19" s="1"/>
  <c r="J51" i="19"/>
  <c r="J53" i="19" s="1"/>
  <c r="J55" i="19" s="1"/>
  <c r="J66" i="19" s="1"/>
  <c r="L51" i="19"/>
  <c r="L53" i="19" s="1"/>
  <c r="L55" i="19" s="1"/>
  <c r="L66" i="19" s="1"/>
  <c r="N51" i="19"/>
  <c r="N53" i="19" s="1"/>
  <c r="N55" i="19" s="1"/>
  <c r="N66" i="19" s="1"/>
  <c r="Q51" i="19"/>
  <c r="Q53" i="19" s="1"/>
  <c r="Q55" i="19" s="1"/>
  <c r="Q66" i="19" s="1"/>
  <c r="R51" i="19"/>
  <c r="R53" i="19" s="1"/>
  <c r="R55" i="19" s="1"/>
  <c r="R66" i="19" s="1"/>
  <c r="U51" i="19"/>
  <c r="U53" i="19" s="1"/>
  <c r="U55" i="19" s="1"/>
  <c r="U66" i="19" s="1"/>
  <c r="W51" i="19"/>
  <c r="W53" i="19" s="1"/>
  <c r="W55" i="19" s="1"/>
  <c r="W66" i="19" s="1"/>
  <c r="E51" i="19"/>
  <c r="N16" i="19" s="1"/>
  <c r="O16" i="19" s="1"/>
  <c r="X51" i="19"/>
  <c r="X53" i="19" s="1"/>
  <c r="X55" i="19" s="1"/>
  <c r="X66" i="19" s="1"/>
  <c r="X85" i="19" s="1"/>
  <c r="T85" i="19" l="1"/>
  <c r="T69" i="19"/>
  <c r="T70" i="19" s="1"/>
  <c r="T72" i="19" s="1"/>
  <c r="T73" i="19" s="1"/>
  <c r="T75" i="19" s="1"/>
  <c r="T77" i="19" s="1"/>
  <c r="S69" i="19"/>
  <c r="S70" i="19" s="1"/>
  <c r="S72" i="19" s="1"/>
  <c r="S73" i="19" s="1"/>
  <c r="S75" i="19" s="1"/>
  <c r="S77" i="19" s="1"/>
  <c r="U69" i="19"/>
  <c r="U85" i="19"/>
  <c r="Q85" i="19"/>
  <c r="Q69" i="19"/>
  <c r="V85" i="19"/>
  <c r="V69" i="19"/>
  <c r="J85" i="19"/>
  <c r="W85" i="19"/>
  <c r="W69" i="19"/>
  <c r="K69" i="19"/>
  <c r="K85" i="19"/>
  <c r="M85" i="19"/>
  <c r="M69" i="19"/>
  <c r="F85" i="19"/>
  <c r="F82" i="19"/>
  <c r="F69" i="19"/>
  <c r="X69" i="19"/>
  <c r="P85" i="19"/>
  <c r="P69" i="19"/>
  <c r="O85" i="19"/>
  <c r="H85" i="19"/>
  <c r="H69" i="19"/>
  <c r="R85" i="19"/>
  <c r="R69" i="19"/>
  <c r="L69" i="19"/>
  <c r="L85" i="19"/>
  <c r="I82" i="19"/>
  <c r="I69" i="19"/>
  <c r="Y51" i="19"/>
  <c r="Y53" i="19" s="1"/>
  <c r="E53" i="19"/>
  <c r="E55" i="19" s="1"/>
  <c r="N85" i="19"/>
  <c r="N69" i="19"/>
  <c r="G69" i="19"/>
  <c r="G85" i="19"/>
  <c r="J69" i="19"/>
  <c r="O70" i="19"/>
  <c r="O72" i="19" s="1"/>
  <c r="O73" i="19" s="1"/>
  <c r="O75" i="19" s="1"/>
  <c r="O77" i="19" s="1"/>
  <c r="I70" i="19" l="1"/>
  <c r="I72" i="19" s="1"/>
  <c r="I73" i="19" s="1"/>
  <c r="I75" i="19" s="1"/>
  <c r="I77" i="19" s="1"/>
  <c r="P70" i="19"/>
  <c r="P72" i="19" s="1"/>
  <c r="P73" i="19" s="1"/>
  <c r="P75" i="19" s="1"/>
  <c r="P77" i="19" s="1"/>
  <c r="K70" i="19"/>
  <c r="K72" i="19" s="1"/>
  <c r="K73" i="19" s="1"/>
  <c r="K75" i="19" s="1"/>
  <c r="K77" i="19" s="1"/>
  <c r="Q70" i="19"/>
  <c r="Q72" i="19" s="1"/>
  <c r="Q73" i="19" s="1"/>
  <c r="Q75" i="19" s="1"/>
  <c r="Q77" i="19" s="1"/>
  <c r="J70" i="19"/>
  <c r="J72" i="19" s="1"/>
  <c r="J73" i="19" s="1"/>
  <c r="J75" i="19" s="1"/>
  <c r="J77" i="19" s="1"/>
  <c r="L70" i="19"/>
  <c r="L72" i="19" s="1"/>
  <c r="L73" i="19" s="1"/>
  <c r="L75" i="19" s="1"/>
  <c r="L77" i="19" s="1"/>
  <c r="H70" i="19"/>
  <c r="H72" i="19" s="1"/>
  <c r="H73" i="19" s="1"/>
  <c r="H75" i="19" s="1"/>
  <c r="H77" i="19" s="1"/>
  <c r="X70" i="19"/>
  <c r="X72" i="19" s="1"/>
  <c r="X73" i="19" s="1"/>
  <c r="X75" i="19" s="1"/>
  <c r="X77" i="19" s="1"/>
  <c r="W70" i="19"/>
  <c r="W72" i="19" s="1"/>
  <c r="W73" i="19" s="1"/>
  <c r="W75" i="19" s="1"/>
  <c r="W77" i="19" s="1"/>
  <c r="Y55" i="19"/>
  <c r="E66" i="19"/>
  <c r="R70" i="19"/>
  <c r="R72" i="19" s="1"/>
  <c r="R73" i="19" s="1"/>
  <c r="R75" i="19" s="1"/>
  <c r="R77" i="19" s="1"/>
  <c r="F70" i="19"/>
  <c r="F72" i="19" s="1"/>
  <c r="F73" i="19" s="1"/>
  <c r="F75" i="19" s="1"/>
  <c r="F77" i="19" s="1"/>
  <c r="M70" i="19"/>
  <c r="M72" i="19" s="1"/>
  <c r="M73" i="19" s="1"/>
  <c r="M75" i="19" s="1"/>
  <c r="M77" i="19" s="1"/>
  <c r="V70" i="19"/>
  <c r="V72" i="19" s="1"/>
  <c r="V73" i="19" s="1"/>
  <c r="V75" i="19" s="1"/>
  <c r="V77" i="19" s="1"/>
  <c r="G70" i="19"/>
  <c r="G72" i="19" s="1"/>
  <c r="G73" i="19" s="1"/>
  <c r="G75" i="19" s="1"/>
  <c r="G77" i="19" s="1"/>
  <c r="N70" i="19"/>
  <c r="N72" i="19" s="1"/>
  <c r="N73" i="19" s="1"/>
  <c r="N75" i="19" s="1"/>
  <c r="N77" i="19" s="1"/>
  <c r="U70" i="19"/>
  <c r="U72" i="19" s="1"/>
  <c r="U73" i="19" s="1"/>
  <c r="U75" i="19" s="1"/>
  <c r="U77" i="19" s="1"/>
  <c r="E82" i="19" l="1"/>
  <c r="E85" i="19"/>
  <c r="Y85" i="19" s="1"/>
  <c r="Y66" i="19"/>
  <c r="E69" i="19"/>
  <c r="J82" i="19" l="1"/>
  <c r="K82" i="19" s="1"/>
  <c r="E70" i="19"/>
  <c r="Y70" i="19" s="1"/>
  <c r="Y69" i="19"/>
  <c r="L82" i="19" l="1"/>
  <c r="M82" i="19" s="1"/>
  <c r="E72" i="19"/>
  <c r="N82" i="19" l="1"/>
  <c r="O82" i="19" s="1"/>
  <c r="E73" i="19"/>
  <c r="Y72" i="19"/>
  <c r="P82" i="19" l="1"/>
  <c r="Q82" i="19" s="1"/>
  <c r="R82" i="19" s="1"/>
  <c r="S82" i="19"/>
  <c r="Y73" i="19"/>
  <c r="E75" i="19"/>
  <c r="T82" i="19" l="1"/>
  <c r="U82" i="19" s="1"/>
  <c r="V82" i="19" s="1"/>
  <c r="W82" i="19" s="1"/>
  <c r="X82" i="19" s="1"/>
  <c r="Y75" i="19"/>
  <c r="E77" i="19"/>
  <c r="C80" i="19" s="1"/>
  <c r="I6" i="19" s="1"/>
  <c r="E87" i="19"/>
  <c r="F87" i="19" s="1"/>
  <c r="G87" i="19" s="1"/>
  <c r="H87" i="19" s="1"/>
  <c r="I87" i="19" s="1"/>
  <c r="J87" i="19" s="1"/>
  <c r="K87" i="19" s="1"/>
  <c r="L87" i="19" s="1"/>
  <c r="M87" i="19" s="1"/>
  <c r="N87" i="19" s="1"/>
  <c r="C79" i="19"/>
  <c r="I5" i="19" s="1"/>
  <c r="O87" i="19" l="1"/>
  <c r="P87" i="19" s="1"/>
  <c r="Q87" i="19" s="1"/>
  <c r="R87" i="19" s="1"/>
  <c r="S87" i="19" s="1"/>
  <c r="T87" i="19" s="1"/>
  <c r="U87" i="19" s="1"/>
  <c r="V87" i="19" s="1"/>
  <c r="W87" i="19" s="1"/>
  <c r="X87" i="19" s="1"/>
  <c r="B90" i="19" l="1"/>
  <c r="I8" i="19" s="1"/>
  <c r="B89" i="19"/>
  <c r="I7" i="19" s="1"/>
</calcChain>
</file>

<file path=xl/comments1.xml><?xml version="1.0" encoding="utf-8"?>
<comments xmlns="http://schemas.openxmlformats.org/spreadsheetml/2006/main">
  <authors>
    <author>GE Power Systems</author>
  </authors>
  <commentList>
    <comment ref="J19" authorId="0">
      <text>
        <r>
          <rPr>
            <sz val="12"/>
            <color indexed="81"/>
            <rFont val="Tahoma"/>
            <family val="2"/>
          </rPr>
          <t>this cell used to calculate IDC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A66" authorId="0">
      <text>
        <r>
          <rPr>
            <sz val="12"/>
            <color indexed="81"/>
            <rFont val="Tahoma"/>
            <family val="2"/>
          </rPr>
          <t>incl steam discount, if any</t>
        </r>
      </text>
    </comment>
  </commentList>
</comments>
</file>

<file path=xl/sharedStrings.xml><?xml version="1.0" encoding="utf-8"?>
<sst xmlns="http://schemas.openxmlformats.org/spreadsheetml/2006/main" count="730" uniqueCount="275">
  <si>
    <t>Spring</t>
  </si>
  <si>
    <t>Summer</t>
  </si>
  <si>
    <t>Winter</t>
  </si>
  <si>
    <t>Min</t>
  </si>
  <si>
    <t>Max</t>
  </si>
  <si>
    <t>customer</t>
  </si>
  <si>
    <t>winter</t>
  </si>
  <si>
    <t>Autumn</t>
  </si>
  <si>
    <t>2P HRSG + C&amp;E ST</t>
  </si>
  <si>
    <t>Cooling</t>
  </si>
  <si>
    <t>kW</t>
  </si>
  <si>
    <t>2P HRSG + BP ST</t>
  </si>
  <si>
    <t>Average</t>
  </si>
  <si>
    <t>max</t>
  </si>
  <si>
    <t>2P HRSG +
 C&amp;E ST</t>
  </si>
  <si>
    <t>2P HRSG + 
BP ST</t>
  </si>
  <si>
    <t>Fall</t>
  </si>
  <si>
    <t>2P BP ST</t>
  </si>
  <si>
    <t>spring</t>
  </si>
  <si>
    <t>summer</t>
  </si>
  <si>
    <t>fall</t>
  </si>
  <si>
    <t>average</t>
  </si>
  <si>
    <t>min</t>
  </si>
  <si>
    <t>Ave</t>
  </si>
  <si>
    <t>Customer Needs</t>
  </si>
  <si>
    <t>China CHP Excel-Based Project Economic Model - Foxconn</t>
  </si>
  <si>
    <t>Heat Balance Input</t>
  </si>
  <si>
    <t>Input these values from GT MASTER</t>
  </si>
  <si>
    <t>These values used in Proforma</t>
  </si>
  <si>
    <t>Weighted Avg</t>
  </si>
  <si>
    <r>
      <t xml:space="preserve">Plant net electric output, </t>
    </r>
    <r>
      <rPr>
        <b/>
        <sz val="12"/>
        <rFont val="Arial"/>
        <family val="2"/>
      </rPr>
      <t>KWe</t>
    </r>
  </si>
  <si>
    <r>
      <t xml:space="preserve">Plant net heat export rate, </t>
    </r>
    <r>
      <rPr>
        <b/>
        <sz val="12"/>
        <rFont val="Arial"/>
        <family val="2"/>
      </rPr>
      <t>KWt</t>
    </r>
  </si>
  <si>
    <r>
      <t xml:space="preserve">Plant fuel input rate. </t>
    </r>
    <r>
      <rPr>
        <b/>
        <sz val="12"/>
        <rFont val="Arial"/>
        <family val="2"/>
      </rPr>
      <t>KWt</t>
    </r>
  </si>
  <si>
    <t>CHP plant efficiency</t>
    <phoneticPr fontId="16" type="noConversion"/>
  </si>
  <si>
    <t>Power Generation efficiency</t>
  </si>
  <si>
    <t>Hrs/yr</t>
  </si>
  <si>
    <t>From Peace, EPC price, MM$</t>
  </si>
  <si>
    <t>Project Economic Input (Input values in blue font)</t>
  </si>
  <si>
    <t>USD</t>
  </si>
  <si>
    <t>Escal. %/yr</t>
  </si>
  <si>
    <t>Electric sale, RMB/KWH</t>
  </si>
  <si>
    <t>$/KWH</t>
  </si>
  <si>
    <t>Capital cost year basis</t>
  </si>
  <si>
    <t>Thermal sale, RMB/GJ</t>
  </si>
  <si>
    <t>$/GJ</t>
  </si>
  <si>
    <t>First year of operation</t>
  </si>
  <si>
    <t>Fuel price, RMB/m3</t>
  </si>
  <si>
    <t># Years construction</t>
  </si>
  <si>
    <t>Fuel KJ/nm3, LHV</t>
  </si>
  <si>
    <t>Project life, yrs</t>
  </si>
  <si>
    <t>Interest During Construction</t>
  </si>
  <si>
    <t>Depreciation yrs</t>
  </si>
  <si>
    <t>Owner's cost, takeout at end of</t>
  </si>
  <si>
    <t>Debt term, yrs</t>
  </si>
  <si>
    <t>Total project take out cost</t>
  </si>
  <si>
    <t>% Debt</t>
  </si>
  <si>
    <t>% of Turnkey</t>
  </si>
  <si>
    <t>Debt interest rate</t>
  </si>
  <si>
    <t>Construction interest rate</t>
  </si>
  <si>
    <t>Plant availability</t>
  </si>
  <si>
    <t>Owner's cost, % of EPC</t>
  </si>
  <si>
    <t>`</t>
  </si>
  <si>
    <t>Desired Return on Equity</t>
  </si>
  <si>
    <t>Capital escalatn rate, %/yr</t>
  </si>
  <si>
    <t>Tax rate, %</t>
  </si>
  <si>
    <t>Oper'n &amp; maint. Fixed, MM RMB/yr</t>
  </si>
  <si>
    <t>K$/yr</t>
  </si>
  <si>
    <t>Straight Line Depreciation, % of takeout $</t>
  </si>
  <si>
    <t>GT, Variable, RMB/MWH</t>
  </si>
  <si>
    <t>¢/kWH</t>
  </si>
  <si>
    <t>Accelerated Depreciation, % of takeout $</t>
  </si>
  <si>
    <t>Other, Variable, RMB/KWH</t>
  </si>
  <si>
    <t>O &amp; M escalatn rate, %/yr</t>
  </si>
  <si>
    <t>RMB/USD</t>
  </si>
  <si>
    <t>Annual rates, w/escalation</t>
  </si>
  <si>
    <t>Fuel, $/GJ</t>
  </si>
  <si>
    <t>Thermal, $/KWt</t>
  </si>
  <si>
    <t>Electric sale, $/KWH</t>
  </si>
  <si>
    <t xml:space="preserve">  TOTAL</t>
  </si>
  <si>
    <t>GROSS REVENUES : (million $)</t>
  </si>
  <si>
    <t>Electric energy sale</t>
  </si>
  <si>
    <t>Thermal energy sale</t>
  </si>
  <si>
    <t>TOTAL REVENUES :</t>
  </si>
  <si>
    <t>EXPENSES  : (million $)</t>
  </si>
  <si>
    <t xml:space="preserve">    Fuel Cost </t>
  </si>
  <si>
    <t xml:space="preserve">    Operation &amp; Maintenance Expense </t>
  </si>
  <si>
    <t xml:space="preserve">  TOTAL EXPENSES :</t>
  </si>
  <si>
    <t>CASH FLOW FROM OPERATION (Million $'s)</t>
  </si>
  <si>
    <t>LEVERAGED PROJECT ANALYSIS</t>
  </si>
  <si>
    <t>Take-Out Cost</t>
  </si>
  <si>
    <t xml:space="preserve">    Debt Service</t>
  </si>
  <si>
    <t>(Level Pmt)</t>
  </si>
  <si>
    <t>Debt  @</t>
  </si>
  <si>
    <t>@</t>
  </si>
  <si>
    <t>Years</t>
  </si>
  <si>
    <t>Equity</t>
  </si>
  <si>
    <t xml:space="preserve">  Cash Flow From Operations</t>
  </si>
  <si>
    <t xml:space="preserve">  Depreciation</t>
  </si>
  <si>
    <t xml:space="preserve">  Interest on Debt</t>
  </si>
  <si>
    <t xml:space="preserve">  Taxable Income</t>
  </si>
  <si>
    <t xml:space="preserve">  Taxes @</t>
  </si>
  <si>
    <t xml:space="preserve">  Net Income</t>
  </si>
  <si>
    <t xml:space="preserve">  Cash before Principal</t>
  </si>
  <si>
    <t xml:space="preserve">  Principal on Debt</t>
  </si>
  <si>
    <t xml:space="preserve">  Net Cash Flow for ROE</t>
  </si>
  <si>
    <t xml:space="preserve">  Net Cash Flow for total return</t>
  </si>
  <si>
    <t xml:space="preserve">  Return on Equity</t>
  </si>
  <si>
    <t xml:space="preserve">  Return on Total Project Takeout</t>
  </si>
  <si>
    <t>Debt Coverage Ratio</t>
  </si>
  <si>
    <t>Cash Available for Distribution</t>
  </si>
  <si>
    <t>Cumulative net cash flow, for payback</t>
  </si>
  <si>
    <t>Payback years, Equity</t>
  </si>
  <si>
    <t>Payback years, Total Project</t>
  </si>
  <si>
    <t>Depreciation Schedules</t>
  </si>
  <si>
    <t xml:space="preserve">    ----</t>
  </si>
  <si>
    <t xml:space="preserve">  -----</t>
  </si>
  <si>
    <t>Year DDB</t>
  </si>
  <si>
    <t>Year Straight Line</t>
  </si>
  <si>
    <t>Weighted Average</t>
  </si>
  <si>
    <t>first1</t>
  </si>
  <si>
    <t>first2</t>
  </si>
  <si>
    <t>CE*2</t>
  </si>
  <si>
    <t>CE+BP</t>
  </si>
  <si>
    <t>rest1</t>
  </si>
  <si>
    <t>rest2</t>
  </si>
  <si>
    <t>春</t>
    <phoneticPr fontId="36" type="noConversion"/>
  </si>
  <si>
    <t>夏</t>
    <phoneticPr fontId="36" type="noConversion"/>
  </si>
  <si>
    <t>秋</t>
    <phoneticPr fontId="36" type="noConversion"/>
  </si>
  <si>
    <t>冬</t>
    <phoneticPr fontId="36" type="noConversion"/>
  </si>
  <si>
    <t xml:space="preserve">海拔 (米): </t>
    <phoneticPr fontId="36" type="noConversion"/>
  </si>
  <si>
    <t>绝对压力(兆帕)</t>
    <phoneticPr fontId="36" type="noConversion"/>
  </si>
  <si>
    <t>温度 (摄氏度)</t>
    <phoneticPr fontId="36" type="noConversion"/>
  </si>
  <si>
    <t>春</t>
  </si>
  <si>
    <t>夏</t>
  </si>
  <si>
    <t>秋</t>
  </si>
  <si>
    <t>冬</t>
  </si>
  <si>
    <t>吨/小时</t>
    <phoneticPr fontId="36" type="noConversion"/>
  </si>
  <si>
    <t>平均</t>
    <phoneticPr fontId="36" type="noConversion"/>
  </si>
  <si>
    <t>最大</t>
    <phoneticPr fontId="36" type="noConversion"/>
  </si>
  <si>
    <t>最小</t>
    <phoneticPr fontId="36" type="noConversion"/>
  </si>
  <si>
    <t>工业蒸汽 2</t>
    <phoneticPr fontId="36" type="noConversion"/>
  </si>
  <si>
    <t>电价 (元/千瓦时)</t>
    <phoneticPr fontId="36" type="noConversion"/>
  </si>
  <si>
    <t>天然气(元/立方米)</t>
    <phoneticPr fontId="36" type="noConversion"/>
  </si>
  <si>
    <t>水(元/立方米)</t>
    <phoneticPr fontId="36" type="noConversion"/>
  </si>
  <si>
    <t>余热锅炉成本 (元)</t>
    <phoneticPr fontId="55" type="noConversion"/>
  </si>
  <si>
    <t>客户输入</t>
    <phoneticPr fontId="55" type="noConversion"/>
  </si>
  <si>
    <t>蒸汽需求:</t>
    <phoneticPr fontId="55" type="noConversion"/>
  </si>
  <si>
    <t>双压型余热锅炉的中压有一股约10吨的蒸汽必须被使用，请在以下“民用蒸汽”处设置。</t>
    <phoneticPr fontId="55" type="noConversion"/>
  </si>
  <si>
    <t>注意:</t>
    <phoneticPr fontId="55" type="noConversion"/>
  </si>
  <si>
    <t>工业蒸汽可以根据四季输入，也可根据最大/最小输入。</t>
    <phoneticPr fontId="55" type="noConversion"/>
  </si>
  <si>
    <t>本地成本/价格</t>
    <phoneticPr fontId="55" type="noConversion"/>
  </si>
  <si>
    <t>收费表</t>
    <phoneticPr fontId="55" type="noConversion"/>
  </si>
  <si>
    <t>价格</t>
    <phoneticPr fontId="55" type="noConversion"/>
  </si>
  <si>
    <t>投资</t>
    <phoneticPr fontId="55" type="noConversion"/>
  </si>
  <si>
    <t>蒸汽负载</t>
    <phoneticPr fontId="55" type="noConversion"/>
  </si>
  <si>
    <t>配置</t>
    <phoneticPr fontId="55" type="noConversion"/>
  </si>
  <si>
    <t>热效率</t>
    <phoneticPr fontId="55" type="noConversion"/>
  </si>
  <si>
    <t>电效率</t>
    <phoneticPr fontId="55" type="noConversion"/>
  </si>
  <si>
    <t>平均</t>
  </si>
  <si>
    <t>最大</t>
  </si>
  <si>
    <t>最小</t>
  </si>
  <si>
    <t>压力</t>
  </si>
  <si>
    <t>温度</t>
  </si>
  <si>
    <t>民用蒸汽</t>
    <phoneticPr fontId="55" type="noConversion"/>
  </si>
  <si>
    <t>工业蒸汽 1</t>
    <phoneticPr fontId="36" type="noConversion"/>
  </si>
  <si>
    <t>持续时间 (天):</t>
    <phoneticPr fontId="36" type="noConversion"/>
  </si>
  <si>
    <t>相对湿度 (%):</t>
    <phoneticPr fontId="36" type="noConversion"/>
  </si>
  <si>
    <t>温度 (摄氏度):</t>
    <phoneticPr fontId="36" type="noConversion"/>
  </si>
  <si>
    <t>厂址条件:</t>
    <phoneticPr fontId="55" type="noConversion"/>
  </si>
  <si>
    <t>客户输入汇总</t>
    <phoneticPr fontId="55" type="noConversion"/>
  </si>
  <si>
    <t>结果</t>
    <phoneticPr fontId="55" type="noConversion"/>
  </si>
  <si>
    <t>配置</t>
    <phoneticPr fontId="55" type="noConversion"/>
  </si>
  <si>
    <t>蒸汽能力</t>
    <phoneticPr fontId="55" type="noConversion"/>
  </si>
  <si>
    <t>蒸汽能力</t>
    <phoneticPr fontId="55" type="noConversion"/>
  </si>
  <si>
    <t>海拔</t>
    <phoneticPr fontId="55" type="noConversion"/>
  </si>
  <si>
    <t>电厂净出力</t>
    <phoneticPr fontId="55" type="noConversion"/>
  </si>
  <si>
    <t>燃机出力</t>
    <phoneticPr fontId="55" type="noConversion"/>
  </si>
  <si>
    <t>投资回报率</t>
    <phoneticPr fontId="55" type="noConversion"/>
  </si>
  <si>
    <t>民用蒸汽参数</t>
    <phoneticPr fontId="55" type="noConversion"/>
  </si>
  <si>
    <t>工业蒸汽1参数</t>
    <phoneticPr fontId="55" type="noConversion"/>
  </si>
  <si>
    <t>工业蒸汽2参数</t>
    <phoneticPr fontId="55" type="noConversion"/>
  </si>
  <si>
    <t>千瓦造价</t>
    <phoneticPr fontId="55" type="noConversion"/>
  </si>
  <si>
    <r>
      <rPr>
        <sz val="12"/>
        <color theme="3"/>
        <rFont val="宋体"/>
        <family val="3"/>
        <charset val="134"/>
      </rPr>
      <t>双压余热锅炉</t>
    </r>
    <r>
      <rPr>
        <sz val="12"/>
        <color theme="3"/>
        <rFont val="GE Inspira"/>
        <family val="2"/>
      </rPr>
      <t xml:space="preserve"> + </t>
    </r>
    <r>
      <rPr>
        <sz val="12"/>
        <color theme="3"/>
        <rFont val="宋体"/>
        <family val="3"/>
        <charset val="134"/>
      </rPr>
      <t xml:space="preserve">抽凝式气机 </t>
    </r>
    <r>
      <rPr>
        <sz val="12"/>
        <color theme="3"/>
        <rFont val="GE Inspira"/>
        <family val="2"/>
      </rPr>
      <t xml:space="preserve">&amp; </t>
    </r>
    <r>
      <rPr>
        <sz val="12"/>
        <color theme="3"/>
        <rFont val="宋体"/>
        <family val="3"/>
        <charset val="134"/>
      </rPr>
      <t>双压余热锅炉</t>
    </r>
    <r>
      <rPr>
        <sz val="12"/>
        <color theme="3"/>
        <rFont val="GE Inspira"/>
        <family val="2"/>
      </rPr>
      <t xml:space="preserve"> + </t>
    </r>
    <r>
      <rPr>
        <sz val="12"/>
        <color theme="3"/>
        <rFont val="宋体"/>
        <family val="3"/>
        <charset val="134"/>
      </rPr>
      <t>抽凝式气机</t>
    </r>
  </si>
  <si>
    <r>
      <rPr>
        <sz val="12"/>
        <color theme="3"/>
        <rFont val="宋体"/>
        <family val="3"/>
        <charset val="134"/>
      </rPr>
      <t xml:space="preserve">双压余热锅炉 </t>
    </r>
    <r>
      <rPr>
        <sz val="12"/>
        <color theme="3"/>
        <rFont val="GE Inspira"/>
        <family val="2"/>
      </rPr>
      <t xml:space="preserve">+ </t>
    </r>
    <r>
      <rPr>
        <sz val="12"/>
        <color theme="3"/>
        <rFont val="宋体"/>
        <family val="3"/>
        <charset val="134"/>
      </rPr>
      <t xml:space="preserve">背压式气机 </t>
    </r>
    <r>
      <rPr>
        <sz val="12"/>
        <color theme="3"/>
        <rFont val="GE Inspira"/>
        <family val="2"/>
      </rPr>
      <t xml:space="preserve">&amp; </t>
    </r>
    <r>
      <rPr>
        <sz val="12"/>
        <color theme="3"/>
        <rFont val="宋体"/>
        <family val="3"/>
        <charset val="134"/>
      </rPr>
      <t xml:space="preserve">双压余热锅炉 </t>
    </r>
    <r>
      <rPr>
        <sz val="12"/>
        <color theme="3"/>
        <rFont val="GE Inspira"/>
        <family val="2"/>
      </rPr>
      <t xml:space="preserve">+ </t>
    </r>
    <r>
      <rPr>
        <sz val="12"/>
        <color theme="3"/>
        <rFont val="宋体"/>
        <family val="3"/>
        <charset val="134"/>
      </rPr>
      <t>背压式气机</t>
    </r>
  </si>
  <si>
    <r>
      <rPr>
        <sz val="12"/>
        <color theme="3"/>
        <rFont val="宋体"/>
        <family val="3"/>
        <charset val="134"/>
      </rPr>
      <t>热</t>
    </r>
    <r>
      <rPr>
        <sz val="12"/>
        <color theme="3"/>
        <rFont val="GE Inspira"/>
        <family val="2"/>
      </rPr>
      <t>/</t>
    </r>
    <r>
      <rPr>
        <sz val="12"/>
        <color theme="3"/>
        <rFont val="宋体"/>
        <family val="3"/>
        <charset val="134"/>
      </rPr>
      <t>电</t>
    </r>
  </si>
  <si>
    <r>
      <rPr>
        <sz val="12"/>
        <color theme="3"/>
        <rFont val="宋体"/>
        <family val="3"/>
        <charset val="134"/>
      </rPr>
      <t>温度</t>
    </r>
    <r>
      <rPr>
        <sz val="12"/>
        <color theme="3"/>
        <rFont val="GE Inspira"/>
        <family val="2"/>
      </rPr>
      <t xml:space="preserve"> (</t>
    </r>
    <r>
      <rPr>
        <sz val="12"/>
        <color theme="3"/>
        <rFont val="宋体"/>
        <family val="3"/>
        <charset val="134"/>
      </rPr>
      <t>摄氏度</t>
    </r>
    <r>
      <rPr>
        <sz val="12"/>
        <color theme="3"/>
        <rFont val="GE Inspira"/>
        <family val="2"/>
      </rPr>
      <t>)</t>
    </r>
  </si>
  <si>
    <r>
      <rPr>
        <sz val="12"/>
        <color theme="3"/>
        <rFont val="宋体"/>
        <family val="3"/>
        <charset val="134"/>
      </rPr>
      <t>相对湿度</t>
    </r>
    <r>
      <rPr>
        <sz val="12"/>
        <color theme="3"/>
        <rFont val="GE Inspira"/>
        <family val="2"/>
      </rPr>
      <t xml:space="preserve"> (%)</t>
    </r>
  </si>
  <si>
    <r>
      <rPr>
        <sz val="12"/>
        <color theme="3"/>
        <rFont val="宋体"/>
        <family val="3"/>
        <charset val="134"/>
      </rPr>
      <t>持续时间</t>
    </r>
    <r>
      <rPr>
        <sz val="12"/>
        <color theme="3"/>
        <rFont val="GE Inspira"/>
        <family val="2"/>
      </rPr>
      <t xml:space="preserve"> (</t>
    </r>
    <r>
      <rPr>
        <sz val="12"/>
        <color theme="3"/>
        <rFont val="宋体"/>
        <family val="3"/>
        <charset val="134"/>
      </rPr>
      <t>天</t>
    </r>
    <r>
      <rPr>
        <sz val="12"/>
        <color theme="3"/>
        <rFont val="GE Inspira"/>
        <family val="2"/>
      </rPr>
      <t>)</t>
    </r>
  </si>
  <si>
    <r>
      <rPr>
        <sz val="12"/>
        <color theme="3"/>
        <rFont val="宋体"/>
        <family val="3"/>
        <charset val="134"/>
      </rPr>
      <t>民用蒸汽流量</t>
    </r>
    <r>
      <rPr>
        <sz val="12"/>
        <color theme="3"/>
        <rFont val="GE Inspira"/>
        <family val="2"/>
      </rPr>
      <t>(</t>
    </r>
    <r>
      <rPr>
        <sz val="12"/>
        <color theme="3"/>
        <rFont val="宋体"/>
        <family val="3"/>
        <charset val="134"/>
      </rPr>
      <t>吨</t>
    </r>
    <r>
      <rPr>
        <sz val="12"/>
        <color theme="3"/>
        <rFont val="GE Inspira"/>
        <family val="2"/>
      </rPr>
      <t>/</t>
    </r>
    <r>
      <rPr>
        <sz val="12"/>
        <color theme="3"/>
        <rFont val="宋体"/>
        <family val="3"/>
        <charset val="134"/>
      </rPr>
      <t>小时</t>
    </r>
    <r>
      <rPr>
        <sz val="12"/>
        <color theme="3"/>
        <rFont val="GE Inspira"/>
        <family val="2"/>
      </rPr>
      <t>)</t>
    </r>
  </si>
  <si>
    <r>
      <rPr>
        <sz val="12"/>
        <color theme="3"/>
        <rFont val="宋体"/>
        <family val="3"/>
        <charset val="134"/>
      </rPr>
      <t>工业蒸汽流量</t>
    </r>
    <r>
      <rPr>
        <sz val="12"/>
        <color theme="3"/>
        <rFont val="GE Inspira"/>
        <family val="2"/>
      </rPr>
      <t>1 (</t>
    </r>
    <r>
      <rPr>
        <sz val="12"/>
        <color theme="3"/>
        <rFont val="宋体"/>
        <family val="3"/>
        <charset val="134"/>
      </rPr>
      <t>吨</t>
    </r>
    <r>
      <rPr>
        <sz val="12"/>
        <color theme="3"/>
        <rFont val="GE Inspira"/>
        <family val="2"/>
      </rPr>
      <t>/</t>
    </r>
    <r>
      <rPr>
        <sz val="12"/>
        <color theme="3"/>
        <rFont val="宋体"/>
        <family val="3"/>
        <charset val="134"/>
      </rPr>
      <t>小时</t>
    </r>
    <r>
      <rPr>
        <sz val="12"/>
        <color theme="3"/>
        <rFont val="GE Inspira"/>
        <family val="2"/>
      </rPr>
      <t>)</t>
    </r>
  </si>
  <si>
    <r>
      <rPr>
        <sz val="12"/>
        <color theme="3"/>
        <rFont val="宋体"/>
        <family val="3"/>
        <charset val="134"/>
      </rPr>
      <t>工业蒸汽流量</t>
    </r>
    <r>
      <rPr>
        <sz val="12"/>
        <color theme="3"/>
        <rFont val="GE Inspira"/>
        <family val="2"/>
      </rPr>
      <t>2 (</t>
    </r>
    <r>
      <rPr>
        <sz val="12"/>
        <color theme="3"/>
        <rFont val="宋体"/>
        <family val="3"/>
        <charset val="134"/>
      </rPr>
      <t>吨</t>
    </r>
    <r>
      <rPr>
        <sz val="12"/>
        <color theme="3"/>
        <rFont val="GE Inspira"/>
        <family val="2"/>
      </rPr>
      <t>/</t>
    </r>
    <r>
      <rPr>
        <sz val="12"/>
        <color theme="3"/>
        <rFont val="宋体"/>
        <family val="3"/>
        <charset val="134"/>
      </rPr>
      <t>小时</t>
    </r>
    <r>
      <rPr>
        <sz val="12"/>
        <color theme="3"/>
        <rFont val="GE Inspira"/>
        <family val="2"/>
      </rPr>
      <t>)</t>
    </r>
  </si>
  <si>
    <t>吨/小时</t>
  </si>
  <si>
    <t>热/冷 (吨/小时)
)</t>
  </si>
  <si>
    <t>汽机成本 (元)</t>
  </si>
  <si>
    <t>Typical City</t>
    <phoneticPr fontId="55" type="noConversion"/>
  </si>
  <si>
    <t>Altidude(m)</t>
    <phoneticPr fontId="55" type="noConversion"/>
  </si>
  <si>
    <t>Averaged Ambient Temperature</t>
    <phoneticPr fontId="55" type="noConversion"/>
  </si>
  <si>
    <t>Averaged Relative Humidity(%)</t>
    <phoneticPr fontId="55" type="noConversion"/>
  </si>
  <si>
    <t>Spring</t>
    <phoneticPr fontId="55" type="noConversion"/>
  </si>
  <si>
    <t>Summer</t>
    <phoneticPr fontId="55" type="noConversion"/>
  </si>
  <si>
    <t>Autumn</t>
    <phoneticPr fontId="55" type="noConversion"/>
  </si>
  <si>
    <t>Winter</t>
    <phoneticPr fontId="55" type="noConversion"/>
  </si>
  <si>
    <t>T(C)</t>
    <phoneticPr fontId="55" type="noConversion"/>
  </si>
  <si>
    <t>D(Days)</t>
    <phoneticPr fontId="55" type="noConversion"/>
  </si>
  <si>
    <t>主蒸汽温度 (摄氏度)</t>
  </si>
  <si>
    <t>优点：出力大，抽气量可调节</t>
  </si>
  <si>
    <t>缺点：结构复杂</t>
  </si>
  <si>
    <t>评价</t>
  </si>
  <si>
    <t>优点：结构简单，供气量大</t>
  </si>
  <si>
    <t>缺点：出力小，抽气量不可调</t>
  </si>
  <si>
    <r>
      <rPr>
        <sz val="13"/>
        <color theme="3"/>
        <rFont val="宋体"/>
        <family val="3"/>
        <charset val="134"/>
      </rPr>
      <t>双压余热锅炉</t>
    </r>
    <r>
      <rPr>
        <sz val="13"/>
        <color theme="3"/>
        <rFont val="GE Inspira"/>
        <family val="2"/>
      </rPr>
      <t xml:space="preserve"> + </t>
    </r>
    <r>
      <rPr>
        <sz val="13"/>
        <color theme="3"/>
        <rFont val="宋体"/>
        <family val="3"/>
        <charset val="134"/>
      </rPr>
      <t>抽凝式气机</t>
    </r>
  </si>
  <si>
    <r>
      <rPr>
        <sz val="13"/>
        <color theme="3"/>
        <rFont val="宋体"/>
        <family val="3"/>
        <charset val="134"/>
      </rPr>
      <t>双压余热锅炉</t>
    </r>
    <r>
      <rPr>
        <sz val="13"/>
        <color theme="3"/>
        <rFont val="GE Inspira"/>
        <family val="2"/>
      </rPr>
      <t xml:space="preserve"> +</t>
    </r>
    <r>
      <rPr>
        <sz val="13"/>
        <color theme="3"/>
        <rFont val="宋体"/>
        <family val="3"/>
        <charset val="134"/>
      </rPr>
      <t>背压式气机</t>
    </r>
  </si>
  <si>
    <r>
      <rPr>
        <sz val="13"/>
        <color theme="3"/>
        <rFont val="宋体"/>
        <family val="3"/>
        <charset val="134"/>
      </rPr>
      <t>双压余热锅炉</t>
    </r>
    <r>
      <rPr>
        <sz val="13"/>
        <color theme="3"/>
        <rFont val="GE Inspira"/>
        <family val="2"/>
      </rPr>
      <t xml:space="preserve">+ </t>
    </r>
    <r>
      <rPr>
        <sz val="13"/>
        <color theme="3"/>
        <rFont val="宋体"/>
        <family val="3"/>
        <charset val="134"/>
      </rPr>
      <t>背压式气机</t>
    </r>
  </si>
  <si>
    <t>优点：出力大，抽气量可调节范围大</t>
  </si>
  <si>
    <t>缺点：出力小，抽气量调节范围小</t>
  </si>
  <si>
    <t>平均抽气量无法满足</t>
  </si>
  <si>
    <t>最大抽气量无法满足</t>
  </si>
  <si>
    <t>最小抽气量无法满足</t>
  </si>
  <si>
    <t>6FA 重型燃机热电联供电厂性能/供蒸汽能力报告 （单台机）</t>
  </si>
  <si>
    <t>6FA 重型燃机热电联供电厂性能/供蒸汽能力报告 （两台机）</t>
  </si>
  <si>
    <t>夏季抽气量无法满足</t>
  </si>
  <si>
    <t>春、秋季抽气量无法满足</t>
  </si>
  <si>
    <t>冬季抽气量无法满足</t>
  </si>
  <si>
    <t>-</t>
  </si>
  <si>
    <r>
      <rPr>
        <sz val="13"/>
        <color theme="3"/>
        <rFont val="宋体"/>
        <family val="3"/>
        <charset val="134"/>
      </rPr>
      <t>双压余热锅炉</t>
    </r>
    <r>
      <rPr>
        <sz val="13"/>
        <color theme="3"/>
        <rFont val="GE Inspira"/>
        <family val="2"/>
      </rPr>
      <t xml:space="preserve"> + </t>
    </r>
    <r>
      <rPr>
        <sz val="13"/>
        <color theme="3"/>
        <rFont val="宋体"/>
        <family val="3"/>
        <charset val="134"/>
      </rPr>
      <t>抽凝式气机</t>
    </r>
    <r>
      <rPr>
        <sz val="13"/>
        <color theme="3"/>
        <rFont val="GE Inspira"/>
        <family val="2"/>
      </rPr>
      <t>&amp;</t>
    </r>
    <r>
      <rPr>
        <sz val="13"/>
        <color theme="3"/>
        <rFont val="宋体"/>
        <family val="3"/>
        <charset val="134"/>
      </rPr>
      <t>双压余热锅炉</t>
    </r>
    <r>
      <rPr>
        <sz val="13"/>
        <color theme="3"/>
        <rFont val="GE Inspira"/>
        <family val="2"/>
      </rPr>
      <t xml:space="preserve"> + </t>
    </r>
    <r>
      <rPr>
        <sz val="13"/>
        <color theme="3"/>
        <rFont val="宋体"/>
        <family val="3"/>
        <charset val="134"/>
      </rPr>
      <t>抽凝式气机</t>
    </r>
  </si>
  <si>
    <r>
      <rPr>
        <sz val="13"/>
        <color theme="3"/>
        <rFont val="宋体"/>
        <family val="3"/>
        <charset val="134"/>
      </rPr>
      <t>双压余热锅炉</t>
    </r>
    <r>
      <rPr>
        <sz val="13"/>
        <color theme="3"/>
        <rFont val="GE Inspira"/>
        <family val="2"/>
      </rPr>
      <t xml:space="preserve"> +</t>
    </r>
    <r>
      <rPr>
        <sz val="13"/>
        <color theme="3"/>
        <rFont val="宋体"/>
        <family val="3"/>
        <charset val="134"/>
      </rPr>
      <t>背压式气机</t>
    </r>
    <r>
      <rPr>
        <sz val="13"/>
        <color theme="3"/>
        <rFont val="GE Inspira"/>
        <family val="2"/>
      </rPr>
      <t>&amp;</t>
    </r>
    <r>
      <rPr>
        <sz val="13"/>
        <color theme="3"/>
        <rFont val="宋体"/>
        <family val="3"/>
        <charset val="134"/>
      </rPr>
      <t>双压余热锅炉</t>
    </r>
    <r>
      <rPr>
        <sz val="13"/>
        <color theme="3"/>
        <rFont val="GE Inspira"/>
        <family val="2"/>
      </rPr>
      <t xml:space="preserve"> +</t>
    </r>
    <r>
      <rPr>
        <sz val="13"/>
        <color theme="3"/>
        <rFont val="宋体"/>
        <family val="3"/>
        <charset val="134"/>
      </rPr>
      <t>背压式气机</t>
    </r>
  </si>
  <si>
    <t>热蒸汽(元/G焦)</t>
  </si>
  <si>
    <t>年耗气量</t>
  </si>
  <si>
    <t>年耗气总价</t>
  </si>
  <si>
    <t>年现金收益</t>
  </si>
  <si>
    <t>Yearly Fuel Volume(m3)</t>
  </si>
  <si>
    <t>Yearly Fuel Cost(1e8CNY)</t>
  </si>
  <si>
    <t>Yearly Revenue(1e8CNY)</t>
  </si>
  <si>
    <t>6FA 燃机成本 (元/台)</t>
    <phoneticPr fontId="55" type="noConversion"/>
  </si>
  <si>
    <t>4.5</t>
  </si>
  <si>
    <t>Beijing</t>
  </si>
  <si>
    <t>Tianjin</t>
  </si>
  <si>
    <t>Shanghai</t>
  </si>
  <si>
    <t>Chongqin</t>
  </si>
  <si>
    <t>Shijiazhuang</t>
  </si>
  <si>
    <t>Zhengzhou</t>
  </si>
  <si>
    <t>Kunming</t>
  </si>
  <si>
    <t>Shenyang</t>
  </si>
  <si>
    <t>Haerbin</t>
  </si>
  <si>
    <t>Changsha</t>
  </si>
  <si>
    <t>Hefei</t>
  </si>
  <si>
    <t>Jinan</t>
  </si>
  <si>
    <t>Wulumuqi</t>
  </si>
  <si>
    <t>Nanjing</t>
  </si>
  <si>
    <t>Hanzhou</t>
  </si>
  <si>
    <t>Nanchang</t>
  </si>
  <si>
    <t>Wuhan</t>
  </si>
  <si>
    <t>Nanning</t>
  </si>
  <si>
    <t>Lanzhou</t>
  </si>
  <si>
    <t>Taiyuan</t>
  </si>
  <si>
    <t>Huhehaote</t>
  </si>
  <si>
    <t>Xian</t>
  </si>
  <si>
    <t>Changchun</t>
  </si>
  <si>
    <t>Fuzhou</t>
  </si>
  <si>
    <t>Guiyang</t>
  </si>
  <si>
    <t>Guanzhou</t>
  </si>
  <si>
    <t>Xining</t>
  </si>
  <si>
    <t>Lasha</t>
  </si>
  <si>
    <t>Chengdu</t>
  </si>
  <si>
    <t>Yinchuan</t>
  </si>
  <si>
    <t>Haikou</t>
  </si>
  <si>
    <t>183 MW</t>
  </si>
  <si>
    <t>150 MW</t>
  </si>
  <si>
    <t>184 MW</t>
  </si>
  <si>
    <t>230.48E6 m^3</t>
  </si>
  <si>
    <t>7.24E8 CNY</t>
  </si>
  <si>
    <t>10.89E8 CNY</t>
  </si>
  <si>
    <t>230.08E6 m^3</t>
  </si>
  <si>
    <t>7.29E8 CNY</t>
  </si>
  <si>
    <t>11.08E8 CNY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</si>
</sst>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7" formatCode="&quot;$&quot;#,##0.00_);\(&quot;$&quot;#,##0.00\)"/>
    <numFmt numFmtId="164" formatCode="0.0"/>
    <numFmt numFmtId="165" formatCode="[$￥-804]#,##0.00;[$￥-804]\-#,##0.00"/>
    <numFmt numFmtId="166" formatCode="0.0%"/>
    <numFmt numFmtId="167" formatCode="0_)"/>
    <numFmt numFmtId="168" formatCode="0.000"/>
    <numFmt numFmtId="169" formatCode="0.0_)"/>
    <numFmt numFmtId="170" formatCode=";;;"/>
    <numFmt numFmtId="171" formatCode="0.00_)"/>
    <numFmt numFmtId="172" formatCode="0.0000"/>
    <numFmt numFmtId="173" formatCode="0.0_ "/>
  </numFmts>
  <fonts count="78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20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3"/>
      <name val="GE Inspira"/>
      <family val="2"/>
    </font>
    <font>
      <sz val="11"/>
      <color theme="1"/>
      <name val="Calibri"/>
      <family val="2"/>
      <scheme val="minor"/>
    </font>
    <font>
      <b/>
      <u/>
      <sz val="13"/>
      <color theme="3" tint="-0.249977111117893"/>
      <name val="GE Inspira"/>
      <family val="2"/>
    </font>
    <font>
      <b/>
      <sz val="20"/>
      <color theme="3"/>
      <name val="GE Inspira"/>
      <family val="2"/>
    </font>
    <font>
      <sz val="11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3"/>
      <color theme="3"/>
      <name val="GE Inspira"/>
      <family val="2"/>
    </font>
    <font>
      <sz val="10"/>
      <color theme="3"/>
      <name val="GE Inspira"/>
      <family val="2"/>
    </font>
    <font>
      <sz val="11"/>
      <color theme="1"/>
      <name val="Calibri"/>
      <family val="2"/>
      <charset val="134"/>
      <scheme val="minor"/>
    </font>
    <font>
      <sz val="10"/>
      <name val="Arial"/>
      <family val="2"/>
    </font>
    <font>
      <b/>
      <sz val="15"/>
      <color theme="3"/>
      <name val="宋体"/>
      <family val="2"/>
      <charset val="134"/>
    </font>
    <font>
      <sz val="10"/>
      <color rgb="FF3F3F76"/>
      <name val="宋体"/>
      <family val="2"/>
      <charset val="134"/>
    </font>
    <font>
      <b/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7"/>
      <color theme="3"/>
      <name val="Calibri"/>
      <family val="2"/>
      <scheme val="minor"/>
    </font>
    <font>
      <b/>
      <u/>
      <sz val="13"/>
      <color theme="3"/>
      <name val="GE Inspira"/>
      <family val="2"/>
    </font>
    <font>
      <sz val="9"/>
      <color theme="3"/>
      <name val="Calibri"/>
      <family val="2"/>
      <scheme val="minor"/>
    </font>
    <font>
      <b/>
      <u/>
      <sz val="12"/>
      <color theme="3"/>
      <name val="Calibri"/>
      <family val="2"/>
      <scheme val="minor"/>
    </font>
    <font>
      <u/>
      <sz val="11"/>
      <color theme="3"/>
      <name val="Calibri"/>
      <family val="2"/>
      <scheme val="minor"/>
    </font>
    <font>
      <b/>
      <sz val="13"/>
      <color theme="1"/>
      <name val="Calibri"/>
      <family val="2"/>
      <scheme val="minor"/>
    </font>
    <font>
      <u/>
      <sz val="9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3"/>
      <name val="Calibri"/>
      <family val="2"/>
      <scheme val="minor"/>
    </font>
    <font>
      <b/>
      <sz val="16"/>
      <color indexed="8"/>
      <name val="Arial"/>
      <family val="2"/>
    </font>
    <font>
      <sz val="11"/>
      <color indexed="8"/>
      <name val="Arial"/>
      <family val="2"/>
    </font>
    <font>
      <b/>
      <sz val="14"/>
      <color indexed="8"/>
      <name val="Arial"/>
      <family val="2"/>
    </font>
    <font>
      <sz val="12"/>
      <color indexed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30"/>
      <name val="Arial"/>
      <family val="2"/>
    </font>
    <font>
      <sz val="12"/>
      <color indexed="10"/>
      <name val="Arial"/>
      <family val="2"/>
    </font>
    <font>
      <b/>
      <sz val="12"/>
      <color indexed="8"/>
      <name val="Arial"/>
      <family val="2"/>
    </font>
    <font>
      <sz val="12"/>
      <color indexed="60"/>
      <name val="Arial"/>
      <family val="2"/>
    </font>
    <font>
      <sz val="12"/>
      <color indexed="12"/>
      <name val="Arial"/>
      <family val="2"/>
    </font>
    <font>
      <u/>
      <sz val="12"/>
      <name val="Arial"/>
      <family val="2"/>
    </font>
    <font>
      <b/>
      <sz val="16"/>
      <name val="Arial"/>
      <family val="2"/>
    </font>
    <font>
      <sz val="12"/>
      <color indexed="81"/>
      <name val="Tahoma"/>
      <family val="2"/>
    </font>
    <font>
      <b/>
      <sz val="12"/>
      <color indexed="81"/>
      <name val="Tahoma"/>
      <family val="2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3"/>
      <name val="宋体"/>
      <family val="3"/>
      <charset val="134"/>
    </font>
    <font>
      <sz val="9"/>
      <name val="Calibri"/>
      <family val="3"/>
      <charset val="134"/>
      <scheme val="minor"/>
    </font>
    <font>
      <sz val="12"/>
      <color theme="3"/>
      <name val="GE Inspira"/>
      <family val="2"/>
    </font>
    <font>
      <sz val="12"/>
      <color theme="3"/>
      <name val="宋体"/>
      <family val="3"/>
      <charset val="134"/>
    </font>
    <font>
      <u/>
      <sz val="13"/>
      <color theme="3"/>
      <name val="宋体"/>
      <family val="3"/>
      <charset val="134"/>
    </font>
    <font>
      <u/>
      <sz val="13"/>
      <color theme="3"/>
      <name val="GE Inspira"/>
      <family val="2"/>
    </font>
    <font>
      <sz val="12"/>
      <color theme="3"/>
      <name val="Calibri"/>
      <family val="2"/>
      <scheme val="minor"/>
    </font>
    <font>
      <sz val="16"/>
      <color theme="3"/>
      <name val="Calibri"/>
      <family val="2"/>
      <scheme val="minor"/>
    </font>
    <font>
      <sz val="11"/>
      <color theme="1"/>
      <name val="Arial Unicode MS"/>
      <family val="2"/>
      <charset val="134"/>
    </font>
    <font>
      <sz val="11"/>
      <name val="Arial Unicode MS"/>
      <family val="2"/>
      <charset val="134"/>
    </font>
    <font>
      <sz val="10"/>
      <color rgb="FF333333"/>
      <name val="Calibri"/>
      <family val="3"/>
      <charset val="134"/>
      <scheme val="minor"/>
    </font>
    <font>
      <sz val="9"/>
      <color theme="1"/>
      <name val="Calibri"/>
      <family val="3"/>
      <charset val="134"/>
      <scheme val="minor"/>
    </font>
    <font>
      <sz val="13"/>
      <color theme="3"/>
      <name val="GE Inspira"/>
      <family val="2"/>
    </font>
    <font>
      <sz val="13"/>
      <color theme="3"/>
      <name val="宋体"/>
      <family val="3"/>
      <charset val="134"/>
    </font>
    <font>
      <b/>
      <sz val="22"/>
      <color theme="3"/>
      <name val="宋体"/>
      <family val="3"/>
      <charset val="134"/>
    </font>
    <font>
      <b/>
      <sz val="22"/>
      <color theme="3"/>
      <name val="GE Inspira"/>
      <family val="2"/>
    </font>
    <font>
      <u/>
      <sz val="13"/>
      <color theme="3" tint="-0.249977111117893"/>
      <name val="宋体"/>
      <family val="3"/>
      <charset val="134"/>
    </font>
    <font>
      <u/>
      <sz val="13"/>
      <color theme="3" tint="-0.249977111117893"/>
      <name val="GE Inspira"/>
      <family val="2"/>
    </font>
    <font>
      <sz val="20"/>
      <color rgb="FF0070C0"/>
      <name val="Calibri"/>
      <family val="2"/>
      <scheme val="minor"/>
    </font>
    <font>
      <sz val="22"/>
      <color theme="3"/>
      <name val="宋体"/>
      <family val="3"/>
      <charset val="134"/>
    </font>
    <font>
      <sz val="22"/>
      <color theme="3"/>
      <name val="GE Inspira"/>
      <family val="2"/>
    </font>
    <font>
      <sz val="20"/>
      <color theme="3"/>
      <name val="Calibri"/>
      <family val="2"/>
      <scheme val="minor"/>
    </font>
    <font>
      <u/>
      <sz val="12"/>
      <color theme="3"/>
      <name val="Calibri"/>
      <family val="2"/>
      <scheme val="minor"/>
    </font>
    <font>
      <u/>
      <sz val="20"/>
      <color theme="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165" fontId="0" fillId="0" borderId="0"/>
    <xf numFmtId="9" fontId="12" fillId="0" borderId="0" applyFont="0" applyFill="0" applyBorder="0" applyAlignment="0" applyProtection="0"/>
    <xf numFmtId="165" fontId="19" fillId="0" borderId="0">
      <alignment vertical="center"/>
    </xf>
    <xf numFmtId="165" fontId="20" fillId="0" borderId="0"/>
    <xf numFmtId="165" fontId="21" fillId="0" borderId="8" applyNumberFormat="0" applyFill="0" applyAlignment="0" applyProtection="0">
      <alignment vertical="center"/>
    </xf>
    <xf numFmtId="165" fontId="22" fillId="6" borderId="9" applyNumberFormat="0" applyAlignment="0" applyProtection="0">
      <alignment vertical="center"/>
    </xf>
  </cellStyleXfs>
  <cellXfs count="425">
    <xf numFmtId="165" fontId="0" fillId="0" borderId="0" xfId="0"/>
    <xf numFmtId="165" fontId="37" fillId="0" borderId="0" xfId="0" applyFont="1"/>
    <xf numFmtId="165" fontId="38" fillId="0" borderId="0" xfId="0" applyFont="1"/>
    <xf numFmtId="165" fontId="39" fillId="0" borderId="16" xfId="0" applyFont="1" applyBorder="1"/>
    <xf numFmtId="165" fontId="38" fillId="0" borderId="17" xfId="0" applyFont="1" applyBorder="1"/>
    <xf numFmtId="165" fontId="38" fillId="0" borderId="18" xfId="0" applyFont="1" applyBorder="1"/>
    <xf numFmtId="165" fontId="40" fillId="0" borderId="19" xfId="0" applyFont="1" applyBorder="1"/>
    <xf numFmtId="165" fontId="40" fillId="0" borderId="20" xfId="0" applyFont="1" applyBorder="1" applyAlignment="1">
      <alignment horizontal="center" wrapText="1"/>
    </xf>
    <xf numFmtId="165" fontId="40" fillId="0" borderId="0" xfId="0" applyFont="1"/>
    <xf numFmtId="165" fontId="40" fillId="0" borderId="4" xfId="0" applyFont="1" applyBorder="1" applyAlignment="1">
      <alignment horizontal="center"/>
    </xf>
    <xf numFmtId="165" fontId="40" fillId="0" borderId="1" xfId="0" applyFont="1" applyBorder="1" applyAlignment="1">
      <alignment horizontal="center"/>
    </xf>
    <xf numFmtId="165" fontId="40" fillId="0" borderId="5" xfId="0" applyFont="1" applyBorder="1" applyAlignment="1">
      <alignment horizontal="center"/>
    </xf>
    <xf numFmtId="165" fontId="40" fillId="0" borderId="20" xfId="0" applyFont="1" applyBorder="1" applyAlignment="1">
      <alignment horizontal="center"/>
    </xf>
    <xf numFmtId="165" fontId="41" fillId="0" borderId="21" xfId="0" applyFont="1" applyBorder="1" applyAlignment="1" applyProtection="1">
      <alignment horizontal="left"/>
    </xf>
    <xf numFmtId="165" fontId="41" fillId="0" borderId="22" xfId="0" applyFont="1" applyBorder="1"/>
    <xf numFmtId="166" fontId="41" fillId="0" borderId="23" xfId="0" applyNumberFormat="1" applyFont="1" applyBorder="1" applyAlignment="1" applyProtection="1">
      <alignment horizontal="center"/>
    </xf>
    <xf numFmtId="165" fontId="42" fillId="0" borderId="19" xfId="0" applyFont="1" applyFill="1" applyBorder="1" applyAlignment="1" applyProtection="1">
      <alignment horizontal="left" wrapText="1"/>
    </xf>
    <xf numFmtId="3" fontId="43" fillId="0" borderId="7" xfId="0" applyNumberFormat="1" applyFont="1" applyBorder="1" applyAlignment="1">
      <alignment horizontal="center"/>
    </xf>
    <xf numFmtId="3" fontId="43" fillId="0" borderId="15" xfId="0" applyNumberFormat="1" applyFont="1" applyBorder="1" applyAlignment="1">
      <alignment horizontal="center"/>
    </xf>
    <xf numFmtId="1" fontId="40" fillId="0" borderId="0" xfId="0" applyNumberFormat="1" applyFont="1"/>
    <xf numFmtId="165" fontId="40" fillId="0" borderId="0" xfId="0" applyFont="1" applyAlignment="1">
      <alignment horizontal="center"/>
    </xf>
    <xf numFmtId="165" fontId="41" fillId="0" borderId="21" xfId="0" applyFont="1" applyBorder="1" applyAlignment="1">
      <alignment horizontal="left"/>
    </xf>
    <xf numFmtId="165" fontId="38" fillId="0" borderId="24" xfId="0" applyFont="1" applyBorder="1"/>
    <xf numFmtId="1" fontId="41" fillId="0" borderId="23" xfId="0" applyNumberFormat="1" applyFont="1" applyBorder="1" applyAlignment="1">
      <alignment horizontal="center"/>
    </xf>
    <xf numFmtId="165" fontId="42" fillId="0" borderId="25" xfId="0" applyFont="1" applyFill="1" applyBorder="1" applyAlignment="1" applyProtection="1">
      <alignment horizontal="left" wrapText="1"/>
    </xf>
    <xf numFmtId="3" fontId="43" fillId="0" borderId="1" xfId="0" applyNumberFormat="1" applyFont="1" applyBorder="1" applyAlignment="1">
      <alignment horizontal="center"/>
    </xf>
    <xf numFmtId="9" fontId="44" fillId="0" borderId="0" xfId="1" applyFont="1" applyAlignment="1">
      <alignment horizontal="center"/>
    </xf>
    <xf numFmtId="165" fontId="41" fillId="0" borderId="26" xfId="0" applyFont="1" applyBorder="1" applyAlignment="1">
      <alignment horizontal="left"/>
    </xf>
    <xf numFmtId="165" fontId="38" fillId="0" borderId="27" xfId="0" applyFont="1" applyBorder="1"/>
    <xf numFmtId="165" fontId="42" fillId="0" borderId="0" xfId="0" applyFont="1" applyBorder="1"/>
    <xf numFmtId="166" fontId="43" fillId="0" borderId="1" xfId="1" applyNumberFormat="1" applyFont="1" applyBorder="1" applyAlignment="1">
      <alignment horizontal="center"/>
    </xf>
    <xf numFmtId="9" fontId="43" fillId="0" borderId="1" xfId="1" applyFont="1" applyBorder="1" applyAlignment="1">
      <alignment horizontal="center"/>
    </xf>
    <xf numFmtId="9" fontId="43" fillId="0" borderId="20" xfId="1" applyFont="1" applyBorder="1" applyAlignment="1">
      <alignment horizontal="center"/>
    </xf>
    <xf numFmtId="165" fontId="41" fillId="0" borderId="0" xfId="0" applyFont="1" applyBorder="1" applyAlignment="1">
      <alignment horizontal="left"/>
    </xf>
    <xf numFmtId="165" fontId="38" fillId="0" borderId="0" xfId="0" applyFont="1" applyBorder="1"/>
    <xf numFmtId="1" fontId="41" fillId="0" borderId="0" xfId="0" applyNumberFormat="1" applyFont="1" applyBorder="1" applyAlignment="1">
      <alignment horizontal="center"/>
    </xf>
    <xf numFmtId="165" fontId="42" fillId="0" borderId="28" xfId="0" applyFont="1" applyFill="1" applyBorder="1" applyAlignment="1" applyProtection="1">
      <alignment horizontal="left" wrapText="1"/>
    </xf>
    <xf numFmtId="9" fontId="43" fillId="0" borderId="29" xfId="1" applyFont="1" applyBorder="1" applyAlignment="1">
      <alignment horizontal="center"/>
    </xf>
    <xf numFmtId="9" fontId="43" fillId="0" borderId="30" xfId="1" applyFont="1" applyBorder="1" applyAlignment="1">
      <alignment horizontal="center"/>
    </xf>
    <xf numFmtId="165" fontId="43" fillId="0" borderId="0" xfId="0" applyFont="1" applyAlignment="1">
      <alignment horizontal="center"/>
    </xf>
    <xf numFmtId="165" fontId="40" fillId="0" borderId="0" xfId="0" applyFont="1" applyBorder="1" applyAlignment="1">
      <alignment horizontal="center"/>
    </xf>
    <xf numFmtId="165" fontId="42" fillId="0" borderId="0" xfId="0" applyFont="1" applyBorder="1" applyAlignment="1" applyProtection="1">
      <alignment horizontal="left"/>
    </xf>
    <xf numFmtId="165" fontId="42" fillId="0" borderId="0" xfId="0" applyFont="1" applyFill="1" applyBorder="1" applyAlignment="1" applyProtection="1">
      <alignment horizontal="left" wrapText="1"/>
    </xf>
    <xf numFmtId="167" fontId="42" fillId="0" borderId="0" xfId="0" applyNumberFormat="1" applyFont="1" applyBorder="1" applyProtection="1"/>
    <xf numFmtId="165" fontId="40" fillId="0" borderId="21" xfId="0" applyFont="1" applyFill="1" applyBorder="1" applyAlignment="1">
      <alignment horizontal="left"/>
    </xf>
    <xf numFmtId="165" fontId="40" fillId="0" borderId="22" xfId="0" applyFont="1" applyBorder="1" applyAlignment="1">
      <alignment horizontal="left"/>
    </xf>
    <xf numFmtId="7" fontId="43" fillId="9" borderId="24" xfId="0" applyNumberFormat="1" applyFont="1" applyFill="1" applyBorder="1" applyAlignment="1" applyProtection="1">
      <alignment horizontal="center"/>
      <protection locked="0"/>
    </xf>
    <xf numFmtId="2" fontId="38" fillId="0" borderId="0" xfId="0" applyNumberFormat="1" applyFont="1"/>
    <xf numFmtId="165" fontId="45" fillId="0" borderId="16" xfId="0" applyFont="1" applyBorder="1"/>
    <xf numFmtId="165" fontId="40" fillId="0" borderId="17" xfId="0" applyFont="1" applyBorder="1"/>
    <xf numFmtId="165" fontId="40" fillId="0" borderId="31" xfId="0" applyFont="1" applyBorder="1"/>
    <xf numFmtId="165" fontId="40" fillId="0" borderId="3" xfId="0" applyFont="1" applyBorder="1"/>
    <xf numFmtId="165" fontId="40" fillId="0" borderId="3" xfId="0" applyFont="1" applyBorder="1" applyAlignment="1">
      <alignment horizontal="center"/>
    </xf>
    <xf numFmtId="165" fontId="41" fillId="0" borderId="14" xfId="0" applyFont="1" applyBorder="1" applyAlignment="1" applyProtection="1">
      <alignment horizontal="center"/>
    </xf>
    <xf numFmtId="165" fontId="40" fillId="0" borderId="13" xfId="0" applyFont="1" applyBorder="1"/>
    <xf numFmtId="165" fontId="38" fillId="0" borderId="3" xfId="0" applyFont="1" applyBorder="1"/>
    <xf numFmtId="165" fontId="38" fillId="0" borderId="32" xfId="0" applyFont="1" applyBorder="1"/>
    <xf numFmtId="165" fontId="40" fillId="0" borderId="0" xfId="0" applyFont="1" applyBorder="1"/>
    <xf numFmtId="165" fontId="43" fillId="0" borderId="0" xfId="0" applyFont="1" applyBorder="1" applyAlignment="1">
      <alignment horizontal="center"/>
    </xf>
    <xf numFmtId="168" fontId="40" fillId="0" borderId="0" xfId="0" applyNumberFormat="1" applyFont="1" applyBorder="1" applyAlignment="1">
      <alignment horizontal="center"/>
    </xf>
    <xf numFmtId="166" fontId="43" fillId="0" borderId="0" xfId="0" applyNumberFormat="1" applyFont="1" applyBorder="1" applyAlignment="1" applyProtection="1">
      <alignment horizontal="center"/>
      <protection locked="0"/>
    </xf>
    <xf numFmtId="165" fontId="42" fillId="0" borderId="7" xfId="0" applyFont="1" applyBorder="1" applyAlignment="1" applyProtection="1">
      <alignment horizontal="left"/>
    </xf>
    <xf numFmtId="167" fontId="43" fillId="0" borderId="33" xfId="0" applyNumberFormat="1" applyFont="1" applyBorder="1" applyAlignment="1" applyProtection="1">
      <alignment horizontal="center"/>
    </xf>
    <xf numFmtId="2" fontId="40" fillId="0" borderId="0" xfId="0" applyNumberFormat="1" applyFont="1" applyBorder="1" applyAlignment="1">
      <alignment horizontal="center"/>
    </xf>
    <xf numFmtId="169" fontId="43" fillId="0" borderId="33" xfId="0" applyNumberFormat="1" applyFont="1" applyBorder="1" applyAlignment="1" applyProtection="1">
      <alignment horizontal="center"/>
    </xf>
    <xf numFmtId="3" fontId="43" fillId="0" borderId="0" xfId="0" applyNumberFormat="1" applyFont="1" applyBorder="1" applyAlignment="1">
      <alignment horizontal="center"/>
    </xf>
    <xf numFmtId="165" fontId="40" fillId="0" borderId="10" xfId="0" applyFont="1" applyBorder="1"/>
    <xf numFmtId="170" fontId="42" fillId="10" borderId="33" xfId="0" applyNumberFormat="1" applyFont="1" applyFill="1" applyBorder="1" applyAlignment="1" applyProtection="1">
      <alignment horizontal="center"/>
      <protection hidden="1"/>
    </xf>
    <xf numFmtId="7" fontId="42" fillId="0" borderId="33" xfId="0" applyNumberFormat="1" applyFont="1" applyBorder="1" applyAlignment="1" applyProtection="1">
      <alignment horizontal="center"/>
      <protection locked="0"/>
    </xf>
    <xf numFmtId="165" fontId="42" fillId="0" borderId="7" xfId="0" applyFont="1" applyBorder="1"/>
    <xf numFmtId="167" fontId="43" fillId="0" borderId="0" xfId="0" applyNumberFormat="1" applyFont="1" applyBorder="1" applyAlignment="1" applyProtection="1">
      <alignment horizontal="center"/>
      <protection locked="0"/>
    </xf>
    <xf numFmtId="165" fontId="41" fillId="0" borderId="7" xfId="0" applyFont="1" applyBorder="1" applyAlignment="1" applyProtection="1">
      <alignment horizontal="left"/>
    </xf>
    <xf numFmtId="165" fontId="45" fillId="0" borderId="0" xfId="0" applyFont="1" applyBorder="1"/>
    <xf numFmtId="7" fontId="41" fillId="0" borderId="33" xfId="0" applyNumberFormat="1" applyFont="1" applyBorder="1" applyAlignment="1" applyProtection="1">
      <alignment horizontal="center"/>
    </xf>
    <xf numFmtId="9" fontId="43" fillId="0" borderId="0" xfId="0" applyNumberFormat="1" applyFont="1" applyBorder="1" applyAlignment="1" applyProtection="1">
      <alignment horizontal="center"/>
      <protection locked="0"/>
    </xf>
    <xf numFmtId="166" fontId="42" fillId="0" borderId="33" xfId="1" applyNumberFormat="1" applyFont="1" applyBorder="1" applyAlignment="1" applyProtection="1">
      <alignment horizontal="center"/>
    </xf>
    <xf numFmtId="165" fontId="40" fillId="0" borderId="7" xfId="0" applyFont="1" applyBorder="1"/>
    <xf numFmtId="165" fontId="40" fillId="0" borderId="33" xfId="0" applyFont="1" applyBorder="1" applyAlignment="1">
      <alignment horizontal="center"/>
    </xf>
    <xf numFmtId="166" fontId="43" fillId="0" borderId="33" xfId="0" applyNumberFormat="1" applyFont="1" applyBorder="1" applyAlignment="1" applyProtection="1">
      <alignment horizontal="center"/>
    </xf>
    <xf numFmtId="166" fontId="43" fillId="0" borderId="0" xfId="0" applyNumberFormat="1" applyFont="1" applyBorder="1" applyAlignment="1">
      <alignment horizontal="center"/>
    </xf>
    <xf numFmtId="165" fontId="40" fillId="0" borderId="33" xfId="0" applyFont="1" applyBorder="1"/>
    <xf numFmtId="167" fontId="41" fillId="0" borderId="0" xfId="0" applyNumberFormat="1" applyFont="1" applyBorder="1" applyProtection="1">
      <protection locked="0"/>
    </xf>
    <xf numFmtId="171" fontId="46" fillId="0" borderId="0" xfId="0" applyNumberFormat="1" applyFont="1" applyBorder="1" applyAlignment="1" applyProtection="1">
      <alignment horizontal="center"/>
      <protection locked="0"/>
    </xf>
    <xf numFmtId="9" fontId="43" fillId="0" borderId="0" xfId="0" applyNumberFormat="1" applyFont="1" applyBorder="1" applyAlignment="1">
      <alignment horizontal="center"/>
    </xf>
    <xf numFmtId="165" fontId="38" fillId="0" borderId="7" xfId="0" applyFont="1" applyBorder="1"/>
    <xf numFmtId="171" fontId="43" fillId="0" borderId="33" xfId="0" applyNumberFormat="1" applyFont="1" applyBorder="1" applyAlignment="1" applyProtection="1">
      <alignment horizontal="center"/>
    </xf>
    <xf numFmtId="171" fontId="42" fillId="0" borderId="0" xfId="0" applyNumberFormat="1" applyFont="1" applyBorder="1" applyAlignment="1" applyProtection="1">
      <alignment horizontal="center"/>
    </xf>
    <xf numFmtId="165" fontId="42" fillId="0" borderId="19" xfId="0" quotePrefix="1" applyFont="1" applyBorder="1" applyAlignment="1" applyProtection="1">
      <alignment horizontal="left"/>
    </xf>
    <xf numFmtId="165" fontId="47" fillId="0" borderId="0" xfId="0" applyFont="1" applyBorder="1" applyAlignment="1" applyProtection="1">
      <alignment horizontal="center"/>
      <protection locked="0"/>
    </xf>
    <xf numFmtId="168" fontId="46" fillId="0" borderId="0" xfId="0" applyNumberFormat="1" applyFont="1" applyBorder="1" applyAlignment="1" applyProtection="1">
      <alignment horizontal="center"/>
      <protection locked="0"/>
    </xf>
    <xf numFmtId="2" fontId="41" fillId="0" borderId="0" xfId="0" applyNumberFormat="1" applyFont="1" applyBorder="1" applyAlignment="1">
      <alignment horizontal="center"/>
    </xf>
    <xf numFmtId="165" fontId="42" fillId="0" borderId="0" xfId="0" quotePrefix="1" applyFont="1" applyBorder="1" applyAlignment="1" applyProtection="1">
      <alignment horizontal="left"/>
    </xf>
    <xf numFmtId="164" fontId="43" fillId="0" borderId="0" xfId="0" applyNumberFormat="1" applyFont="1" applyBorder="1" applyAlignment="1">
      <alignment horizontal="center"/>
    </xf>
    <xf numFmtId="165" fontId="38" fillId="0" borderId="33" xfId="0" applyFont="1" applyBorder="1"/>
    <xf numFmtId="165" fontId="42" fillId="0" borderId="34" xfId="0" applyFont="1" applyBorder="1" applyAlignment="1" applyProtection="1">
      <alignment horizontal="left"/>
    </xf>
    <xf numFmtId="165" fontId="38" fillId="0" borderId="2" xfId="0" applyFont="1" applyBorder="1"/>
    <xf numFmtId="165" fontId="40" fillId="0" borderId="2" xfId="0" applyFont="1" applyBorder="1"/>
    <xf numFmtId="166" fontId="43" fillId="0" borderId="12" xfId="0" applyNumberFormat="1" applyFont="1" applyBorder="1" applyAlignment="1" applyProtection="1">
      <alignment horizontal="center"/>
      <protection locked="0"/>
    </xf>
    <xf numFmtId="165" fontId="40" fillId="0" borderId="11" xfId="0" applyFont="1" applyBorder="1"/>
    <xf numFmtId="165" fontId="42" fillId="0" borderId="2" xfId="0" applyFont="1" applyBorder="1" applyAlignment="1" applyProtection="1">
      <alignment horizontal="left"/>
    </xf>
    <xf numFmtId="165" fontId="42" fillId="0" borderId="2" xfId="0" applyFont="1" applyBorder="1"/>
    <xf numFmtId="165" fontId="42" fillId="0" borderId="35" xfId="0" applyFont="1" applyBorder="1"/>
    <xf numFmtId="7" fontId="46" fillId="0" borderId="0" xfId="0" applyNumberFormat="1" applyFont="1" applyBorder="1" applyAlignment="1" applyProtection="1">
      <alignment horizontal="center"/>
      <protection locked="0"/>
    </xf>
    <xf numFmtId="165" fontId="38" fillId="0" borderId="19" xfId="0" applyFont="1" applyBorder="1"/>
    <xf numFmtId="2" fontId="43" fillId="0" borderId="0" xfId="0" applyNumberFormat="1" applyFont="1" applyBorder="1" applyAlignment="1" applyProtection="1">
      <alignment horizontal="center"/>
      <protection locked="0"/>
    </xf>
    <xf numFmtId="165" fontId="42" fillId="0" borderId="33" xfId="0" applyFont="1" applyBorder="1"/>
    <xf numFmtId="165" fontId="42" fillId="0" borderId="26" xfId="0" applyFont="1" applyFill="1" applyBorder="1" applyAlignment="1" applyProtection="1">
      <alignment horizontal="left" wrapText="1"/>
    </xf>
    <xf numFmtId="165" fontId="43" fillId="0" borderId="27" xfId="0" applyFont="1" applyBorder="1" applyAlignment="1">
      <alignment horizontal="center"/>
    </xf>
    <xf numFmtId="2" fontId="43" fillId="0" borderId="27" xfId="0" applyNumberFormat="1" applyFont="1" applyBorder="1" applyAlignment="1" applyProtection="1">
      <alignment horizontal="center"/>
      <protection locked="0"/>
    </xf>
    <xf numFmtId="165" fontId="41" fillId="0" borderId="27" xfId="0" applyFont="1" applyBorder="1" applyAlignment="1" applyProtection="1">
      <alignment horizontal="left"/>
    </xf>
    <xf numFmtId="165" fontId="42" fillId="0" borderId="27" xfId="0" applyFont="1" applyBorder="1" applyAlignment="1" applyProtection="1">
      <alignment horizontal="left"/>
    </xf>
    <xf numFmtId="165" fontId="42" fillId="0" borderId="36" xfId="0" applyFont="1" applyBorder="1" applyAlignment="1" applyProtection="1">
      <alignment horizontal="left"/>
    </xf>
    <xf numFmtId="165" fontId="42" fillId="0" borderId="0" xfId="0" applyFont="1" applyAlignment="1" applyProtection="1">
      <alignment horizontal="left"/>
    </xf>
    <xf numFmtId="165" fontId="42" fillId="0" borderId="0" xfId="0" applyFont="1"/>
    <xf numFmtId="169" fontId="46" fillId="0" borderId="0" xfId="0" applyNumberFormat="1" applyFont="1" applyBorder="1" applyProtection="1">
      <protection locked="0"/>
    </xf>
    <xf numFmtId="7" fontId="42" fillId="0" borderId="0" xfId="0" applyNumberFormat="1" applyFont="1" applyBorder="1" applyProtection="1"/>
    <xf numFmtId="165" fontId="41" fillId="0" borderId="0" xfId="0" applyFont="1" applyAlignment="1" applyProtection="1">
      <alignment horizontal="left"/>
    </xf>
    <xf numFmtId="167" fontId="48" fillId="0" borderId="0" xfId="0" applyNumberFormat="1" applyFont="1" applyAlignment="1" applyProtection="1">
      <alignment horizontal="center"/>
    </xf>
    <xf numFmtId="165" fontId="42" fillId="0" borderId="0" xfId="0" applyFont="1" applyAlignment="1" applyProtection="1">
      <alignment horizontal="right"/>
    </xf>
    <xf numFmtId="165" fontId="42" fillId="0" borderId="0" xfId="0" applyFont="1" applyAlignment="1" applyProtection="1">
      <alignment horizontal="left" indent="2"/>
    </xf>
    <xf numFmtId="4" fontId="42" fillId="0" borderId="0" xfId="0" applyNumberFormat="1" applyFont="1" applyAlignment="1" applyProtection="1">
      <alignment horizontal="center"/>
    </xf>
    <xf numFmtId="4" fontId="42" fillId="0" borderId="0" xfId="0" applyNumberFormat="1" applyFont="1"/>
    <xf numFmtId="168" fontId="42" fillId="0" borderId="0" xfId="0" applyNumberFormat="1" applyFont="1" applyAlignment="1" applyProtection="1">
      <alignment horizontal="center"/>
    </xf>
    <xf numFmtId="165" fontId="42" fillId="0" borderId="0" xfId="0" applyFont="1" applyAlignment="1" applyProtection="1">
      <alignment horizontal="center"/>
    </xf>
    <xf numFmtId="7" fontId="42" fillId="0" borderId="0" xfId="0" applyNumberFormat="1" applyFont="1" applyAlignment="1" applyProtection="1">
      <alignment horizontal="center"/>
    </xf>
    <xf numFmtId="7" fontId="42" fillId="0" borderId="2" xfId="0" applyNumberFormat="1" applyFont="1" applyBorder="1" applyAlignment="1" applyProtection="1">
      <alignment horizontal="center"/>
    </xf>
    <xf numFmtId="165" fontId="42" fillId="0" borderId="0" xfId="0" applyFont="1" applyAlignment="1">
      <alignment horizontal="center"/>
    </xf>
    <xf numFmtId="172" fontId="42" fillId="0" borderId="0" xfId="0" applyNumberFormat="1" applyFont="1"/>
    <xf numFmtId="165" fontId="42" fillId="0" borderId="0" xfId="0" quotePrefix="1" applyFont="1" applyAlignment="1" applyProtection="1">
      <alignment horizontal="left"/>
    </xf>
    <xf numFmtId="165" fontId="42" fillId="0" borderId="0" xfId="0" applyFont="1" applyAlignment="1" applyProtection="1">
      <alignment horizontal="fill"/>
    </xf>
    <xf numFmtId="7" fontId="42" fillId="0" borderId="0" xfId="0" applyNumberFormat="1" applyFont="1" applyAlignment="1" applyProtection="1">
      <alignment horizontal="fill"/>
    </xf>
    <xf numFmtId="165" fontId="49" fillId="0" borderId="0" xfId="0" applyFont="1" applyAlignment="1" applyProtection="1">
      <alignment horizontal="left"/>
    </xf>
    <xf numFmtId="165" fontId="47" fillId="0" borderId="0" xfId="0" applyFont="1" applyProtection="1">
      <protection locked="0"/>
    </xf>
    <xf numFmtId="7" fontId="42" fillId="0" borderId="0" xfId="0" applyNumberFormat="1" applyFont="1" applyProtection="1"/>
    <xf numFmtId="10" fontId="42" fillId="0" borderId="0" xfId="0" applyNumberFormat="1" applyFont="1" applyProtection="1"/>
    <xf numFmtId="167" fontId="42" fillId="0" borderId="0" xfId="0" applyNumberFormat="1" applyFont="1" applyProtection="1"/>
    <xf numFmtId="167" fontId="48" fillId="0" borderId="0" xfId="0" applyNumberFormat="1" applyFont="1" applyProtection="1"/>
    <xf numFmtId="167" fontId="48" fillId="0" borderId="0" xfId="0" applyNumberFormat="1" applyFont="1" applyAlignment="1" applyProtection="1">
      <alignment horizontal="left"/>
    </xf>
    <xf numFmtId="7" fontId="42" fillId="0" borderId="2" xfId="0" applyNumberFormat="1" applyFont="1" applyBorder="1" applyProtection="1"/>
    <xf numFmtId="7" fontId="42" fillId="0" borderId="0" xfId="0" applyNumberFormat="1" applyFont="1" applyAlignment="1" applyProtection="1">
      <alignment horizontal="right"/>
    </xf>
    <xf numFmtId="165" fontId="42" fillId="0" borderId="1" xfId="0" applyFont="1" applyBorder="1" applyAlignment="1" applyProtection="1">
      <alignment horizontal="center" wrapText="1"/>
    </xf>
    <xf numFmtId="165" fontId="42" fillId="0" borderId="0" xfId="0" applyFont="1" applyBorder="1" applyAlignment="1" applyProtection="1">
      <alignment horizontal="center" wrapText="1"/>
    </xf>
    <xf numFmtId="7" fontId="38" fillId="0" borderId="0" xfId="0" applyNumberFormat="1" applyFont="1"/>
    <xf numFmtId="7" fontId="42" fillId="0" borderId="0" xfId="0" applyNumberFormat="1" applyFont="1"/>
    <xf numFmtId="165" fontId="42" fillId="0" borderId="0" xfId="0" applyFont="1" applyAlignment="1" applyProtection="1">
      <alignment horizontal="center" wrapText="1"/>
    </xf>
    <xf numFmtId="170" fontId="42" fillId="0" borderId="0" xfId="0" applyNumberFormat="1" applyFont="1" applyProtection="1"/>
    <xf numFmtId="171" fontId="42" fillId="0" borderId="0" xfId="0" applyNumberFormat="1" applyFont="1" applyProtection="1"/>
    <xf numFmtId="165" fontId="41" fillId="0" borderId="0" xfId="0" applyFont="1"/>
    <xf numFmtId="7" fontId="41" fillId="0" borderId="0" xfId="0" applyNumberFormat="1" applyFont="1"/>
    <xf numFmtId="165" fontId="41" fillId="0" borderId="16" xfId="0" applyFont="1" applyBorder="1"/>
    <xf numFmtId="165" fontId="41" fillId="0" borderId="26" xfId="0" applyFont="1" applyBorder="1"/>
    <xf numFmtId="167" fontId="42" fillId="0" borderId="0" xfId="0" applyNumberFormat="1" applyFont="1" applyAlignment="1" applyProtection="1">
      <alignment horizontal="left"/>
    </xf>
    <xf numFmtId="169" fontId="42" fillId="0" borderId="0" xfId="0" applyNumberFormat="1" applyFont="1" applyProtection="1"/>
    <xf numFmtId="166" fontId="42" fillId="0" borderId="0" xfId="0" quotePrefix="1" applyNumberFormat="1" applyFont="1" applyProtection="1"/>
    <xf numFmtId="166" fontId="42" fillId="0" borderId="0" xfId="0" applyNumberFormat="1" applyFont="1" applyProtection="1"/>
    <xf numFmtId="3" fontId="43" fillId="0" borderId="20" xfId="0" applyNumberFormat="1" applyFont="1" applyBorder="1" applyAlignment="1">
      <alignment horizontal="center"/>
    </xf>
    <xf numFmtId="3" fontId="41" fillId="0" borderId="20" xfId="0" applyNumberFormat="1" applyFont="1" applyBorder="1" applyAlignment="1">
      <alignment horizontal="center"/>
    </xf>
    <xf numFmtId="0" fontId="3" fillId="4" borderId="0" xfId="0" applyNumberFormat="1" applyFont="1" applyFill="1" applyBorder="1"/>
    <xf numFmtId="0" fontId="3" fillId="4" borderId="0" xfId="0" applyNumberFormat="1" applyFont="1" applyFill="1"/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0" fillId="2" borderId="0" xfId="0" applyNumberFormat="1" applyFill="1" applyAlignment="1">
      <alignment horizontal="center"/>
    </xf>
    <xf numFmtId="0" fontId="0" fillId="4" borderId="0" xfId="0" applyNumberFormat="1" applyFill="1" applyBorder="1"/>
    <xf numFmtId="0" fontId="0" fillId="4" borderId="0" xfId="0" applyNumberFormat="1" applyFill="1"/>
    <xf numFmtId="0" fontId="6" fillId="3" borderId="0" xfId="0" applyNumberFormat="1" applyFont="1" applyFill="1"/>
    <xf numFmtId="0" fontId="0" fillId="3" borderId="0" xfId="0" applyNumberFormat="1" applyFill="1"/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right"/>
    </xf>
    <xf numFmtId="0" fontId="0" fillId="3" borderId="0" xfId="0" applyNumberFormat="1" applyFill="1" applyBorder="1" applyAlignment="1">
      <alignment horizontal="center"/>
    </xf>
    <xf numFmtId="0" fontId="0" fillId="3" borderId="0" xfId="0" applyNumberFormat="1" applyFill="1" applyAlignment="1">
      <alignment horizontal="center"/>
    </xf>
    <xf numFmtId="0" fontId="0" fillId="3" borderId="0" xfId="0" applyNumberFormat="1" applyFill="1" applyAlignment="1">
      <alignment horizontal="right"/>
    </xf>
    <xf numFmtId="0" fontId="0" fillId="5" borderId="1" xfId="0" applyNumberFormat="1" applyFill="1" applyBorder="1" applyAlignment="1">
      <alignment horizontal="center"/>
    </xf>
    <xf numFmtId="0" fontId="0" fillId="3" borderId="0" xfId="0" applyNumberFormat="1" applyFill="1" applyBorder="1" applyAlignment="1">
      <alignment horizontal="left"/>
    </xf>
    <xf numFmtId="0" fontId="0" fillId="3" borderId="0" xfId="0" applyNumberFormat="1" applyFill="1" applyAlignment="1">
      <alignment horizontal="left"/>
    </xf>
    <xf numFmtId="0" fontId="1" fillId="3" borderId="0" xfId="0" applyNumberFormat="1" applyFont="1" applyFill="1"/>
    <xf numFmtId="0" fontId="2" fillId="3" borderId="0" xfId="0" applyNumberFormat="1" applyFont="1" applyFill="1" applyBorder="1"/>
    <xf numFmtId="0" fontId="25" fillId="3" borderId="3" xfId="0" applyNumberFormat="1" applyFont="1" applyFill="1" applyBorder="1" applyAlignment="1">
      <alignment horizontal="right"/>
    </xf>
    <xf numFmtId="0" fontId="25" fillId="3" borderId="3" xfId="0" applyNumberFormat="1" applyFont="1" applyFill="1" applyBorder="1"/>
    <xf numFmtId="0" fontId="0" fillId="3" borderId="3" xfId="0" applyNumberFormat="1" applyFill="1" applyBorder="1"/>
    <xf numFmtId="0" fontId="0" fillId="3" borderId="3" xfId="0" applyNumberFormat="1" applyFill="1" applyBorder="1" applyAlignment="1">
      <alignment horizontal="right"/>
    </xf>
    <xf numFmtId="0" fontId="0" fillId="3" borderId="3" xfId="0" applyNumberFormat="1" applyFill="1" applyBorder="1" applyAlignment="1">
      <alignment horizontal="center"/>
    </xf>
    <xf numFmtId="0" fontId="25" fillId="3" borderId="2" xfId="0" applyNumberFormat="1" applyFont="1" applyFill="1" applyBorder="1"/>
    <xf numFmtId="0" fontId="0" fillId="3" borderId="2" xfId="0" applyNumberFormat="1" applyFill="1" applyBorder="1"/>
    <xf numFmtId="0" fontId="0" fillId="3" borderId="2" xfId="0" applyNumberFormat="1" applyFill="1" applyBorder="1" applyAlignment="1">
      <alignment horizontal="right"/>
    </xf>
    <xf numFmtId="0" fontId="0" fillId="3" borderId="2" xfId="0" applyNumberFormat="1" applyFill="1" applyBorder="1" applyAlignment="1">
      <alignment horizontal="center"/>
    </xf>
    <xf numFmtId="0" fontId="0" fillId="2" borderId="0" xfId="0" applyNumberFormat="1" applyFill="1" applyAlignment="1">
      <alignment vertical="center"/>
    </xf>
    <xf numFmtId="0" fontId="0" fillId="3" borderId="0" xfId="0" applyNumberFormat="1" applyFill="1" applyAlignment="1">
      <alignment vertical="center"/>
    </xf>
    <xf numFmtId="0" fontId="0" fillId="3" borderId="0" xfId="0" applyNumberFormat="1" applyFill="1" applyAlignment="1">
      <alignment horizontal="center" vertical="center"/>
    </xf>
    <xf numFmtId="0" fontId="0" fillId="3" borderId="0" xfId="0" applyNumberFormat="1" applyFill="1" applyAlignment="1">
      <alignment horizontal="right" vertical="center"/>
    </xf>
    <xf numFmtId="0" fontId="0" fillId="4" borderId="0" xfId="0" applyNumberFormat="1" applyFill="1" applyBorder="1" applyAlignment="1">
      <alignment vertical="center"/>
    </xf>
    <xf numFmtId="0" fontId="0" fillId="4" borderId="0" xfId="0" applyNumberFormat="1" applyFill="1" applyAlignment="1">
      <alignment vertical="center"/>
    </xf>
    <xf numFmtId="0" fontId="0" fillId="2" borderId="0" xfId="0" applyNumberFormat="1" applyFill="1" applyBorder="1"/>
    <xf numFmtId="0" fontId="25" fillId="3" borderId="6" xfId="0" applyNumberFormat="1" applyFont="1" applyFill="1" applyBorder="1"/>
    <xf numFmtId="0" fontId="0" fillId="4" borderId="0" xfId="0" applyNumberFormat="1" applyFill="1" applyBorder="1" applyAlignment="1">
      <alignment horizontal="center"/>
    </xf>
    <xf numFmtId="0" fontId="0" fillId="4" borderId="0" xfId="0" applyNumberFormat="1" applyFill="1" applyAlignment="1">
      <alignment horizontal="center"/>
    </xf>
    <xf numFmtId="0" fontId="6" fillId="3" borderId="0" xfId="0" applyNumberFormat="1" applyFont="1" applyFill="1" applyAlignment="1">
      <alignment vertical="top"/>
    </xf>
    <xf numFmtId="0" fontId="0" fillId="3" borderId="0" xfId="0" applyNumberFormat="1" applyFill="1" applyBorder="1" applyAlignment="1"/>
    <xf numFmtId="0" fontId="0" fillId="3" borderId="0" xfId="0" applyNumberFormat="1" applyFont="1" applyFill="1" applyBorder="1" applyAlignment="1">
      <alignment horizontal="right"/>
    </xf>
    <xf numFmtId="0" fontId="1" fillId="3" borderId="0" xfId="0" applyNumberFormat="1" applyFont="1" applyFill="1" applyAlignment="1">
      <alignment horizontal="right"/>
    </xf>
    <xf numFmtId="0" fontId="0" fillId="2" borderId="0" xfId="0" applyNumberFormat="1" applyFill="1" applyBorder="1" applyAlignment="1">
      <alignment horizontal="center"/>
    </xf>
    <xf numFmtId="0" fontId="0" fillId="2" borderId="0" xfId="0" applyNumberFormat="1" applyFill="1" applyAlignment="1"/>
    <xf numFmtId="0" fontId="0" fillId="4" borderId="0" xfId="0" applyNumberFormat="1" applyFill="1" applyAlignment="1">
      <alignment horizontal="right"/>
    </xf>
    <xf numFmtId="0" fontId="10" fillId="4" borderId="0" xfId="0" applyNumberFormat="1" applyFont="1" applyFill="1" applyAlignment="1">
      <alignment horizontal="center"/>
    </xf>
    <xf numFmtId="0" fontId="15" fillId="5" borderId="0" xfId="0" applyNumberFormat="1" applyFont="1" applyFill="1" applyBorder="1" applyAlignment="1">
      <alignment vertical="top"/>
    </xf>
    <xf numFmtId="0" fontId="26" fillId="5" borderId="0" xfId="0" applyNumberFormat="1" applyFont="1" applyFill="1" applyBorder="1" applyAlignment="1">
      <alignment horizontal="center"/>
    </xf>
    <xf numFmtId="0" fontId="26" fillId="4" borderId="0" xfId="0" applyNumberFormat="1" applyFont="1" applyFill="1" applyBorder="1" applyAlignment="1">
      <alignment horizontal="center"/>
    </xf>
    <xf numFmtId="0" fontId="15" fillId="4" borderId="0" xfId="0" applyNumberFormat="1" applyFont="1" applyFill="1" applyBorder="1"/>
    <xf numFmtId="0" fontId="36" fillId="5" borderId="0" xfId="0" applyNumberFormat="1" applyFont="1" applyFill="1" applyBorder="1" applyAlignment="1">
      <alignment horizontal="center" vertical="center"/>
    </xf>
    <xf numFmtId="0" fontId="15" fillId="4" borderId="0" xfId="0" applyNumberFormat="1" applyFont="1" applyFill="1" applyBorder="1" applyAlignment="1"/>
    <xf numFmtId="0" fontId="15" fillId="4" borderId="0" xfId="0" applyNumberFormat="1" applyFont="1" applyFill="1"/>
    <xf numFmtId="0" fontId="15" fillId="5" borderId="0" xfId="0" applyNumberFormat="1" applyFont="1" applyFill="1" applyBorder="1"/>
    <xf numFmtId="0" fontId="36" fillId="5" borderId="0" xfId="0" applyNumberFormat="1" applyFont="1" applyFill="1" applyBorder="1" applyAlignment="1">
      <alignment horizontal="center" vertical="center" wrapText="1"/>
    </xf>
    <xf numFmtId="0" fontId="28" fillId="4" borderId="0" xfId="0" applyNumberFormat="1" applyFont="1" applyFill="1" applyBorder="1" applyAlignment="1">
      <alignment wrapText="1"/>
    </xf>
    <xf numFmtId="0" fontId="36" fillId="7" borderId="0" xfId="0" applyNumberFormat="1" applyFont="1" applyFill="1" applyBorder="1" applyAlignment="1">
      <alignment horizontal="center" vertical="center" wrapText="1"/>
    </xf>
    <xf numFmtId="0" fontId="31" fillId="5" borderId="0" xfId="0" applyNumberFormat="1" applyFont="1" applyFill="1" applyBorder="1" applyAlignment="1"/>
    <xf numFmtId="0" fontId="15" fillId="5" borderId="0" xfId="0" applyNumberFormat="1" applyFont="1" applyFill="1" applyBorder="1" applyAlignment="1">
      <alignment vertical="top" textRotation="90"/>
    </xf>
    <xf numFmtId="0" fontId="15" fillId="4" borderId="0" xfId="0" applyNumberFormat="1" applyFont="1" applyFill="1" applyBorder="1" applyAlignment="1">
      <alignment vertical="top"/>
    </xf>
    <xf numFmtId="0" fontId="30" fillId="4" borderId="0" xfId="0" applyNumberFormat="1" applyFont="1" applyFill="1" applyBorder="1"/>
    <xf numFmtId="0" fontId="15" fillId="4" borderId="0" xfId="0" applyNumberFormat="1" applyFont="1" applyFill="1" applyAlignment="1">
      <alignment vertical="top"/>
    </xf>
    <xf numFmtId="0" fontId="28" fillId="4" borderId="0" xfId="0" applyNumberFormat="1" applyFont="1" applyFill="1" applyBorder="1" applyAlignment="1"/>
    <xf numFmtId="0" fontId="30" fillId="5" borderId="0" xfId="0" applyNumberFormat="1" applyFont="1" applyFill="1" applyBorder="1"/>
    <xf numFmtId="0" fontId="30" fillId="4" borderId="0" xfId="0" applyNumberFormat="1" applyFont="1" applyFill="1"/>
    <xf numFmtId="0" fontId="34" fillId="5" borderId="0" xfId="0" applyNumberFormat="1" applyFont="1" applyFill="1" applyBorder="1" applyAlignment="1">
      <alignment horizontal="left"/>
    </xf>
    <xf numFmtId="0" fontId="32" fillId="5" borderId="0" xfId="0" applyNumberFormat="1" applyFont="1" applyFill="1" applyBorder="1" applyAlignment="1">
      <alignment horizontal="left" vertical="top"/>
    </xf>
    <xf numFmtId="0" fontId="30" fillId="4" borderId="0" xfId="0" applyNumberFormat="1" applyFont="1" applyFill="1" applyBorder="1" applyAlignment="1"/>
    <xf numFmtId="0" fontId="36" fillId="7" borderId="0" xfId="0" applyNumberFormat="1" applyFont="1" applyFill="1" applyBorder="1" applyAlignment="1">
      <alignment horizontal="center" vertical="center"/>
    </xf>
    <xf numFmtId="0" fontId="32" fillId="5" borderId="0" xfId="0" applyNumberFormat="1" applyFont="1" applyFill="1" applyBorder="1" applyAlignment="1">
      <alignment horizontal="left"/>
    </xf>
    <xf numFmtId="0" fontId="36" fillId="5" borderId="0" xfId="0" applyNumberFormat="1" applyFont="1" applyFill="1" applyBorder="1" applyAlignment="1">
      <alignment horizontal="center"/>
    </xf>
    <xf numFmtId="0" fontId="32" fillId="5" borderId="0" xfId="0" applyNumberFormat="1" applyFont="1" applyFill="1" applyBorder="1" applyAlignment="1">
      <alignment horizontal="left" wrapText="1"/>
    </xf>
    <xf numFmtId="0" fontId="15" fillId="5" borderId="0" xfId="0" applyNumberFormat="1" applyFont="1" applyFill="1" applyBorder="1" applyAlignment="1">
      <alignment horizontal="left"/>
    </xf>
    <xf numFmtId="0" fontId="27" fillId="5" borderId="2" xfId="0" applyNumberFormat="1" applyFont="1" applyFill="1" applyBorder="1" applyAlignment="1"/>
    <xf numFmtId="0" fontId="0" fillId="5" borderId="0" xfId="0" applyNumberFormat="1" applyFill="1" applyBorder="1" applyAlignment="1">
      <alignment vertical="top"/>
    </xf>
    <xf numFmtId="0" fontId="4" fillId="5" borderId="0" xfId="0" applyNumberFormat="1" applyFont="1" applyFill="1" applyBorder="1" applyAlignment="1">
      <alignment horizontal="center"/>
    </xf>
    <xf numFmtId="0" fontId="4" fillId="4" borderId="0" xfId="0" applyNumberFormat="1" applyFont="1" applyFill="1" applyBorder="1" applyAlignment="1">
      <alignment horizontal="center"/>
    </xf>
    <xf numFmtId="0" fontId="0" fillId="5" borderId="0" xfId="0" applyNumberFormat="1" applyFill="1" applyBorder="1"/>
    <xf numFmtId="0" fontId="7" fillId="5" borderId="0" xfId="0" applyNumberFormat="1" applyFont="1" applyFill="1" applyBorder="1" applyAlignment="1"/>
    <xf numFmtId="0" fontId="0" fillId="5" borderId="0" xfId="0" applyNumberFormat="1" applyFill="1" applyBorder="1" applyAlignment="1">
      <alignment vertical="top" textRotation="90"/>
    </xf>
    <xf numFmtId="0" fontId="0" fillId="4" borderId="0" xfId="0" applyNumberFormat="1" applyFill="1" applyAlignment="1">
      <alignment vertical="top"/>
    </xf>
    <xf numFmtId="0" fontId="5" fillId="4" borderId="0" xfId="0" applyNumberFormat="1" applyFont="1" applyFill="1" applyBorder="1"/>
    <xf numFmtId="0" fontId="5" fillId="5" borderId="0" xfId="0" applyNumberFormat="1" applyFont="1" applyFill="1" applyBorder="1"/>
    <xf numFmtId="0" fontId="5" fillId="4" borderId="0" xfId="0" applyNumberFormat="1" applyFont="1" applyFill="1"/>
    <xf numFmtId="0" fontId="7" fillId="5" borderId="0" xfId="0" applyNumberFormat="1" applyFont="1" applyFill="1" applyBorder="1" applyAlignment="1">
      <alignment horizontal="center"/>
    </xf>
    <xf numFmtId="0" fontId="18" fillId="5" borderId="0" xfId="0" applyNumberFormat="1" applyFont="1" applyFill="1" applyBorder="1"/>
    <xf numFmtId="0" fontId="14" fillId="5" borderId="0" xfId="0" applyNumberFormat="1" applyFont="1" applyFill="1" applyBorder="1" applyAlignment="1"/>
    <xf numFmtId="0" fontId="14" fillId="4" borderId="0" xfId="0" applyNumberFormat="1" applyFont="1" applyFill="1" applyBorder="1" applyAlignment="1"/>
    <xf numFmtId="0" fontId="23" fillId="4" borderId="0" xfId="0" applyNumberFormat="1" applyFont="1" applyFill="1" applyBorder="1" applyAlignment="1">
      <alignment horizontal="center"/>
    </xf>
    <xf numFmtId="0" fontId="53" fillId="0" borderId="0" xfId="0" applyNumberFormat="1" applyFont="1" applyFill="1" applyBorder="1" applyAlignment="1">
      <alignment horizontal="center"/>
    </xf>
    <xf numFmtId="0" fontId="8" fillId="4" borderId="3" xfId="0" applyNumberFormat="1" applyFont="1" applyFill="1" applyBorder="1"/>
    <xf numFmtId="0" fontId="8" fillId="4" borderId="0" xfId="0" applyNumberFormat="1" applyFont="1" applyFill="1" applyBorder="1"/>
    <xf numFmtId="0" fontId="17" fillId="4" borderId="0" xfId="0" applyNumberFormat="1" applyFont="1" applyFill="1" applyBorder="1" applyAlignment="1"/>
    <xf numFmtId="0" fontId="53" fillId="0" borderId="0" xfId="0" applyNumberFormat="1" applyFont="1" applyFill="1" applyBorder="1" applyAlignment="1">
      <alignment wrapText="1"/>
    </xf>
    <xf numFmtId="0" fontId="53" fillId="0" borderId="0" xfId="0" applyNumberFormat="1" applyFont="1" applyFill="1" applyBorder="1" applyAlignment="1">
      <alignment horizontal="center" wrapText="1"/>
    </xf>
    <xf numFmtId="0" fontId="0" fillId="4" borderId="0" xfId="0" applyNumberFormat="1" applyFill="1" applyBorder="1" applyAlignment="1">
      <alignment vertical="top"/>
    </xf>
    <xf numFmtId="0" fontId="8" fillId="4" borderId="0" xfId="0" applyNumberFormat="1" applyFont="1" applyFill="1" applyBorder="1" applyAlignment="1">
      <alignment vertical="top"/>
    </xf>
    <xf numFmtId="0" fontId="9" fillId="4" borderId="0" xfId="0" applyNumberFormat="1" applyFont="1" applyFill="1" applyBorder="1"/>
    <xf numFmtId="0" fontId="0" fillId="4" borderId="0" xfId="0" applyNumberFormat="1" applyFont="1" applyFill="1" applyBorder="1" applyAlignment="1">
      <alignment horizontal="center"/>
    </xf>
    <xf numFmtId="0" fontId="1" fillId="5" borderId="0" xfId="0" applyNumberFormat="1" applyFont="1" applyFill="1" applyBorder="1" applyAlignment="1">
      <alignment horizontal="left" vertical="top"/>
    </xf>
    <xf numFmtId="0" fontId="1" fillId="5" borderId="0" xfId="0" applyNumberFormat="1" applyFont="1" applyFill="1" applyBorder="1" applyAlignment="1">
      <alignment horizontal="left"/>
    </xf>
    <xf numFmtId="0" fontId="0" fillId="4" borderId="0" xfId="0" applyNumberFormat="1" applyFont="1" applyFill="1" applyBorder="1"/>
    <xf numFmtId="0" fontId="16" fillId="5" borderId="7" xfId="0" applyNumberFormat="1" applyFont="1" applyFill="1" applyBorder="1" applyAlignment="1"/>
    <xf numFmtId="0" fontId="16" fillId="5" borderId="7" xfId="1" applyNumberFormat="1" applyFont="1" applyFill="1" applyBorder="1" applyAlignment="1"/>
    <xf numFmtId="0" fontId="24" fillId="4" borderId="0" xfId="0" applyNumberFormat="1" applyFont="1" applyFill="1" applyBorder="1" applyAlignment="1">
      <alignment horizontal="center"/>
    </xf>
    <xf numFmtId="0" fontId="35" fillId="0" borderId="0" xfId="0" applyNumberFormat="1" applyFont="1" applyFill="1" applyBorder="1" applyAlignment="1">
      <alignment horizontal="center"/>
    </xf>
    <xf numFmtId="0" fontId="35" fillId="0" borderId="3" xfId="0" applyNumberFormat="1" applyFont="1" applyFill="1" applyBorder="1" applyAlignment="1">
      <alignment horizontal="center"/>
    </xf>
    <xf numFmtId="0" fontId="17" fillId="5" borderId="0" xfId="0" applyNumberFormat="1" applyFont="1" applyFill="1" applyBorder="1" applyAlignment="1"/>
    <xf numFmtId="0" fontId="35" fillId="0" borderId="0" xfId="0" applyNumberFormat="1" applyFont="1" applyFill="1" applyBorder="1"/>
    <xf numFmtId="0" fontId="5" fillId="4" borderId="0" xfId="0" applyNumberFormat="1" applyFont="1" applyFill="1" applyBorder="1" applyAlignment="1">
      <alignment horizontal="center"/>
    </xf>
    <xf numFmtId="0" fontId="5" fillId="4" borderId="0" xfId="0" applyNumberFormat="1" applyFont="1" applyFill="1" applyAlignment="1">
      <alignment horizontal="center"/>
    </xf>
    <xf numFmtId="0" fontId="0" fillId="4" borderId="0" xfId="0" applyNumberFormat="1" applyFont="1" applyFill="1" applyAlignment="1">
      <alignment vertical="top"/>
    </xf>
    <xf numFmtId="0" fontId="35" fillId="0" borderId="0" xfId="0" applyNumberFormat="1" applyFont="1" applyFill="1" applyBorder="1" applyAlignment="1">
      <alignment vertical="top"/>
    </xf>
    <xf numFmtId="0" fontId="5" fillId="5" borderId="0" xfId="0" applyNumberFormat="1" applyFont="1" applyFill="1" applyBorder="1" applyAlignment="1">
      <alignment horizontal="left"/>
    </xf>
    <xf numFmtId="0" fontId="0" fillId="5" borderId="0" xfId="0" applyNumberFormat="1" applyFill="1" applyBorder="1" applyAlignment="1">
      <alignment horizontal="left"/>
    </xf>
    <xf numFmtId="0" fontId="4" fillId="5" borderId="0" xfId="0" applyNumberFormat="1" applyFont="1" applyFill="1" applyBorder="1" applyAlignment="1">
      <alignment horizontal="left"/>
    </xf>
    <xf numFmtId="0" fontId="5" fillId="5" borderId="0" xfId="0" applyNumberFormat="1" applyFont="1" applyFill="1" applyAlignment="1">
      <alignment horizontal="left"/>
    </xf>
    <xf numFmtId="0" fontId="0" fillId="5" borderId="0" xfId="0" applyNumberFormat="1" applyFill="1" applyBorder="1" applyAlignment="1">
      <alignment horizontal="left" wrapText="1"/>
    </xf>
    <xf numFmtId="165" fontId="40" fillId="8" borderId="4" xfId="0" applyFont="1" applyFill="1" applyBorder="1" applyAlignment="1">
      <alignment horizontal="center"/>
    </xf>
    <xf numFmtId="165" fontId="40" fillId="8" borderId="6" xfId="0" applyFont="1" applyFill="1" applyBorder="1" applyAlignment="1">
      <alignment horizontal="center"/>
    </xf>
    <xf numFmtId="165" fontId="40" fillId="8" borderId="5" xfId="0" applyFont="1" applyFill="1" applyBorder="1" applyAlignment="1">
      <alignment horizontal="center"/>
    </xf>
    <xf numFmtId="0" fontId="58" fillId="5" borderId="0" xfId="0" applyNumberFormat="1" applyFont="1" applyFill="1" applyBorder="1" applyAlignment="1"/>
    <xf numFmtId="0" fontId="60" fillId="5" borderId="1" xfId="0" applyNumberFormat="1" applyFont="1" applyFill="1" applyBorder="1" applyAlignment="1">
      <alignment horizontal="center"/>
    </xf>
    <xf numFmtId="0" fontId="61" fillId="0" borderId="0" xfId="0" applyNumberFormat="1" applyFont="1" applyFill="1" applyBorder="1" applyAlignment="1">
      <alignment horizontal="center"/>
    </xf>
    <xf numFmtId="0" fontId="15" fillId="4" borderId="3" xfId="0" applyNumberFormat="1" applyFont="1" applyFill="1" applyBorder="1" applyAlignment="1">
      <alignment horizontal="center"/>
    </xf>
    <xf numFmtId="0" fontId="15" fillId="4" borderId="3" xfId="0" applyNumberFormat="1" applyFont="1" applyFill="1" applyBorder="1"/>
    <xf numFmtId="0" fontId="61" fillId="0" borderId="0" xfId="0" applyNumberFormat="1" applyFont="1" applyFill="1" applyBorder="1" applyAlignment="1">
      <alignment wrapText="1"/>
    </xf>
    <xf numFmtId="0" fontId="61" fillId="0" borderId="0" xfId="0" applyNumberFormat="1" applyFont="1" applyFill="1" applyBorder="1" applyAlignment="1">
      <alignment horizontal="center" wrapText="1"/>
    </xf>
    <xf numFmtId="0" fontId="26" fillId="5" borderId="0" xfId="0" applyNumberFormat="1" applyFont="1" applyFill="1" applyBorder="1" applyAlignment="1">
      <alignment horizontal="right"/>
    </xf>
    <xf numFmtId="0" fontId="30" fillId="4" borderId="0" xfId="0" applyNumberFormat="1" applyFont="1" applyFill="1" applyBorder="1" applyAlignment="1">
      <alignment horizontal="center"/>
    </xf>
    <xf numFmtId="0" fontId="30" fillId="5" borderId="0" xfId="0" applyNumberFormat="1" applyFont="1" applyFill="1" applyBorder="1" applyAlignment="1">
      <alignment horizontal="right"/>
    </xf>
    <xf numFmtId="0" fontId="15" fillId="4" borderId="0" xfId="0" applyNumberFormat="1" applyFont="1" applyFill="1" applyBorder="1" applyAlignment="1">
      <alignment vertical="top" textRotation="90"/>
    </xf>
    <xf numFmtId="0" fontId="15" fillId="5" borderId="0" xfId="0" applyNumberFormat="1" applyFont="1" applyFill="1" applyBorder="1" applyAlignment="1">
      <alignment horizontal="right"/>
    </xf>
    <xf numFmtId="0" fontId="61" fillId="0" borderId="0" xfId="0" applyNumberFormat="1" applyFont="1" applyFill="1" applyBorder="1"/>
    <xf numFmtId="0" fontId="34" fillId="5" borderId="0" xfId="0" applyNumberFormat="1" applyFont="1" applyFill="1" applyAlignment="1">
      <alignment horizontal="left"/>
    </xf>
    <xf numFmtId="0" fontId="15" fillId="5" borderId="7" xfId="0" applyNumberFormat="1" applyFont="1" applyFill="1" applyBorder="1" applyAlignment="1"/>
    <xf numFmtId="0" fontId="36" fillId="4" borderId="0" xfId="0" applyNumberFormat="1" applyFont="1" applyFill="1" applyBorder="1"/>
    <xf numFmtId="0" fontId="36" fillId="5" borderId="0" xfId="0" applyNumberFormat="1" applyFont="1" applyFill="1" applyBorder="1" applyAlignment="1">
      <alignment wrapText="1"/>
    </xf>
    <xf numFmtId="0" fontId="36" fillId="4" borderId="0" xfId="0" applyNumberFormat="1" applyFont="1" applyFill="1" applyBorder="1" applyAlignment="1">
      <alignment horizontal="center"/>
    </xf>
    <xf numFmtId="0" fontId="36" fillId="5" borderId="0" xfId="0" applyNumberFormat="1" applyFont="1" applyFill="1" applyBorder="1" applyAlignment="1">
      <alignment horizontal="center" wrapText="1"/>
    </xf>
    <xf numFmtId="0" fontId="36" fillId="7" borderId="0" xfId="0" applyNumberFormat="1" applyFont="1" applyFill="1" applyBorder="1" applyAlignment="1">
      <alignment horizontal="center"/>
    </xf>
    <xf numFmtId="0" fontId="34" fillId="5" borderId="0" xfId="0" applyNumberFormat="1" applyFont="1" applyFill="1" applyBorder="1" applyAlignment="1"/>
    <xf numFmtId="0" fontId="32" fillId="5" borderId="0" xfId="0" applyNumberFormat="1" applyFont="1" applyFill="1" applyBorder="1" applyAlignment="1">
      <alignment vertical="top"/>
    </xf>
    <xf numFmtId="0" fontId="32" fillId="5" borderId="0" xfId="0" applyNumberFormat="1" applyFont="1" applyFill="1" applyBorder="1" applyAlignment="1"/>
    <xf numFmtId="0" fontId="32" fillId="5" borderId="0" xfId="0" applyNumberFormat="1" applyFont="1" applyFill="1" applyBorder="1" applyAlignment="1">
      <alignment wrapText="1"/>
    </xf>
    <xf numFmtId="0" fontId="0" fillId="5" borderId="1" xfId="0" applyNumberFormat="1" applyFont="1" applyFill="1" applyBorder="1" applyAlignment="1">
      <alignment horizontal="center"/>
    </xf>
    <xf numFmtId="0" fontId="25" fillId="3" borderId="0" xfId="0" applyNumberFormat="1" applyFont="1" applyFill="1"/>
    <xf numFmtId="0" fontId="0" fillId="3" borderId="0" xfId="0" applyNumberFormat="1" applyFont="1" applyFill="1" applyBorder="1" applyAlignment="1">
      <alignment horizontal="center"/>
    </xf>
    <xf numFmtId="0" fontId="0" fillId="3" borderId="0" xfId="0" applyNumberFormat="1" applyFont="1" applyFill="1" applyBorder="1"/>
    <xf numFmtId="0" fontId="0" fillId="3" borderId="0" xfId="0" applyNumberFormat="1" applyFont="1" applyFill="1"/>
    <xf numFmtId="0" fontId="0" fillId="3" borderId="0" xfId="0" applyNumberFormat="1" applyFont="1" applyFill="1" applyAlignment="1">
      <alignment horizontal="center"/>
    </xf>
    <xf numFmtId="0" fontId="52" fillId="3" borderId="0" xfId="0" applyNumberFormat="1" applyFont="1" applyFill="1"/>
    <xf numFmtId="173" fontId="62" fillId="5" borderId="1" xfId="0" applyNumberFormat="1" applyFont="1" applyFill="1" applyBorder="1" applyAlignment="1">
      <alignment horizontal="center" vertical="center"/>
    </xf>
    <xf numFmtId="173" fontId="63" fillId="5" borderId="1" xfId="0" applyNumberFormat="1" applyFont="1" applyFill="1" applyBorder="1" applyAlignment="1">
      <alignment horizontal="center" vertical="center"/>
    </xf>
    <xf numFmtId="173" fontId="64" fillId="0" borderId="1" xfId="0" applyNumberFormat="1" applyFont="1" applyBorder="1" applyAlignment="1">
      <alignment horizontal="center" vertical="center"/>
    </xf>
    <xf numFmtId="173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173" fontId="65" fillId="0" borderId="1" xfId="0" applyNumberFormat="1" applyFont="1" applyBorder="1" applyAlignment="1">
      <alignment horizontal="center" vertical="center" wrapText="1"/>
    </xf>
    <xf numFmtId="0" fontId="0" fillId="5" borderId="1" xfId="0" applyNumberFormat="1" applyFill="1" applyBorder="1" applyAlignment="1">
      <alignment horizontal="center"/>
    </xf>
    <xf numFmtId="0" fontId="29" fillId="5" borderId="0" xfId="0" applyNumberFormat="1" applyFont="1" applyFill="1" applyBorder="1" applyAlignment="1">
      <alignment horizontal="left"/>
    </xf>
    <xf numFmtId="0" fontId="58" fillId="5" borderId="0" xfId="0" applyNumberFormat="1" applyFont="1" applyFill="1" applyBorder="1" applyAlignment="1">
      <alignment horizontal="left"/>
    </xf>
    <xf numFmtId="0" fontId="59" fillId="5" borderId="0" xfId="0" applyNumberFormat="1" applyFont="1" applyFill="1" applyBorder="1" applyAlignment="1">
      <alignment horizontal="left"/>
    </xf>
    <xf numFmtId="0" fontId="29" fillId="5" borderId="0" xfId="0" applyNumberFormat="1" applyFont="1" applyFill="1" applyBorder="1" applyAlignment="1"/>
    <xf numFmtId="0" fontId="31" fillId="5" borderId="0" xfId="0" applyNumberFormat="1" applyFont="1" applyFill="1" applyBorder="1" applyAlignment="1">
      <alignment horizontal="center"/>
    </xf>
    <xf numFmtId="0" fontId="15" fillId="4" borderId="0" xfId="0" applyNumberFormat="1" applyFont="1" applyFill="1" applyBorder="1" applyAlignment="1">
      <alignment horizontal="center"/>
    </xf>
    <xf numFmtId="0" fontId="31" fillId="5" borderId="0" xfId="0" applyNumberFormat="1" applyFont="1" applyFill="1" applyBorder="1" applyAlignment="1">
      <alignment horizontal="center"/>
    </xf>
    <xf numFmtId="0" fontId="7" fillId="5" borderId="0" xfId="0" applyNumberFormat="1" applyFont="1" applyFill="1" applyBorder="1" applyAlignment="1">
      <alignment horizontal="center"/>
    </xf>
    <xf numFmtId="0" fontId="36" fillId="5" borderId="0" xfId="0" applyNumberFormat="1" applyFont="1" applyFill="1" applyBorder="1" applyAlignment="1">
      <alignment horizontal="left"/>
    </xf>
    <xf numFmtId="0" fontId="58" fillId="5" borderId="0" xfId="0" applyNumberFormat="1" applyFont="1" applyFill="1" applyBorder="1" applyAlignment="1"/>
    <xf numFmtId="0" fontId="59" fillId="5" borderId="0" xfId="0" applyNumberFormat="1" applyFont="1" applyFill="1" applyBorder="1" applyAlignment="1"/>
    <xf numFmtId="0" fontId="15" fillId="5" borderId="0" xfId="0" applyNumberFormat="1" applyFont="1" applyFill="1" applyBorder="1" applyAlignment="1"/>
    <xf numFmtId="0" fontId="16" fillId="5" borderId="0" xfId="0" applyNumberFormat="1" applyFont="1" applyFill="1" applyBorder="1" applyAlignment="1"/>
    <xf numFmtId="0" fontId="16" fillId="5" borderId="0" xfId="1" applyNumberFormat="1" applyFont="1" applyFill="1" applyBorder="1" applyAlignment="1"/>
    <xf numFmtId="0" fontId="0" fillId="5" borderId="0" xfId="0" applyNumberFormat="1" applyFont="1" applyFill="1" applyBorder="1"/>
    <xf numFmtId="0" fontId="72" fillId="5" borderId="0" xfId="0" applyNumberFormat="1" applyFont="1" applyFill="1" applyBorder="1" applyAlignment="1">
      <alignment horizontal="center"/>
    </xf>
    <xf numFmtId="0" fontId="61" fillId="5" borderId="2" xfId="0" applyNumberFormat="1" applyFont="1" applyFill="1" applyBorder="1" applyAlignment="1"/>
    <xf numFmtId="0" fontId="58" fillId="5" borderId="0" xfId="0" applyNumberFormat="1" applyFont="1" applyFill="1" applyBorder="1" applyAlignment="1">
      <alignment horizontal="left"/>
    </xf>
    <xf numFmtId="0" fontId="59" fillId="5" borderId="0" xfId="0" applyNumberFormat="1" applyFont="1" applyFill="1" applyBorder="1" applyAlignment="1">
      <alignment horizontal="left"/>
    </xf>
    <xf numFmtId="0" fontId="58" fillId="5" borderId="0" xfId="0" applyNumberFormat="1" applyFont="1" applyFill="1" applyBorder="1" applyAlignment="1"/>
    <xf numFmtId="0" fontId="59" fillId="5" borderId="0" xfId="0" applyNumberFormat="1" applyFont="1" applyFill="1" applyBorder="1" applyAlignment="1"/>
    <xf numFmtId="7" fontId="42" fillId="8" borderId="0" xfId="0" applyNumberFormat="1" applyFont="1" applyFill="1" applyAlignment="1" applyProtection="1">
      <alignment horizontal="center"/>
    </xf>
    <xf numFmtId="2" fontId="38" fillId="8" borderId="1" xfId="0" applyNumberFormat="1" applyFont="1" applyFill="1" applyBorder="1"/>
    <xf numFmtId="0" fontId="75" fillId="5" borderId="0" xfId="0" applyNumberFormat="1" applyFont="1" applyFill="1" applyBorder="1" applyAlignment="1">
      <alignment horizontal="center"/>
    </xf>
    <xf numFmtId="0" fontId="75" fillId="4" borderId="0" xfId="0" applyNumberFormat="1" applyFont="1" applyFill="1" applyBorder="1" applyAlignment="1">
      <alignment horizontal="center"/>
    </xf>
    <xf numFmtId="0" fontId="76" fillId="5" borderId="0" xfId="0" applyNumberFormat="1" applyFont="1" applyFill="1" applyBorder="1" applyAlignment="1"/>
    <xf numFmtId="0" fontId="76" fillId="5" borderId="0" xfId="0" applyNumberFormat="1" applyFont="1" applyFill="1" applyBorder="1" applyAlignment="1">
      <alignment horizontal="center"/>
    </xf>
    <xf numFmtId="0" fontId="77" fillId="5" borderId="0" xfId="0" applyNumberFormat="1" applyFont="1" applyFill="1" applyBorder="1" applyAlignment="1">
      <alignment horizontal="left"/>
    </xf>
    <xf numFmtId="0" fontId="66" fillId="5" borderId="0" xfId="0" applyNumberFormat="1" applyFont="1" applyFill="1" applyBorder="1" applyAlignment="1"/>
    <xf numFmtId="0" fontId="58" fillId="5" borderId="0" xfId="0" applyNumberFormat="1" applyFont="1" applyFill="1" applyBorder="1" applyAlignment="1">
      <alignment horizontal="left"/>
    </xf>
    <xf numFmtId="0" fontId="59" fillId="5" borderId="0" xfId="0" applyNumberFormat="1" applyFont="1" applyFill="1" applyBorder="1" applyAlignment="1">
      <alignment horizontal="left"/>
    </xf>
    <xf numFmtId="0" fontId="58" fillId="5" borderId="0" xfId="0" applyNumberFormat="1" applyFont="1" applyFill="1" applyBorder="1" applyAlignment="1"/>
    <xf numFmtId="0" fontId="59" fillId="5" borderId="0" xfId="0" applyNumberFormat="1" applyFont="1" applyFill="1" applyBorder="1" applyAlignment="1"/>
    <xf numFmtId="0" fontId="7" fillId="5" borderId="0" xfId="0" applyNumberFormat="1" applyFont="1" applyFill="1" applyBorder="1" applyAlignment="1">
      <alignment horizontal="center"/>
    </xf>
    <xf numFmtId="0" fontId="0" fillId="3" borderId="0" xfId="0" applyNumberFormat="1" applyFill="1" applyAlignment="1">
      <alignment horizontal="right"/>
    </xf>
    <xf numFmtId="0" fontId="0" fillId="3" borderId="0" xfId="0" applyNumberFormat="1" applyFill="1" applyBorder="1" applyAlignment="1">
      <alignment horizontal="center" wrapText="1"/>
    </xf>
    <xf numFmtId="0" fontId="0" fillId="3" borderId="0" xfId="0" applyNumberFormat="1" applyFill="1" applyBorder="1" applyAlignment="1">
      <alignment horizontal="center"/>
    </xf>
    <xf numFmtId="0" fontId="54" fillId="2" borderId="0" xfId="0" applyNumberFormat="1" applyFont="1" applyFill="1" applyAlignment="1">
      <alignment horizontal="center"/>
    </xf>
    <xf numFmtId="0" fontId="11" fillId="2" borderId="0" xfId="0" applyNumberFormat="1" applyFont="1" applyFill="1" applyAlignment="1">
      <alignment horizontal="center"/>
    </xf>
    <xf numFmtId="0" fontId="0" fillId="3" borderId="0" xfId="0" applyNumberFormat="1" applyFill="1" applyAlignment="1">
      <alignment horizontal="right" wrapText="1"/>
    </xf>
    <xf numFmtId="0" fontId="0" fillId="3" borderId="10" xfId="0" applyNumberFormat="1" applyFill="1" applyBorder="1" applyAlignment="1">
      <alignment horizontal="right"/>
    </xf>
    <xf numFmtId="0" fontId="6" fillId="3" borderId="0" xfId="0" applyNumberFormat="1" applyFont="1" applyFill="1" applyBorder="1" applyAlignment="1">
      <alignment horizontal="center"/>
    </xf>
    <xf numFmtId="0" fontId="6" fillId="3" borderId="0" xfId="0" applyNumberFormat="1" applyFont="1" applyFill="1" applyAlignment="1">
      <alignment horizontal="center" vertical="top"/>
    </xf>
    <xf numFmtId="0" fontId="33" fillId="3" borderId="6" xfId="0" applyNumberFormat="1" applyFont="1" applyFill="1" applyBorder="1" applyAlignment="1">
      <alignment horizontal="center"/>
    </xf>
    <xf numFmtId="0" fontId="57" fillId="5" borderId="4" xfId="0" applyNumberFormat="1" applyFont="1" applyFill="1" applyBorder="1" applyAlignment="1">
      <alignment horizontal="center"/>
    </xf>
    <xf numFmtId="0" fontId="56" fillId="5" borderId="6" xfId="0" applyNumberFormat="1" applyFont="1" applyFill="1" applyBorder="1" applyAlignment="1">
      <alignment horizontal="center"/>
    </xf>
    <xf numFmtId="0" fontId="56" fillId="5" borderId="5" xfId="0" applyNumberFormat="1" applyFont="1" applyFill="1" applyBorder="1" applyAlignment="1">
      <alignment horizontal="center"/>
    </xf>
    <xf numFmtId="0" fontId="61" fillId="5" borderId="4" xfId="0" applyNumberFormat="1" applyFont="1" applyFill="1" applyBorder="1" applyAlignment="1">
      <alignment horizontal="center"/>
    </xf>
    <xf numFmtId="0" fontId="61" fillId="5" borderId="5" xfId="0" applyNumberFormat="1" applyFont="1" applyFill="1" applyBorder="1" applyAlignment="1">
      <alignment horizontal="center"/>
    </xf>
    <xf numFmtId="0" fontId="60" fillId="5" borderId="4" xfId="0" applyNumberFormat="1" applyFont="1" applyFill="1" applyBorder="1" applyAlignment="1">
      <alignment horizontal="center"/>
    </xf>
    <xf numFmtId="0" fontId="60" fillId="5" borderId="6" xfId="0" applyNumberFormat="1" applyFont="1" applyFill="1" applyBorder="1" applyAlignment="1">
      <alignment horizontal="center"/>
    </xf>
    <xf numFmtId="0" fontId="60" fillId="5" borderId="5" xfId="0" applyNumberFormat="1" applyFont="1" applyFill="1" applyBorder="1" applyAlignment="1">
      <alignment horizontal="center"/>
    </xf>
    <xf numFmtId="0" fontId="58" fillId="5" borderId="0" xfId="0" applyNumberFormat="1" applyFont="1" applyFill="1" applyBorder="1" applyAlignment="1">
      <alignment horizontal="left"/>
    </xf>
    <xf numFmtId="0" fontId="59" fillId="5" borderId="0" xfId="0" applyNumberFormat="1" applyFont="1" applyFill="1" applyBorder="1" applyAlignment="1">
      <alignment horizontal="left"/>
    </xf>
    <xf numFmtId="0" fontId="15" fillId="5" borderId="1" xfId="0" applyNumberFormat="1" applyFont="1" applyFill="1" applyBorder="1" applyAlignment="1">
      <alignment horizontal="center"/>
    </xf>
    <xf numFmtId="0" fontId="57" fillId="5" borderId="1" xfId="0" applyNumberFormat="1" applyFont="1" applyFill="1" applyBorder="1" applyAlignment="1">
      <alignment horizontal="center"/>
    </xf>
    <xf numFmtId="0" fontId="56" fillId="5" borderId="1" xfId="0" applyNumberFormat="1" applyFont="1" applyFill="1" applyBorder="1" applyAlignment="1">
      <alignment horizontal="center"/>
    </xf>
    <xf numFmtId="0" fontId="61" fillId="5" borderId="1" xfId="0" applyNumberFormat="1" applyFont="1" applyFill="1" applyBorder="1" applyAlignment="1">
      <alignment horizontal="center"/>
    </xf>
    <xf numFmtId="0" fontId="61" fillId="5" borderId="1" xfId="1" applyNumberFormat="1" applyFont="1" applyFill="1" applyBorder="1" applyAlignment="1">
      <alignment horizontal="center"/>
    </xf>
    <xf numFmtId="0" fontId="56" fillId="5" borderId="4" xfId="0" applyNumberFormat="1" applyFont="1" applyFill="1" applyBorder="1" applyAlignment="1">
      <alignment horizontal="center"/>
    </xf>
    <xf numFmtId="0" fontId="61" fillId="5" borderId="4" xfId="1" applyNumberFormat="1" applyFont="1" applyFill="1" applyBorder="1" applyAlignment="1">
      <alignment horizontal="center"/>
    </xf>
    <xf numFmtId="0" fontId="61" fillId="5" borderId="5" xfId="1" applyNumberFormat="1" applyFont="1" applyFill="1" applyBorder="1" applyAlignment="1">
      <alignment horizontal="center"/>
    </xf>
    <xf numFmtId="0" fontId="56" fillId="5" borderId="0" xfId="0" applyNumberFormat="1" applyFont="1" applyFill="1" applyBorder="1" applyAlignment="1">
      <alignment horizontal="center"/>
    </xf>
    <xf numFmtId="0" fontId="73" fillId="5" borderId="0" xfId="0" applyNumberFormat="1" applyFont="1" applyFill="1" applyBorder="1" applyAlignment="1">
      <alignment horizontal="center" vertical="center"/>
    </xf>
    <xf numFmtId="0" fontId="74" fillId="5" borderId="0" xfId="0" applyNumberFormat="1" applyFont="1" applyFill="1" applyBorder="1" applyAlignment="1">
      <alignment horizontal="center" vertical="center"/>
    </xf>
    <xf numFmtId="0" fontId="66" fillId="5" borderId="0" xfId="0" applyNumberFormat="1" applyFont="1" applyFill="1" applyBorder="1" applyAlignment="1">
      <alignment horizontal="center"/>
    </xf>
    <xf numFmtId="0" fontId="15" fillId="5" borderId="0" xfId="0" applyNumberFormat="1" applyFont="1" applyFill="1" applyBorder="1" applyAlignment="1">
      <alignment horizontal="center"/>
    </xf>
    <xf numFmtId="0" fontId="15" fillId="5" borderId="4" xfId="0" applyNumberFormat="1" applyFont="1" applyFill="1" applyBorder="1" applyAlignment="1">
      <alignment horizontal="center"/>
    </xf>
    <xf numFmtId="0" fontId="15" fillId="5" borderId="6" xfId="0" applyNumberFormat="1" applyFont="1" applyFill="1" applyBorder="1" applyAlignment="1">
      <alignment horizontal="center"/>
    </xf>
    <xf numFmtId="0" fontId="15" fillId="5" borderId="5" xfId="0" applyNumberFormat="1" applyFont="1" applyFill="1" applyBorder="1" applyAlignment="1">
      <alignment horizontal="center"/>
    </xf>
    <xf numFmtId="0" fontId="68" fillId="5" borderId="0" xfId="0" applyNumberFormat="1" applyFont="1" applyFill="1" applyBorder="1" applyAlignment="1">
      <alignment horizontal="center" vertical="center"/>
    </xf>
    <xf numFmtId="0" fontId="69" fillId="5" borderId="0" xfId="0" applyNumberFormat="1" applyFont="1" applyFill="1" applyBorder="1" applyAlignment="1">
      <alignment horizontal="center" vertical="center"/>
    </xf>
    <xf numFmtId="0" fontId="58" fillId="5" borderId="0" xfId="0" applyNumberFormat="1" applyFont="1" applyFill="1" applyBorder="1" applyAlignment="1"/>
    <xf numFmtId="0" fontId="59" fillId="5" borderId="0" xfId="0" applyNumberFormat="1" applyFont="1" applyFill="1" applyBorder="1" applyAlignment="1"/>
    <xf numFmtId="0" fontId="29" fillId="5" borderId="0" xfId="0" applyNumberFormat="1" applyFont="1" applyFill="1" applyBorder="1" applyAlignment="1"/>
    <xf numFmtId="0" fontId="31" fillId="5" borderId="0" xfId="0" applyNumberFormat="1" applyFont="1" applyFill="1" applyBorder="1" applyAlignment="1">
      <alignment horizontal="center"/>
    </xf>
    <xf numFmtId="9" fontId="61" fillId="5" borderId="4" xfId="0" applyNumberFormat="1" applyFont="1" applyFill="1" applyBorder="1" applyAlignment="1">
      <alignment horizontal="center"/>
    </xf>
    <xf numFmtId="9" fontId="61" fillId="5" borderId="1" xfId="0" applyNumberFormat="1" applyFont="1" applyFill="1" applyBorder="1" applyAlignment="1">
      <alignment horizontal="center"/>
    </xf>
    <xf numFmtId="0" fontId="16" fillId="5" borderId="0" xfId="0" applyNumberFormat="1" applyFont="1" applyFill="1" applyBorder="1" applyAlignment="1">
      <alignment horizontal="center"/>
    </xf>
    <xf numFmtId="0" fontId="16" fillId="5" borderId="0" xfId="1" applyNumberFormat="1" applyFont="1" applyFill="1" applyBorder="1" applyAlignment="1">
      <alignment horizontal="center"/>
    </xf>
    <xf numFmtId="0" fontId="0" fillId="5" borderId="13" xfId="0" applyNumberFormat="1" applyFill="1" applyBorder="1" applyAlignment="1">
      <alignment horizontal="center"/>
    </xf>
    <xf numFmtId="0" fontId="0" fillId="5" borderId="14" xfId="0" applyNumberFormat="1" applyFill="1" applyBorder="1" applyAlignment="1">
      <alignment horizontal="center"/>
    </xf>
    <xf numFmtId="0" fontId="7" fillId="5" borderId="0" xfId="0" applyNumberFormat="1" applyFont="1" applyFill="1" applyBorder="1" applyAlignment="1">
      <alignment horizontal="center"/>
    </xf>
    <xf numFmtId="0" fontId="70" fillId="5" borderId="0" xfId="0" applyNumberFormat="1" applyFont="1" applyFill="1" applyBorder="1" applyAlignment="1"/>
    <xf numFmtId="0" fontId="71" fillId="5" borderId="0" xfId="0" applyNumberFormat="1" applyFont="1" applyFill="1" applyBorder="1" applyAlignment="1"/>
    <xf numFmtId="0" fontId="13" fillId="5" borderId="0" xfId="0" applyNumberFormat="1" applyFont="1" applyFill="1" applyBorder="1" applyAlignment="1">
      <alignment horizontal="left"/>
    </xf>
    <xf numFmtId="165" fontId="41" fillId="0" borderId="1" xfId="0" applyFont="1" applyBorder="1" applyAlignment="1">
      <alignment horizontal="center"/>
    </xf>
    <xf numFmtId="173" fontId="62" fillId="8" borderId="37" xfId="0" applyNumberFormat="1" applyFont="1" applyFill="1" applyBorder="1" applyAlignment="1">
      <alignment horizontal="center" vertical="center"/>
    </xf>
    <xf numFmtId="173" fontId="62" fillId="8" borderId="38" xfId="0" applyNumberFormat="1" applyFont="1" applyFill="1" applyBorder="1" applyAlignment="1">
      <alignment horizontal="center" vertical="center"/>
    </xf>
    <xf numFmtId="173" fontId="62" fillId="12" borderId="37" xfId="0" applyNumberFormat="1" applyFont="1" applyFill="1" applyBorder="1" applyAlignment="1">
      <alignment horizontal="center" vertical="center"/>
    </xf>
    <xf numFmtId="173" fontId="62" fillId="12" borderId="38" xfId="0" applyNumberFormat="1" applyFont="1" applyFill="1" applyBorder="1" applyAlignment="1">
      <alignment horizontal="center" vertical="center"/>
    </xf>
    <xf numFmtId="173" fontId="62" fillId="5" borderId="1" xfId="0" applyNumberFormat="1" applyFont="1" applyFill="1" applyBorder="1" applyAlignment="1">
      <alignment horizontal="center" vertical="center"/>
    </xf>
    <xf numFmtId="173" fontId="62" fillId="5" borderId="4" xfId="0" applyNumberFormat="1" applyFont="1" applyFill="1" applyBorder="1" applyAlignment="1">
      <alignment horizontal="center" vertical="center"/>
    </xf>
    <xf numFmtId="173" fontId="62" fillId="5" borderId="6" xfId="0" applyNumberFormat="1" applyFont="1" applyFill="1" applyBorder="1" applyAlignment="1">
      <alignment horizontal="center" vertical="center"/>
    </xf>
    <xf numFmtId="173" fontId="62" fillId="5" borderId="5" xfId="0" applyNumberFormat="1" applyFont="1" applyFill="1" applyBorder="1" applyAlignment="1">
      <alignment horizontal="center" vertical="center"/>
    </xf>
    <xf numFmtId="173" fontId="63" fillId="11" borderId="4" xfId="0" applyNumberFormat="1" applyFont="1" applyFill="1" applyBorder="1" applyAlignment="1">
      <alignment horizontal="center" vertical="center"/>
    </xf>
    <xf numFmtId="173" fontId="63" fillId="11" borderId="5" xfId="0" applyNumberFormat="1" applyFont="1" applyFill="1" applyBorder="1" applyAlignment="1">
      <alignment horizontal="center" vertical="center"/>
    </xf>
    <xf numFmtId="173" fontId="62" fillId="9" borderId="4" xfId="0" applyNumberFormat="1" applyFont="1" applyFill="1" applyBorder="1" applyAlignment="1">
      <alignment horizontal="center" vertical="center"/>
    </xf>
    <xf numFmtId="173" fontId="62" fillId="9" borderId="5" xfId="0" applyNumberFormat="1" applyFont="1" applyFill="1" applyBorder="1" applyAlignment="1">
      <alignment horizontal="center" vertical="center"/>
    </xf>
    <xf numFmtId="173" fontId="62" fillId="8" borderId="4" xfId="0" applyNumberFormat="1" applyFont="1" applyFill="1" applyBorder="1" applyAlignment="1">
      <alignment horizontal="center" vertical="center"/>
    </xf>
    <xf numFmtId="173" fontId="62" fillId="8" borderId="5" xfId="0" applyNumberFormat="1" applyFont="1" applyFill="1" applyBorder="1" applyAlignment="1">
      <alignment horizontal="center" vertical="center"/>
    </xf>
    <xf numFmtId="173" fontId="62" fillId="12" borderId="4" xfId="0" applyNumberFormat="1" applyFont="1" applyFill="1" applyBorder="1" applyAlignment="1">
      <alignment horizontal="center" vertical="center"/>
    </xf>
    <xf numFmtId="173" fontId="62" fillId="12" borderId="5" xfId="0" applyNumberFormat="1" applyFont="1" applyFill="1" applyBorder="1" applyAlignment="1">
      <alignment horizontal="center" vertical="center"/>
    </xf>
    <xf numFmtId="173" fontId="63" fillId="11" borderId="37" xfId="0" applyNumberFormat="1" applyFont="1" applyFill="1" applyBorder="1" applyAlignment="1">
      <alignment horizontal="center" vertical="center"/>
    </xf>
    <xf numFmtId="173" fontId="63" fillId="11" borderId="38" xfId="0" applyNumberFormat="1" applyFont="1" applyFill="1" applyBorder="1" applyAlignment="1">
      <alignment horizontal="center" vertical="center"/>
    </xf>
    <xf numFmtId="173" fontId="62" fillId="9" borderId="37" xfId="0" applyNumberFormat="1" applyFont="1" applyFill="1" applyBorder="1" applyAlignment="1">
      <alignment horizontal="center" vertical="center"/>
    </xf>
    <xf numFmtId="173" fontId="62" fillId="9" borderId="38" xfId="0" applyNumberFormat="1" applyFont="1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/>
    </xf>
  </cellXfs>
  <cellStyles count="6">
    <cellStyle name="Heading 1 2" xfId="4"/>
    <cellStyle name="Input 2" xfId="5"/>
    <cellStyle name="Normal" xfId="0" builtinId="0"/>
    <cellStyle name="Normal 2" xfId="3"/>
    <cellStyle name="Normal 3" xfId="2"/>
    <cellStyle name="Percent" xfId="1" builtinId="5"/>
  </cellStyles>
  <dxfs count="9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Min</c:v>
          </c:tx>
          <c:spPr>
            <a:ln w="28575">
              <a:noFill/>
            </a:ln>
          </c:spPr>
          <c:invertIfNegative val="0"/>
          <c:cat>
            <c:strLit>
              <c:ptCount val="3"/>
              <c:pt idx="0">
                <c:v>平均</c:v>
              </c:pt>
              <c:pt idx="1">
                <c:v>最大</c:v>
              </c:pt>
              <c:pt idx="2">
                <c:v>最小</c:v>
              </c:pt>
            </c:strLit>
          </c:cat>
          <c:val>
            <c:numRef>
              <c:f>Template!$AB$3:$AB$5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v>6FA</c:v>
          </c:tx>
          <c:spPr>
            <a:gradFill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0">
              <a:noFill/>
            </a:ln>
            <a:effectLst>
              <a:outerShdw blurRad="40005" dist="22860" dir="5400000" algn="ctr" rotWithShape="0">
                <a:srgbClr val="000000">
                  <a:alpha val="35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63500" h="25400"/>
              <a:bevelB w="0" h="0"/>
            </a:sp3d>
          </c:spPr>
          <c:invertIfNegative val="0"/>
          <c:cat>
            <c:strLit>
              <c:ptCount val="3"/>
              <c:pt idx="0">
                <c:v>平均</c:v>
              </c:pt>
              <c:pt idx="1">
                <c:v>最大</c:v>
              </c:pt>
              <c:pt idx="2">
                <c:v>最小</c:v>
              </c:pt>
            </c:strLit>
          </c:cat>
          <c:val>
            <c:numRef>
              <c:f>Template!$AC$3:$AC$5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1480448"/>
        <c:axId val="221481984"/>
      </c:barChart>
      <c:scatterChart>
        <c:scatterStyle val="lineMarker"/>
        <c:varyColors val="0"/>
        <c:ser>
          <c:idx val="2"/>
          <c:order val="2"/>
          <c:tx>
            <c:v>客户需求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Template!$AB$12:$AB$17</c:f>
              <c:numCache>
                <c:formatCode>General</c:formatCode>
                <c:ptCount val="6"/>
                <c:pt idx="0">
                  <c:v>0.5</c:v>
                </c:pt>
                <c:pt idx="1">
                  <c:v>1.5</c:v>
                </c:pt>
                <c:pt idx="2">
                  <c:v>1.5</c:v>
                </c:pt>
                <c:pt idx="3">
                  <c:v>2.5</c:v>
                </c:pt>
                <c:pt idx="4">
                  <c:v>2.5</c:v>
                </c:pt>
                <c:pt idx="5">
                  <c:v>3.5</c:v>
                </c:pt>
              </c:numCache>
            </c:numRef>
          </c:xVal>
          <c:yVal>
            <c:numRef>
              <c:f>Template!$AC$12:$AC$18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80448"/>
        <c:axId val="221481984"/>
      </c:scatterChart>
      <c:catAx>
        <c:axId val="221480448"/>
        <c:scaling>
          <c:orientation val="minMax"/>
        </c:scaling>
        <c:delete val="0"/>
        <c:axPos val="b"/>
        <c:majorTickMark val="out"/>
        <c:minorTickMark val="none"/>
        <c:tickLblPos val="nextTo"/>
        <c:crossAx val="221481984"/>
        <c:crosses val="autoZero"/>
        <c:auto val="1"/>
        <c:lblAlgn val="ctr"/>
        <c:lblOffset val="100"/>
        <c:noMultiLvlLbl val="0"/>
      </c:catAx>
      <c:valAx>
        <c:axId val="221481984"/>
        <c:scaling>
          <c:orientation val="minMax"/>
          <c:max val="2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zh-CN" b="0"/>
                  <a:t>蒸汽能力 吨</a:t>
                </a:r>
                <a:r>
                  <a:rPr lang="en-US" b="0"/>
                  <a:t>/</a:t>
                </a:r>
                <a:r>
                  <a:rPr lang="zh-CN" b="0"/>
                  <a:t>小时</a:t>
                </a:r>
                <a:endParaRPr lang="en-US" b="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1480448"/>
        <c:crosses val="autoZero"/>
        <c:crossBetween val="between"/>
        <c:majorUnit val="20"/>
      </c:valAx>
    </c:plotArea>
    <c:legend>
      <c:legendPos val="b"/>
      <c:legendEntry>
        <c:idx val="0"/>
        <c:delete val="1"/>
      </c:legendEntry>
      <c:layout/>
      <c:overlay val="0"/>
    </c:legend>
    <c:plotVisOnly val="0"/>
    <c:dispBlanksAs val="gap"/>
    <c:showDLblsOverMax val="0"/>
  </c:chart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Min</c:v>
          </c:tx>
          <c:spPr>
            <a:ln w="28575">
              <a:noFill/>
            </a:ln>
          </c:spPr>
          <c:invertIfNegative val="0"/>
          <c:cat>
            <c:strLit>
              <c:ptCount val="3"/>
              <c:pt idx="0">
                <c:v>平均</c:v>
              </c:pt>
              <c:pt idx="1">
                <c:v>最大</c:v>
              </c:pt>
              <c:pt idx="2">
                <c:v>最小</c:v>
              </c:pt>
            </c:strLit>
          </c:cat>
          <c:val>
            <c:numRef>
              <c:f>Template!$AB$3:$AB$5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4680960"/>
        <c:axId val="224686848"/>
      </c:barChart>
      <c:scatterChart>
        <c:scatterStyle val="lineMarker"/>
        <c:varyColors val="0"/>
        <c:ser>
          <c:idx val="2"/>
          <c:order val="2"/>
          <c:tx>
            <c:v>客户需求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Template!$AB$12:$AB$17</c:f>
              <c:numCache>
                <c:formatCode>General</c:formatCode>
                <c:ptCount val="6"/>
                <c:pt idx="0">
                  <c:v>0.5</c:v>
                </c:pt>
                <c:pt idx="1">
                  <c:v>1.5</c:v>
                </c:pt>
                <c:pt idx="2">
                  <c:v>1.5</c:v>
                </c:pt>
                <c:pt idx="3">
                  <c:v>2.5</c:v>
                </c:pt>
                <c:pt idx="4">
                  <c:v>2.5</c:v>
                </c:pt>
                <c:pt idx="5">
                  <c:v>3.5</c:v>
                </c:pt>
              </c:numCache>
            </c:numRef>
          </c:xVal>
          <c:yVal>
            <c:numRef>
              <c:f>Template!$AC$12:$AC$17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80960"/>
        <c:axId val="224686848"/>
      </c:scatterChart>
      <c:scatterChart>
        <c:scatterStyle val="lineMarker"/>
        <c:varyColors val="0"/>
        <c:ser>
          <c:idx val="1"/>
          <c:order val="1"/>
          <c:tx>
            <c:v>6FA</c:v>
          </c:tx>
          <c:spPr>
            <a:effectLst>
              <a:outerShdw blurRad="40005" dist="22860" dir="5400000" algn="ctr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Template!$AB$12:$AB$17</c:f>
              <c:numCache>
                <c:formatCode>General</c:formatCode>
                <c:ptCount val="6"/>
                <c:pt idx="0">
                  <c:v>0.5</c:v>
                </c:pt>
                <c:pt idx="1">
                  <c:v>1.5</c:v>
                </c:pt>
                <c:pt idx="2">
                  <c:v>1.5</c:v>
                </c:pt>
                <c:pt idx="3">
                  <c:v>2.5</c:v>
                </c:pt>
                <c:pt idx="4">
                  <c:v>2.5</c:v>
                </c:pt>
                <c:pt idx="5">
                  <c:v>3.5</c:v>
                </c:pt>
              </c:numCache>
            </c:numRef>
          </c:xVal>
          <c:yVal>
            <c:numRef>
              <c:f>Template!$AD$12:$AD$17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98752"/>
        <c:axId val="224688768"/>
      </c:scatterChart>
      <c:catAx>
        <c:axId val="224680960"/>
        <c:scaling>
          <c:orientation val="minMax"/>
        </c:scaling>
        <c:delete val="0"/>
        <c:axPos val="b"/>
        <c:majorTickMark val="out"/>
        <c:minorTickMark val="none"/>
        <c:tickLblPos val="nextTo"/>
        <c:crossAx val="224686848"/>
        <c:crosses val="autoZero"/>
        <c:auto val="1"/>
        <c:lblAlgn val="ctr"/>
        <c:lblOffset val="100"/>
        <c:noMultiLvlLbl val="0"/>
      </c:catAx>
      <c:valAx>
        <c:axId val="224686848"/>
        <c:scaling>
          <c:orientation val="minMax"/>
          <c:max val="2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 algn="ctr" rtl="0">
                  <a:defRPr b="0"/>
                </a:pPr>
                <a:r>
                  <a:rPr lang="zh-CN" b="0"/>
                  <a:t>蒸汽能力 吨</a:t>
                </a:r>
                <a:r>
                  <a:rPr lang="en-US" b="0"/>
                  <a:t>/</a:t>
                </a:r>
                <a:r>
                  <a:rPr lang="zh-CN" b="0"/>
                  <a:t>小时</a:t>
                </a:r>
                <a:endParaRPr lang="en-US" b="0"/>
              </a:p>
              <a:p>
                <a:pPr algn="ctr" rtl="0">
                  <a:defRPr b="0"/>
                </a:pPr>
                <a:endParaRPr lang="en-US" b="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4680960"/>
        <c:crosses val="autoZero"/>
        <c:crossBetween val="between"/>
        <c:majorUnit val="20"/>
      </c:valAx>
      <c:valAx>
        <c:axId val="2246887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4698752"/>
        <c:crosses val="max"/>
        <c:crossBetween val="midCat"/>
      </c:valAx>
      <c:valAx>
        <c:axId val="22469875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24688768"/>
        <c:crosses val="max"/>
        <c:crossBetween val="midCat"/>
      </c:valAx>
    </c:plotArea>
    <c:legend>
      <c:legendPos val="b"/>
      <c:legendEntry>
        <c:idx val="0"/>
        <c:delete val="1"/>
      </c:legendEntry>
      <c:layout/>
      <c:overlay val="0"/>
    </c:legend>
    <c:plotVisOnly val="0"/>
    <c:dispBlanksAs val="gap"/>
    <c:showDLblsOverMax val="0"/>
  </c:chart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Min</c:v>
          </c:tx>
          <c:spPr>
            <a:noFill/>
            <a:ln w="28575">
              <a:noFill/>
            </a:ln>
          </c:spPr>
          <c:invertIfNegative val="0"/>
          <c:cat>
            <c:strLit>
              <c:ptCount val="4"/>
              <c:pt idx="0">
                <c:v>春</c:v>
              </c:pt>
              <c:pt idx="1">
                <c:v>夏</c:v>
              </c:pt>
              <c:pt idx="2">
                <c:v>秋</c:v>
              </c:pt>
              <c:pt idx="3">
                <c:v>冬</c:v>
              </c:pt>
            </c:strLit>
          </c:cat>
          <c:val>
            <c:numRef>
              <c:f>TemplateSeason!$AB$5:$AB$8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6FA</c:v>
          </c:tx>
          <c:spPr>
            <a:gradFill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0">
              <a:noFill/>
            </a:ln>
            <a:effectLst>
              <a:outerShdw blurRad="40005" dist="22860" dir="5400000" algn="ctr" rotWithShape="0">
                <a:schemeClr val="tx1">
                  <a:alpha val="35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cat>
            <c:strLit>
              <c:ptCount val="4"/>
              <c:pt idx="0">
                <c:v>春</c:v>
              </c:pt>
              <c:pt idx="1">
                <c:v>夏</c:v>
              </c:pt>
              <c:pt idx="2">
                <c:v>秋</c:v>
              </c:pt>
              <c:pt idx="3">
                <c:v>冬</c:v>
              </c:pt>
            </c:strLit>
          </c:cat>
          <c:val>
            <c:numRef>
              <c:f>TemplateSeason!$AC$5:$AC$8</c:f>
              <c:numCache>
                <c:formatCode>General</c:formatCode>
                <c:ptCount val="4"/>
                <c:pt idx="0">
                  <c:v>43.86</c:v>
                </c:pt>
                <c:pt idx="1">
                  <c:v>38.799999999999997</c:v>
                </c:pt>
                <c:pt idx="2">
                  <c:v>43.86</c:v>
                </c:pt>
                <c:pt idx="3">
                  <c:v>46.7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2172672"/>
        <c:axId val="222174208"/>
      </c:barChart>
      <c:scatterChart>
        <c:scatterStyle val="lineMarker"/>
        <c:varyColors val="0"/>
        <c:ser>
          <c:idx val="2"/>
          <c:order val="2"/>
          <c:tx>
            <c:v>客户需求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TemplateSeason!$AB$12:$AB$19</c:f>
              <c:numCache>
                <c:formatCode>General</c:formatCode>
                <c:ptCount val="8"/>
                <c:pt idx="0">
                  <c:v>0.5</c:v>
                </c:pt>
                <c:pt idx="1">
                  <c:v>1.5</c:v>
                </c:pt>
                <c:pt idx="2">
                  <c:v>1.5</c:v>
                </c:pt>
                <c:pt idx="3">
                  <c:v>2.5</c:v>
                </c:pt>
                <c:pt idx="4">
                  <c:v>2.5</c:v>
                </c:pt>
                <c:pt idx="5">
                  <c:v>3.5</c:v>
                </c:pt>
                <c:pt idx="6">
                  <c:v>3.5</c:v>
                </c:pt>
                <c:pt idx="7">
                  <c:v>4.5</c:v>
                </c:pt>
              </c:numCache>
            </c:numRef>
          </c:xVal>
          <c:yVal>
            <c:numRef>
              <c:f>TemplateSeason!$AC$12:$AC$19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72672"/>
        <c:axId val="222174208"/>
      </c:scatterChart>
      <c:catAx>
        <c:axId val="222172672"/>
        <c:scaling>
          <c:orientation val="minMax"/>
        </c:scaling>
        <c:delete val="0"/>
        <c:axPos val="b"/>
        <c:majorTickMark val="out"/>
        <c:minorTickMark val="none"/>
        <c:tickLblPos val="nextTo"/>
        <c:crossAx val="222174208"/>
        <c:crosses val="autoZero"/>
        <c:auto val="1"/>
        <c:lblAlgn val="ctr"/>
        <c:lblOffset val="100"/>
        <c:tickLblSkip val="1"/>
        <c:noMultiLvlLbl val="0"/>
      </c:catAx>
      <c:valAx>
        <c:axId val="222174208"/>
        <c:scaling>
          <c:orientation val="minMax"/>
          <c:max val="2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300"/>
                </a:pPr>
                <a:r>
                  <a:rPr lang="zh-CN" sz="1300" b="0" i="0" baseline="0">
                    <a:effectLst/>
                  </a:rPr>
                  <a:t>蒸汽能力 吨</a:t>
                </a:r>
                <a:r>
                  <a:rPr lang="en-US" sz="1300" b="0" i="0" baseline="0">
                    <a:effectLst/>
                  </a:rPr>
                  <a:t>/</a:t>
                </a:r>
                <a:r>
                  <a:rPr lang="zh-CN" sz="1300" b="0" i="0" baseline="0">
                    <a:effectLst/>
                  </a:rPr>
                  <a:t>小时</a:t>
                </a:r>
                <a:endParaRPr lang="en-US" sz="1300">
                  <a:effectLst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2172672"/>
        <c:crosses val="autoZero"/>
        <c:crossBetween val="between"/>
      </c:valAx>
    </c:plotArea>
    <c:legend>
      <c:legendPos val="b"/>
      <c:legendEntry>
        <c:idx val="0"/>
        <c:delete val="1"/>
      </c:legendEntry>
      <c:layout/>
      <c:overlay val="0"/>
    </c:legend>
    <c:plotVisOnly val="0"/>
    <c:dispBlanksAs val="gap"/>
    <c:showDLblsOverMax val="0"/>
  </c:chart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2"/>
          <c:tx>
            <c:v>Min</c:v>
          </c:tx>
          <c:invertIfNegative val="0"/>
          <c:cat>
            <c:strLit>
              <c:ptCount val="4"/>
              <c:pt idx="0">
                <c:v>春</c:v>
              </c:pt>
              <c:pt idx="1">
                <c:v>夏</c:v>
              </c:pt>
              <c:pt idx="2">
                <c:v>秋</c:v>
              </c:pt>
              <c:pt idx="3">
                <c:v>冬</c:v>
              </c:pt>
            </c:strLit>
          </c:cat>
          <c:val>
            <c:numRef>
              <c:f>TemplateSeason!$AB$5:$AB$8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205824"/>
        <c:axId val="222207360"/>
      </c:barChart>
      <c:scatterChart>
        <c:scatterStyle val="lineMarker"/>
        <c:varyColors val="0"/>
        <c:ser>
          <c:idx val="1"/>
          <c:order val="0"/>
          <c:tx>
            <c:v>6FA</c:v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TemplateSeason!$AB$12:$AB$19</c:f>
              <c:numCache>
                <c:formatCode>General</c:formatCode>
                <c:ptCount val="8"/>
                <c:pt idx="0">
                  <c:v>0.5</c:v>
                </c:pt>
                <c:pt idx="1">
                  <c:v>1.5</c:v>
                </c:pt>
                <c:pt idx="2">
                  <c:v>1.5</c:v>
                </c:pt>
                <c:pt idx="3">
                  <c:v>2.5</c:v>
                </c:pt>
                <c:pt idx="4">
                  <c:v>2.5</c:v>
                </c:pt>
                <c:pt idx="5">
                  <c:v>3.5</c:v>
                </c:pt>
                <c:pt idx="6">
                  <c:v>3.5</c:v>
                </c:pt>
                <c:pt idx="7">
                  <c:v>4.5</c:v>
                </c:pt>
              </c:numCache>
            </c:numRef>
          </c:xVal>
          <c:yVal>
            <c:numRef>
              <c:f>TemplateSeason!$AD$12:$AD$19</c:f>
              <c:numCache>
                <c:formatCode>General</c:formatCode>
                <c:ptCount val="8"/>
                <c:pt idx="0">
                  <c:v>54.76</c:v>
                </c:pt>
                <c:pt idx="1">
                  <c:v>54.76</c:v>
                </c:pt>
                <c:pt idx="2">
                  <c:v>49.2</c:v>
                </c:pt>
                <c:pt idx="3">
                  <c:v>49.2</c:v>
                </c:pt>
                <c:pt idx="4">
                  <c:v>54.76</c:v>
                </c:pt>
                <c:pt idx="5">
                  <c:v>54.76</c:v>
                </c:pt>
                <c:pt idx="6">
                  <c:v>57.8</c:v>
                </c:pt>
                <c:pt idx="7">
                  <c:v>57.8</c:v>
                </c:pt>
              </c:numCache>
            </c:numRef>
          </c:yVal>
          <c:smooth val="0"/>
        </c:ser>
        <c:ser>
          <c:idx val="2"/>
          <c:order val="1"/>
          <c:tx>
            <c:v>客户需求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TemplateSeason!$AB$12:$AB$19</c:f>
              <c:numCache>
                <c:formatCode>General</c:formatCode>
                <c:ptCount val="8"/>
                <c:pt idx="0">
                  <c:v>0.5</c:v>
                </c:pt>
                <c:pt idx="1">
                  <c:v>1.5</c:v>
                </c:pt>
                <c:pt idx="2">
                  <c:v>1.5</c:v>
                </c:pt>
                <c:pt idx="3">
                  <c:v>2.5</c:v>
                </c:pt>
                <c:pt idx="4">
                  <c:v>2.5</c:v>
                </c:pt>
                <c:pt idx="5">
                  <c:v>3.5</c:v>
                </c:pt>
                <c:pt idx="6">
                  <c:v>3.5</c:v>
                </c:pt>
                <c:pt idx="7">
                  <c:v>4.5</c:v>
                </c:pt>
              </c:numCache>
            </c:numRef>
          </c:xVal>
          <c:yVal>
            <c:numRef>
              <c:f>TemplateSeason!$AC$12:$AC$19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05824"/>
        <c:axId val="222207360"/>
      </c:scatterChart>
      <c:catAx>
        <c:axId val="22220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2207360"/>
        <c:crosses val="autoZero"/>
        <c:auto val="1"/>
        <c:lblAlgn val="ctr"/>
        <c:lblOffset val="100"/>
        <c:noMultiLvlLbl val="0"/>
      </c:catAx>
      <c:valAx>
        <c:axId val="222207360"/>
        <c:scaling>
          <c:orientation val="minMax"/>
          <c:max val="2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300"/>
                </a:pPr>
                <a:r>
                  <a:rPr lang="zh-CN" sz="1300" b="0" i="0" baseline="0">
                    <a:effectLst/>
                  </a:rPr>
                  <a:t>蒸汽能力 吨</a:t>
                </a:r>
                <a:r>
                  <a:rPr lang="en-US" sz="1300" b="0" i="0" baseline="0">
                    <a:effectLst/>
                  </a:rPr>
                  <a:t>/</a:t>
                </a:r>
                <a:r>
                  <a:rPr lang="zh-CN" sz="1300" b="0" i="0" baseline="0">
                    <a:effectLst/>
                  </a:rPr>
                  <a:t>小时</a:t>
                </a:r>
                <a:endParaRPr lang="en-US" sz="1300">
                  <a:effectLst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2205824"/>
        <c:crosses val="autoZero"/>
        <c:crossBetween val="between"/>
        <c:majorUnit val="20"/>
      </c:valAx>
    </c:plotArea>
    <c:legend>
      <c:legendPos val="b"/>
      <c:legendEntry>
        <c:idx val="0"/>
        <c:delete val="1"/>
      </c:legendEntry>
      <c:layout/>
      <c:overlay val="0"/>
    </c:legend>
    <c:plotVisOnly val="0"/>
    <c:dispBlanksAs val="gap"/>
    <c:showDLblsOverMax val="0"/>
  </c:chart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346808121456"/>
          <c:y val="5.4117407890669891E-2"/>
          <c:w val="0.77036468812877268"/>
          <c:h val="0.72589474819681243"/>
        </c:manualLayout>
      </c:layout>
      <c:barChart>
        <c:barDir val="col"/>
        <c:grouping val="stacked"/>
        <c:varyColors val="0"/>
        <c:ser>
          <c:idx val="0"/>
          <c:order val="0"/>
          <c:tx>
            <c:v>单台机</c:v>
          </c:tx>
          <c:spPr>
            <a:solidFill>
              <a:schemeClr val="accent6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Lit>
              <c:ptCount val="3"/>
              <c:pt idx="0">
                <c:v>平均</c:v>
              </c:pt>
              <c:pt idx="1">
                <c:v>最大</c:v>
              </c:pt>
              <c:pt idx="2">
                <c:v>最小</c:v>
              </c:pt>
            </c:strLit>
          </c:cat>
          <c:val>
            <c:numRef>
              <c:f>Template_2sets!$AF$3:$AF$5</c:f>
              <c:numCache>
                <c:formatCode>General</c:formatCode>
                <c:ptCount val="3"/>
                <c:pt idx="0">
                  <c:v>13</c:v>
                </c:pt>
                <c:pt idx="1">
                  <c:v>13</c:v>
                </c:pt>
                <c:pt idx="2">
                  <c:v>13</c:v>
                </c:pt>
              </c:numCache>
            </c:numRef>
          </c:val>
        </c:ser>
        <c:ser>
          <c:idx val="1"/>
          <c:order val="1"/>
          <c:tx>
            <c:v>两台机</c:v>
          </c:tx>
          <c:spPr>
            <a:gradFill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0">
              <a:noFill/>
            </a:ln>
            <a:effectLst>
              <a:outerShdw blurRad="40005" dist="22860" dir="5400000" algn="ctr" rotWithShape="0">
                <a:srgbClr val="000000">
                  <a:alpha val="35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63500" h="25400"/>
              <a:bevelB w="0" h="0"/>
            </a:sp3d>
          </c:spPr>
          <c:invertIfNegative val="0"/>
          <c:cat>
            <c:strLit>
              <c:ptCount val="3"/>
              <c:pt idx="0">
                <c:v>平均</c:v>
              </c:pt>
              <c:pt idx="1">
                <c:v>最大</c:v>
              </c:pt>
              <c:pt idx="2">
                <c:v>最小</c:v>
              </c:pt>
            </c:strLit>
          </c:cat>
          <c:val>
            <c:numRef>
              <c:f>Template_2sets!$AB$3:$AB$5</c:f>
              <c:numCache>
                <c:formatCode>General</c:formatCode>
                <c:ptCount val="3"/>
                <c:pt idx="0">
                  <c:v>37</c:v>
                </c:pt>
                <c:pt idx="1">
                  <c:v>37</c:v>
                </c:pt>
                <c:pt idx="2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4897280"/>
        <c:axId val="224911360"/>
      </c:barChart>
      <c:scatterChart>
        <c:scatterStyle val="lineMarker"/>
        <c:varyColors val="0"/>
        <c:ser>
          <c:idx val="2"/>
          <c:order val="2"/>
          <c:tx>
            <c:v>客户需求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Template_2sets!$AB$12:$AB$17</c:f>
              <c:numCache>
                <c:formatCode>General</c:formatCode>
                <c:ptCount val="6"/>
                <c:pt idx="0">
                  <c:v>0.5</c:v>
                </c:pt>
                <c:pt idx="1">
                  <c:v>1.5</c:v>
                </c:pt>
                <c:pt idx="2">
                  <c:v>1.5</c:v>
                </c:pt>
                <c:pt idx="3">
                  <c:v>2.5</c:v>
                </c:pt>
                <c:pt idx="4">
                  <c:v>2.5</c:v>
                </c:pt>
                <c:pt idx="5">
                  <c:v>3.5</c:v>
                </c:pt>
              </c:numCache>
            </c:numRef>
          </c:xVal>
          <c:yVal>
            <c:numRef>
              <c:f>Template_2sets!$AC$12:$AC$17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97280"/>
        <c:axId val="224911360"/>
      </c:scatterChart>
      <c:catAx>
        <c:axId val="2248972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24911360"/>
        <c:crosses val="autoZero"/>
        <c:auto val="1"/>
        <c:lblAlgn val="ctr"/>
        <c:lblOffset val="100"/>
        <c:noMultiLvlLbl val="0"/>
      </c:catAx>
      <c:valAx>
        <c:axId val="224911360"/>
        <c:scaling>
          <c:orientation val="minMax"/>
          <c:max val="25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lang="en-US" sz="13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sz="1300" b="0" i="0" baseline="0">
                    <a:effectLst/>
                  </a:rPr>
                  <a:t>蒸汽能力 吨</a:t>
                </a:r>
                <a:r>
                  <a:rPr lang="en-US" sz="1300" b="0" i="0" baseline="0">
                    <a:effectLst/>
                  </a:rPr>
                  <a:t>/</a:t>
                </a:r>
                <a:r>
                  <a:rPr lang="zh-CN" sz="1300" b="0" i="0" baseline="0">
                    <a:effectLst/>
                  </a:rPr>
                  <a:t>小时</a:t>
                </a:r>
                <a:endParaRPr lang="en-US" sz="1300">
                  <a:effectLst/>
                </a:endParaRPr>
              </a:p>
            </c:rich>
          </c:tx>
          <c:layout>
            <c:manualLayout>
              <c:xMode val="edge"/>
              <c:yMode val="edge"/>
              <c:x val="2.3293396744100969E-2"/>
              <c:y val="0.16362497718699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24897280"/>
        <c:crosses val="autoZero"/>
        <c:crossBetween val="between"/>
        <c:majorUnit val="20"/>
      </c:valAx>
    </c:plotArea>
    <c:legend>
      <c:legendPos val="b"/>
      <c:layout/>
      <c:overlay val="0"/>
      <c:txPr>
        <a:bodyPr/>
        <a:lstStyle/>
        <a:p>
          <a:pPr>
            <a:defRPr sz="1300"/>
          </a:pPr>
          <a:endParaRPr lang="en-US"/>
        </a:p>
      </c:txPr>
    </c:legend>
    <c:plotVisOnly val="0"/>
    <c:dispBlanksAs val="gap"/>
    <c:showDLblsOverMax val="0"/>
  </c:chart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96991520316903"/>
          <c:y val="5.4742090221209412E-2"/>
          <c:w val="0.77776340115109022"/>
          <c:h val="0.72273072548797423"/>
        </c:manualLayout>
      </c:layout>
      <c:barChart>
        <c:barDir val="col"/>
        <c:grouping val="stacked"/>
        <c:varyColors val="0"/>
        <c:ser>
          <c:idx val="0"/>
          <c:order val="0"/>
          <c:tx>
            <c:v>单台机</c:v>
          </c:tx>
          <c:spPr>
            <a:solidFill>
              <a:schemeClr val="accent6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Lit>
              <c:ptCount val="3"/>
              <c:pt idx="0">
                <c:v>平均</c:v>
              </c:pt>
              <c:pt idx="1">
                <c:v>最大</c:v>
              </c:pt>
              <c:pt idx="2">
                <c:v>最小</c:v>
              </c:pt>
            </c:strLit>
          </c:cat>
          <c:val>
            <c:numRef>
              <c:f>Template_2sets!$AG$3:$AG$5</c:f>
              <c:numCache>
                <c:formatCode>General</c:formatCode>
                <c:ptCount val="3"/>
                <c:pt idx="0">
                  <c:v>13</c:v>
                </c:pt>
                <c:pt idx="1">
                  <c:v>13</c:v>
                </c:pt>
                <c:pt idx="2">
                  <c:v>13</c:v>
                </c:pt>
              </c:numCache>
            </c:numRef>
          </c:val>
        </c:ser>
        <c:ser>
          <c:idx val="1"/>
          <c:order val="1"/>
          <c:tx>
            <c:v>两台机</c:v>
          </c:tx>
          <c:spPr>
            <a:gradFill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0">
              <a:noFill/>
            </a:ln>
            <a:effectLst>
              <a:outerShdw blurRad="40005" dist="22860" dir="5400000" algn="ctr" rotWithShape="0">
                <a:schemeClr val="tx1">
                  <a:alpha val="35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cat>
            <c:strLit>
              <c:ptCount val="3"/>
              <c:pt idx="0">
                <c:v>平均</c:v>
              </c:pt>
              <c:pt idx="1">
                <c:v>最大</c:v>
              </c:pt>
              <c:pt idx="2">
                <c:v>最小</c:v>
              </c:pt>
            </c:strLit>
          </c:cat>
          <c:val>
            <c:numRef>
              <c:f>Template_2sets!$AD$3:$AD$5</c:f>
              <c:numCache>
                <c:formatCode>General</c:formatCode>
                <c:ptCount val="3"/>
                <c:pt idx="0">
                  <c:v>27</c:v>
                </c:pt>
                <c:pt idx="1">
                  <c:v>27</c:v>
                </c:pt>
                <c:pt idx="2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5071488"/>
        <c:axId val="225073024"/>
      </c:barChart>
      <c:scatterChart>
        <c:scatterStyle val="lineMarker"/>
        <c:varyColors val="0"/>
        <c:ser>
          <c:idx val="2"/>
          <c:order val="2"/>
          <c:tx>
            <c:v>客户需求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Template_2sets!$AB$12:$AB$17</c:f>
              <c:numCache>
                <c:formatCode>General</c:formatCode>
                <c:ptCount val="6"/>
                <c:pt idx="0">
                  <c:v>0.5</c:v>
                </c:pt>
                <c:pt idx="1">
                  <c:v>1.5</c:v>
                </c:pt>
                <c:pt idx="2">
                  <c:v>1.5</c:v>
                </c:pt>
                <c:pt idx="3">
                  <c:v>2.5</c:v>
                </c:pt>
                <c:pt idx="4">
                  <c:v>2.5</c:v>
                </c:pt>
                <c:pt idx="5">
                  <c:v>3.5</c:v>
                </c:pt>
              </c:numCache>
            </c:numRef>
          </c:xVal>
          <c:yVal>
            <c:numRef>
              <c:f>Template_2sets!$AC$12:$AC$17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71488"/>
        <c:axId val="225073024"/>
      </c:scatterChart>
      <c:catAx>
        <c:axId val="2250714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25073024"/>
        <c:crosses val="autoZero"/>
        <c:auto val="1"/>
        <c:lblAlgn val="ctr"/>
        <c:lblOffset val="100"/>
        <c:tickLblSkip val="1"/>
        <c:noMultiLvlLbl val="0"/>
      </c:catAx>
      <c:valAx>
        <c:axId val="225073024"/>
        <c:scaling>
          <c:orientation val="minMax"/>
          <c:max val="25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300" b="0"/>
                </a:pPr>
                <a:r>
                  <a:rPr lang="zh-CN" sz="1300" b="0" i="0" baseline="0">
                    <a:effectLst/>
                  </a:rPr>
                  <a:t>蒸汽能力 吨</a:t>
                </a:r>
                <a:r>
                  <a:rPr lang="en-US" sz="1300" b="0" i="0" baseline="0">
                    <a:effectLst/>
                  </a:rPr>
                  <a:t>/</a:t>
                </a:r>
                <a:r>
                  <a:rPr lang="zh-CN" sz="1300" b="0" i="0" baseline="0">
                    <a:effectLst/>
                  </a:rPr>
                  <a:t>小时</a:t>
                </a:r>
                <a:endParaRPr lang="en-US" sz="1300">
                  <a:effectLst/>
                </a:endParaRPr>
              </a:p>
            </c:rich>
          </c:tx>
          <c:layout>
            <c:manualLayout>
              <c:xMode val="edge"/>
              <c:yMode val="edge"/>
              <c:x val="1.7463963052322076E-2"/>
              <c:y val="0.1890006073604494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25071488"/>
        <c:crosses val="autoZero"/>
        <c:crossBetween val="between"/>
        <c:majorUnit val="20"/>
      </c:valAx>
    </c:plotArea>
    <c:legend>
      <c:legendPos val="b"/>
      <c:layout/>
      <c:overlay val="0"/>
      <c:txPr>
        <a:bodyPr/>
        <a:lstStyle/>
        <a:p>
          <a:pPr>
            <a:defRPr sz="1300"/>
          </a:pPr>
          <a:endParaRPr lang="en-US"/>
        </a:p>
      </c:txPr>
    </c:legend>
    <c:plotVisOnly val="0"/>
    <c:dispBlanksAs val="gap"/>
    <c:showDLblsOverMax val="0"/>
  </c:chart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1"/>
          <c:tx>
            <c:v>单台机</c:v>
          </c:tx>
          <c:spPr>
            <a:solidFill>
              <a:schemeClr val="accent6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Lit>
              <c:ptCount val="4"/>
              <c:pt idx="0">
                <c:v>春</c:v>
              </c:pt>
              <c:pt idx="1">
                <c:v>夏</c:v>
              </c:pt>
              <c:pt idx="2">
                <c:v>秋</c:v>
              </c:pt>
              <c:pt idx="3">
                <c:v>冬</c:v>
              </c:pt>
            </c:strLit>
          </c:cat>
          <c:val>
            <c:numRef>
              <c:f>'Results 6FASets2_56'!$AF$3:$AF$6</c:f>
              <c:numCache>
                <c:formatCode>General</c:formatCode>
                <c:ptCount val="4"/>
                <c:pt idx="0">
                  <c:v>94.380065780801573</c:v>
                </c:pt>
                <c:pt idx="1">
                  <c:v>93.982894335829727</c:v>
                </c:pt>
                <c:pt idx="2">
                  <c:v>94.501857103617809</c:v>
                </c:pt>
                <c:pt idx="3">
                  <c:v>94.985616205967403</c:v>
                </c:pt>
              </c:numCache>
            </c:numRef>
          </c:val>
        </c:ser>
        <c:ser>
          <c:idx val="1"/>
          <c:order val="2"/>
          <c:tx>
            <c:v>两台机</c:v>
          </c:tx>
          <c:spPr>
            <a:gradFill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0">
              <a:noFill/>
            </a:ln>
            <a:effectLst>
              <a:outerShdw blurRad="40005" dist="22860" dir="5400000" algn="ctr" rotWithShape="0">
                <a:srgbClr val="000000">
                  <a:alpha val="35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63500" h="25400"/>
              <a:bevelB w="0" h="0"/>
            </a:sp3d>
          </c:spPr>
          <c:invertIfNegative val="0"/>
          <c:cat>
            <c:strLit>
              <c:ptCount val="4"/>
              <c:pt idx="0">
                <c:v>春</c:v>
              </c:pt>
              <c:pt idx="1">
                <c:v>夏</c:v>
              </c:pt>
              <c:pt idx="2">
                <c:v>秋</c:v>
              </c:pt>
              <c:pt idx="3">
                <c:v>冬</c:v>
              </c:pt>
            </c:strLit>
          </c:cat>
          <c:val>
            <c:numRef>
              <c:f>'Results 6FASets2_56'!$AB$3:$AB$6</c:f>
              <c:numCache>
                <c:formatCode>General</c:formatCode>
                <c:ptCount val="4"/>
                <c:pt idx="0">
                  <c:v>103.38992184124098</c:v>
                </c:pt>
                <c:pt idx="1">
                  <c:v>89.126077300301333</c:v>
                </c:pt>
                <c:pt idx="2">
                  <c:v>101.69344166048445</c:v>
                </c:pt>
                <c:pt idx="3">
                  <c:v>97.974822658526762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6397184"/>
        <c:axId val="149880832"/>
      </c:barChart>
      <c:scatterChart>
        <c:scatterStyle val="lineMarker"/>
        <c:varyColors val="0"/>
        <c:ser>
          <c:idx val="2"/>
          <c:order val="0"/>
          <c:tx>
            <c:v>客户需求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'Results 6FASets2_56'!$AB$12:$AB$19</c:f>
              <c:numCache>
                <c:formatCode>General</c:formatCode>
                <c:ptCount val="8"/>
                <c:pt idx="0">
                  <c:v>0.5</c:v>
                </c:pt>
                <c:pt idx="1">
                  <c:v>1.5</c:v>
                </c:pt>
                <c:pt idx="2">
                  <c:v>1.5</c:v>
                </c:pt>
                <c:pt idx="3">
                  <c:v>2.5</c:v>
                </c:pt>
                <c:pt idx="4">
                  <c:v>2.5</c:v>
                </c:pt>
                <c:pt idx="5">
                  <c:v>3.5</c:v>
                </c:pt>
                <c:pt idx="6">
                  <c:v>3.5</c:v>
                </c:pt>
                <c:pt idx="7">
                  <c:v>4.5</c:v>
                </c:pt>
              </c:numCache>
            </c:numRef>
          </c:xVal>
          <c:yVal>
            <c:numRef>
              <c:f>'Results 6FASets2_56'!$AC$12:$AC$19</c:f>
              <c:numCache>
                <c:formatCode>General</c:formatCode>
                <c:ptCount val="8"/>
                <c:pt idx="0">
                  <c:v>150</c:v>
                </c:pt>
                <c:pt idx="1">
                  <c:v>150</c:v>
                </c:pt>
                <c:pt idx="2">
                  <c:v>180</c:v>
                </c:pt>
                <c:pt idx="3">
                  <c:v>180</c:v>
                </c:pt>
                <c:pt idx="4">
                  <c:v>170</c:v>
                </c:pt>
                <c:pt idx="5">
                  <c:v>170</c:v>
                </c:pt>
                <c:pt idx="6">
                  <c:v>180</c:v>
                </c:pt>
                <c:pt idx="7">
                  <c:v>180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397184"/>
        <c:axId val="149880832"/>
      </c:scatterChart>
      <c:catAx>
        <c:axId val="2263971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49880832"/>
        <c:crosses val="autoZero"/>
        <c:auto val="1"/>
        <c:lblAlgn val="ctr"/>
        <c:lblOffset val="100"/>
        <c:noMultiLvlLbl val="0"/>
      </c:catAx>
      <c:valAx>
        <c:axId val="149880832"/>
        <c:scaling>
          <c:orientation val="minMax"/>
          <c:max val="25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300"/>
                </a:pPr>
                <a:r>
                  <a:rPr lang="zh-CN" sz="1300" b="0" i="0" baseline="0">
                    <a:effectLst/>
                  </a:rPr>
                  <a:t>蒸汽能力 吨</a:t>
                </a:r>
                <a:r>
                  <a:rPr lang="en-US" sz="1300" b="0" i="0" baseline="0">
                    <a:effectLst/>
                  </a:rPr>
                  <a:t>/</a:t>
                </a:r>
                <a:r>
                  <a:rPr lang="zh-CN" sz="1300" b="0" i="0" baseline="0">
                    <a:effectLst/>
                  </a:rPr>
                  <a:t>小时</a:t>
                </a:r>
                <a:endParaRPr lang="en-US" sz="1300">
                  <a:effectLst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26397184"/>
        <c:crosses val="autoZero"/>
        <c:crossBetween val="between"/>
        <c:majorUnit val="20"/>
      </c:valAx>
    </c:plotArea>
    <c:legend>
      <c:legendPos val="b"/>
      <c:layout/>
      <c:overlay val="0"/>
      <c:txPr>
        <a:bodyPr/>
        <a:lstStyle/>
        <a:p>
          <a:pPr>
            <a:defRPr sz="1300"/>
          </a:pPr>
          <a:endParaRPr lang="en-US"/>
        </a:p>
      </c:txPr>
    </c:legend>
    <c:plotVisOnly val="0"/>
    <c:dispBlanksAs val="gap"/>
    <c:showDLblsOverMax val="0"/>
  </c:chart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单台机</c:v>
          </c:tx>
          <c:spPr>
            <a:solidFill>
              <a:schemeClr val="accent6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Lit>
              <c:ptCount val="4"/>
              <c:pt idx="0">
                <c:v>春</c:v>
              </c:pt>
              <c:pt idx="1">
                <c:v>夏</c:v>
              </c:pt>
              <c:pt idx="2">
                <c:v>秋</c:v>
              </c:pt>
              <c:pt idx="3">
                <c:v>冬</c:v>
              </c:pt>
            </c:strLit>
          </c:cat>
          <c:val>
            <c:numRef>
              <c:f>'Results 6FASets2_56'!$AG$3:$AG$6</c:f>
              <c:numCache>
                <c:formatCode>General</c:formatCode>
                <c:ptCount val="4"/>
                <c:pt idx="0">
                  <c:v>122.40778845823397</c:v>
                </c:pt>
                <c:pt idx="1">
                  <c:v>121.61784380913596</c:v>
                </c:pt>
                <c:pt idx="2">
                  <c:v>122.51082471681195</c:v>
                </c:pt>
                <c:pt idx="3">
                  <c:v>123.32652843055446</c:v>
                </c:pt>
              </c:numCache>
            </c:numRef>
          </c:val>
        </c:ser>
        <c:ser>
          <c:idx val="1"/>
          <c:order val="1"/>
          <c:tx>
            <c:v>两台机</c:v>
          </c:tx>
          <c:spPr>
            <a:gradFill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0">
              <a:noFill/>
            </a:ln>
            <a:effectLst>
              <a:outerShdw blurRad="40005" dist="22860" dir="5400000" algn="ctr" rotWithShape="0">
                <a:schemeClr val="tx1">
                  <a:alpha val="35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cat>
            <c:strLit>
              <c:ptCount val="4"/>
              <c:pt idx="0">
                <c:v>春</c:v>
              </c:pt>
              <c:pt idx="1">
                <c:v>夏</c:v>
              </c:pt>
              <c:pt idx="2">
                <c:v>秋</c:v>
              </c:pt>
              <c:pt idx="3">
                <c:v>冬</c:v>
              </c:pt>
            </c:strLit>
          </c:cat>
          <c:val>
            <c:numRef>
              <c:f>'Results 6FASets2_56'!$AD$3:$AD$6</c:f>
              <c:numCache>
                <c:formatCode>General</c:formatCode>
                <c:ptCount val="4"/>
                <c:pt idx="0">
                  <c:v>94.344637880221825</c:v>
                </c:pt>
                <c:pt idx="1">
                  <c:v>85.804826864790215</c:v>
                </c:pt>
                <c:pt idx="2">
                  <c:v>94.687297053558069</c:v>
                </c:pt>
                <c:pt idx="3">
                  <c:v>90.470273922717908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9927808"/>
        <c:axId val="149929344"/>
      </c:barChart>
      <c:scatterChart>
        <c:scatterStyle val="lineMarker"/>
        <c:varyColors val="0"/>
        <c:ser>
          <c:idx val="2"/>
          <c:order val="2"/>
          <c:tx>
            <c:v>客户需求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'Results 6FASets2_56'!$AB$12:$AB$19</c:f>
              <c:numCache>
                <c:formatCode>General</c:formatCode>
                <c:ptCount val="8"/>
                <c:pt idx="0">
                  <c:v>0.5</c:v>
                </c:pt>
                <c:pt idx="1">
                  <c:v>1.5</c:v>
                </c:pt>
                <c:pt idx="2">
                  <c:v>1.5</c:v>
                </c:pt>
                <c:pt idx="3">
                  <c:v>2.5</c:v>
                </c:pt>
                <c:pt idx="4">
                  <c:v>2.5</c:v>
                </c:pt>
                <c:pt idx="5">
                  <c:v>3.5</c:v>
                </c:pt>
                <c:pt idx="6">
                  <c:v>3.5</c:v>
                </c:pt>
                <c:pt idx="7">
                  <c:v>4.5</c:v>
                </c:pt>
              </c:numCache>
            </c:numRef>
          </c:xVal>
          <c:yVal>
            <c:numRef>
              <c:f>'Results 6FASets2_56'!$AC$12:$AC$19</c:f>
              <c:numCache>
                <c:formatCode>General</c:formatCode>
                <c:ptCount val="8"/>
                <c:pt idx="0">
                  <c:v>150</c:v>
                </c:pt>
                <c:pt idx="1">
                  <c:v>150</c:v>
                </c:pt>
                <c:pt idx="2">
                  <c:v>180</c:v>
                </c:pt>
                <c:pt idx="3">
                  <c:v>180</c:v>
                </c:pt>
                <c:pt idx="4">
                  <c:v>170</c:v>
                </c:pt>
                <c:pt idx="5">
                  <c:v>170</c:v>
                </c:pt>
                <c:pt idx="6">
                  <c:v>180</c:v>
                </c:pt>
                <c:pt idx="7">
                  <c:v>180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27808"/>
        <c:axId val="149929344"/>
      </c:scatterChart>
      <c:catAx>
        <c:axId val="1499278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49929344"/>
        <c:crosses val="autoZero"/>
        <c:auto val="1"/>
        <c:lblAlgn val="ctr"/>
        <c:lblOffset val="100"/>
        <c:tickLblSkip val="1"/>
        <c:noMultiLvlLbl val="0"/>
      </c:catAx>
      <c:valAx>
        <c:axId val="149929344"/>
        <c:scaling>
          <c:orientation val="minMax"/>
          <c:max val="25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300"/>
                </a:pPr>
                <a:r>
                  <a:rPr lang="zh-CN" sz="1300" b="0" i="0" baseline="0">
                    <a:effectLst/>
                  </a:rPr>
                  <a:t>蒸汽能力 吨</a:t>
                </a:r>
                <a:r>
                  <a:rPr lang="en-US" sz="1300" b="0" i="0" baseline="0">
                    <a:effectLst/>
                  </a:rPr>
                  <a:t>/</a:t>
                </a:r>
                <a:r>
                  <a:rPr lang="zh-CN" sz="1300" b="0" i="0" baseline="0">
                    <a:effectLst/>
                  </a:rPr>
                  <a:t>小时</a:t>
                </a:r>
                <a:endParaRPr lang="en-US" sz="1300">
                  <a:effectLst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49927808"/>
        <c:crosses val="autoZero"/>
        <c:crossBetween val="between"/>
        <c:majorUnit val="20"/>
      </c:valAx>
    </c:plotArea>
    <c:legend>
      <c:legendPos val="b"/>
      <c:layout/>
      <c:overlay val="0"/>
      <c:txPr>
        <a:bodyPr/>
        <a:lstStyle/>
        <a:p>
          <a:pPr>
            <a:defRPr sz="1300"/>
          </a:pPr>
          <a:endParaRPr lang="en-US"/>
        </a:p>
      </c:txPr>
    </c:legend>
    <c:plotVisOnly val="0"/>
    <c:dispBlanksAs val="gap"/>
    <c:showDLblsOverMax val="0"/>
  </c:chart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1"/>
          <c:tx>
            <c:v>单台机</c:v>
          </c:tx>
          <c:spPr>
            <a:solidFill>
              <a:schemeClr val="accent6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Lit>
              <c:ptCount val="4"/>
              <c:pt idx="0">
                <c:v>春</c:v>
              </c:pt>
              <c:pt idx="1">
                <c:v>夏</c:v>
              </c:pt>
              <c:pt idx="2">
                <c:v>秋</c:v>
              </c:pt>
              <c:pt idx="3">
                <c:v>冬</c:v>
              </c:pt>
            </c:strLit>
          </c:cat>
          <c:val>
            <c:numRef>
              <c:f>Template_2setsSeason!$AF$3:$AF$6</c:f>
              <c:numCache>
                <c:formatCode>General</c:formatCode>
                <c:ptCount val="4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</c:numCache>
            </c:numRef>
          </c:val>
        </c:ser>
        <c:ser>
          <c:idx val="1"/>
          <c:order val="2"/>
          <c:tx>
            <c:v>两台机</c:v>
          </c:tx>
          <c:spPr>
            <a:gradFill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0">
              <a:noFill/>
            </a:ln>
            <a:effectLst>
              <a:outerShdw blurRad="40005" dist="22860" dir="5400000" algn="ctr" rotWithShape="0">
                <a:srgbClr val="000000">
                  <a:alpha val="35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63500" h="25400"/>
              <a:bevelB w="0" h="0"/>
            </a:sp3d>
          </c:spPr>
          <c:invertIfNegative val="0"/>
          <c:cat>
            <c:strLit>
              <c:ptCount val="4"/>
              <c:pt idx="0">
                <c:v>春</c:v>
              </c:pt>
              <c:pt idx="1">
                <c:v>夏</c:v>
              </c:pt>
              <c:pt idx="2">
                <c:v>秋</c:v>
              </c:pt>
              <c:pt idx="3">
                <c:v>冬</c:v>
              </c:pt>
            </c:strLit>
          </c:cat>
          <c:val>
            <c:numRef>
              <c:f>Template_2setsSeason!$AB$3:$AB$6</c:f>
              <c:numCache>
                <c:formatCode>General</c:formatCode>
                <c:ptCount val="4"/>
                <c:pt idx="0">
                  <c:v>37</c:v>
                </c:pt>
                <c:pt idx="1">
                  <c:v>37</c:v>
                </c:pt>
                <c:pt idx="2">
                  <c:v>37</c:v>
                </c:pt>
                <c:pt idx="3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5802880"/>
        <c:axId val="225812864"/>
      </c:barChart>
      <c:scatterChart>
        <c:scatterStyle val="lineMarker"/>
        <c:varyColors val="0"/>
        <c:ser>
          <c:idx val="2"/>
          <c:order val="0"/>
          <c:tx>
            <c:v>客户需求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Template_2setsSeason!$AB$12:$AB$19</c:f>
              <c:numCache>
                <c:formatCode>General</c:formatCode>
                <c:ptCount val="8"/>
                <c:pt idx="0">
                  <c:v>0.5</c:v>
                </c:pt>
                <c:pt idx="1">
                  <c:v>1.5</c:v>
                </c:pt>
                <c:pt idx="2">
                  <c:v>1.5</c:v>
                </c:pt>
                <c:pt idx="3">
                  <c:v>2.5</c:v>
                </c:pt>
                <c:pt idx="4">
                  <c:v>2.5</c:v>
                </c:pt>
                <c:pt idx="5">
                  <c:v>3.5</c:v>
                </c:pt>
                <c:pt idx="6">
                  <c:v>3.5</c:v>
                </c:pt>
                <c:pt idx="7">
                  <c:v>4.5</c:v>
                </c:pt>
              </c:numCache>
            </c:numRef>
          </c:xVal>
          <c:yVal>
            <c:numRef>
              <c:f>Template_2setsSeason!$AC$12:$AC$19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02880"/>
        <c:axId val="225812864"/>
      </c:scatterChart>
      <c:catAx>
        <c:axId val="2258028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25812864"/>
        <c:crosses val="autoZero"/>
        <c:auto val="1"/>
        <c:lblAlgn val="ctr"/>
        <c:lblOffset val="100"/>
        <c:noMultiLvlLbl val="0"/>
      </c:catAx>
      <c:valAx>
        <c:axId val="225812864"/>
        <c:scaling>
          <c:orientation val="minMax"/>
          <c:max val="25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300"/>
                </a:pPr>
                <a:r>
                  <a:rPr lang="zh-CN" sz="1300" b="0" i="0" baseline="0">
                    <a:effectLst/>
                  </a:rPr>
                  <a:t>蒸汽能力 吨</a:t>
                </a:r>
                <a:r>
                  <a:rPr lang="en-US" sz="1300" b="0" i="0" baseline="0">
                    <a:effectLst/>
                  </a:rPr>
                  <a:t>/</a:t>
                </a:r>
                <a:r>
                  <a:rPr lang="zh-CN" sz="1300" b="0" i="0" baseline="0">
                    <a:effectLst/>
                  </a:rPr>
                  <a:t>小时</a:t>
                </a:r>
                <a:endParaRPr lang="en-US" sz="1300">
                  <a:effectLst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25802880"/>
        <c:crosses val="autoZero"/>
        <c:crossBetween val="between"/>
        <c:majorUnit val="20"/>
      </c:valAx>
    </c:plotArea>
    <c:legend>
      <c:legendPos val="b"/>
      <c:layout/>
      <c:overlay val="0"/>
      <c:txPr>
        <a:bodyPr/>
        <a:lstStyle/>
        <a:p>
          <a:pPr>
            <a:defRPr sz="1300"/>
          </a:pPr>
          <a:endParaRPr lang="en-US"/>
        </a:p>
      </c:txPr>
    </c:legend>
    <c:plotVisOnly val="0"/>
    <c:dispBlanksAs val="gap"/>
    <c:showDLblsOverMax val="0"/>
  </c:chart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单台机</c:v>
          </c:tx>
          <c:spPr>
            <a:solidFill>
              <a:schemeClr val="accent6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Lit>
              <c:ptCount val="4"/>
              <c:pt idx="0">
                <c:v>春</c:v>
              </c:pt>
              <c:pt idx="1">
                <c:v>夏</c:v>
              </c:pt>
              <c:pt idx="2">
                <c:v>秋</c:v>
              </c:pt>
              <c:pt idx="3">
                <c:v>冬</c:v>
              </c:pt>
            </c:strLit>
          </c:cat>
          <c:val>
            <c:numRef>
              <c:f>Template_2setsSeason!$AG$3:$AG$6</c:f>
              <c:numCache>
                <c:formatCode>General</c:formatCode>
                <c:ptCount val="4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</c:numCache>
            </c:numRef>
          </c:val>
        </c:ser>
        <c:ser>
          <c:idx val="1"/>
          <c:order val="1"/>
          <c:tx>
            <c:v>两台机</c:v>
          </c:tx>
          <c:spPr>
            <a:gradFill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0">
              <a:noFill/>
            </a:ln>
            <a:effectLst>
              <a:outerShdw blurRad="40005" dist="22860" dir="5400000" algn="ctr" rotWithShape="0">
                <a:schemeClr val="tx1">
                  <a:alpha val="35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cat>
            <c:strLit>
              <c:ptCount val="4"/>
              <c:pt idx="0">
                <c:v>春</c:v>
              </c:pt>
              <c:pt idx="1">
                <c:v>夏</c:v>
              </c:pt>
              <c:pt idx="2">
                <c:v>秋</c:v>
              </c:pt>
              <c:pt idx="3">
                <c:v>冬</c:v>
              </c:pt>
            </c:strLit>
          </c:cat>
          <c:val>
            <c:numRef>
              <c:f>Template_2setsSeason!$AD$3:$AD$6</c:f>
              <c:numCache>
                <c:formatCode>General</c:formatCode>
                <c:ptCount val="4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6142848"/>
        <c:axId val="226148736"/>
      </c:barChart>
      <c:scatterChart>
        <c:scatterStyle val="lineMarker"/>
        <c:varyColors val="0"/>
        <c:ser>
          <c:idx val="2"/>
          <c:order val="2"/>
          <c:tx>
            <c:v>客户需求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Template_2setsSeason!$AB$12:$AB$19</c:f>
              <c:numCache>
                <c:formatCode>General</c:formatCode>
                <c:ptCount val="8"/>
                <c:pt idx="0">
                  <c:v>0.5</c:v>
                </c:pt>
                <c:pt idx="1">
                  <c:v>1.5</c:v>
                </c:pt>
                <c:pt idx="2">
                  <c:v>1.5</c:v>
                </c:pt>
                <c:pt idx="3">
                  <c:v>2.5</c:v>
                </c:pt>
                <c:pt idx="4">
                  <c:v>2.5</c:v>
                </c:pt>
                <c:pt idx="5">
                  <c:v>3.5</c:v>
                </c:pt>
                <c:pt idx="6">
                  <c:v>3.5</c:v>
                </c:pt>
                <c:pt idx="7">
                  <c:v>4.5</c:v>
                </c:pt>
              </c:numCache>
            </c:numRef>
          </c:xVal>
          <c:yVal>
            <c:numRef>
              <c:f>Template_2setsSeason!$AC$12:$AC$19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42848"/>
        <c:axId val="226148736"/>
      </c:scatterChart>
      <c:catAx>
        <c:axId val="2261428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26148736"/>
        <c:crosses val="autoZero"/>
        <c:auto val="1"/>
        <c:lblAlgn val="ctr"/>
        <c:lblOffset val="100"/>
        <c:tickLblSkip val="1"/>
        <c:noMultiLvlLbl val="0"/>
      </c:catAx>
      <c:valAx>
        <c:axId val="226148736"/>
        <c:scaling>
          <c:orientation val="minMax"/>
          <c:max val="25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300"/>
                </a:pPr>
                <a:r>
                  <a:rPr lang="zh-CN" sz="1300" b="0" i="0" baseline="0">
                    <a:effectLst/>
                  </a:rPr>
                  <a:t>蒸汽能力 吨</a:t>
                </a:r>
                <a:r>
                  <a:rPr lang="en-US" sz="1300" b="0" i="0" baseline="0">
                    <a:effectLst/>
                  </a:rPr>
                  <a:t>/</a:t>
                </a:r>
                <a:r>
                  <a:rPr lang="zh-CN" sz="1300" b="0" i="0" baseline="0">
                    <a:effectLst/>
                  </a:rPr>
                  <a:t>小时</a:t>
                </a:r>
                <a:endParaRPr lang="en-US" sz="1300">
                  <a:effectLst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26142848"/>
        <c:crosses val="autoZero"/>
        <c:crossBetween val="between"/>
        <c:majorUnit val="20"/>
      </c:valAx>
    </c:plotArea>
    <c:legend>
      <c:legendPos val="b"/>
      <c:layout/>
      <c:overlay val="0"/>
      <c:txPr>
        <a:bodyPr/>
        <a:lstStyle/>
        <a:p>
          <a:pPr>
            <a:defRPr sz="1300"/>
          </a:pPr>
          <a:endParaRPr lang="en-US"/>
        </a:p>
      </c:txPr>
    </c:legend>
    <c:plotVisOnly val="0"/>
    <c:dispBlanksAs val="gap"/>
    <c:showDLblsOverMax val="0"/>
  </c:chart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0</xdr:row>
          <xdr:rowOff>57150</xdr:rowOff>
        </xdr:from>
        <xdr:to>
          <xdr:col>12</xdr:col>
          <xdr:colOff>161925</xdr:colOff>
          <xdr:row>1</xdr:row>
          <xdr:rowOff>104775</xdr:rowOff>
        </xdr:to>
        <xdr:sp macro="" textlink="">
          <xdr:nvSpPr>
            <xdr:cNvPr id="1041" name="CommandButton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1781175</xdr:colOff>
          <xdr:row>49</xdr:row>
          <xdr:rowOff>47625</xdr:rowOff>
        </xdr:from>
        <xdr:to>
          <xdr:col>3</xdr:col>
          <xdr:colOff>723900</xdr:colOff>
          <xdr:row>60</xdr:row>
          <xdr:rowOff>180975</xdr:rowOff>
        </xdr:to>
        <xdr:sp macro="" textlink="">
          <xdr:nvSpPr>
            <xdr:cNvPr id="1042" name="btnCal_6FA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49</xdr:row>
          <xdr:rowOff>9525</xdr:rowOff>
        </xdr:from>
        <xdr:to>
          <xdr:col>10</xdr:col>
          <xdr:colOff>390525</xdr:colOff>
          <xdr:row>60</xdr:row>
          <xdr:rowOff>123825</xdr:rowOff>
        </xdr:to>
        <xdr:sp macro="" textlink="">
          <xdr:nvSpPr>
            <xdr:cNvPr id="1044" name="btn26FA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20</xdr:row>
      <xdr:rowOff>98969</xdr:rowOff>
    </xdr:from>
    <xdr:to>
      <xdr:col>12</xdr:col>
      <xdr:colOff>10583</xdr:colOff>
      <xdr:row>20</xdr:row>
      <xdr:rowOff>120152</xdr:rowOff>
    </xdr:to>
    <xdr:cxnSp macro="">
      <xdr:nvCxnSpPr>
        <xdr:cNvPr id="14" name="Straight Connector 13"/>
        <xdr:cNvCxnSpPr/>
      </xdr:nvCxnSpPr>
      <xdr:spPr>
        <a:xfrm>
          <a:off x="605118" y="2956469"/>
          <a:ext cx="10443259" cy="21183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23</xdr:row>
          <xdr:rowOff>76200</xdr:rowOff>
        </xdr:from>
        <xdr:to>
          <xdr:col>6</xdr:col>
          <xdr:colOff>1190625</xdr:colOff>
          <xdr:row>25</xdr:row>
          <xdr:rowOff>123825</xdr:rowOff>
        </xdr:to>
        <xdr:sp macro="" textlink="">
          <xdr:nvSpPr>
            <xdr:cNvPr id="1050" name="optSeason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28</xdr:row>
          <xdr:rowOff>38100</xdr:rowOff>
        </xdr:from>
        <xdr:to>
          <xdr:col>6</xdr:col>
          <xdr:colOff>1314450</xdr:colOff>
          <xdr:row>30</xdr:row>
          <xdr:rowOff>104775</xdr:rowOff>
        </xdr:to>
        <xdr:sp macro="" textlink="">
          <xdr:nvSpPr>
            <xdr:cNvPr id="1051" name="optRange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219808</xdr:colOff>
      <xdr:row>43</xdr:row>
      <xdr:rowOff>87923</xdr:rowOff>
    </xdr:from>
    <xdr:to>
      <xdr:col>2</xdr:col>
      <xdr:colOff>1919654</xdr:colOff>
      <xdr:row>61</xdr:row>
      <xdr:rowOff>65943</xdr:rowOff>
    </xdr:to>
    <xdr:pic>
      <xdr:nvPicPr>
        <xdr:cNvPr id="10" name="il_fi" descr="http://www.genewscenter.com/imagelibrary/displaymedia.ashx?MediaDetailsID=3047&amp;SizeID=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screen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43000" y="6777404"/>
          <a:ext cx="1699846" cy="12968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1069730</xdr:colOff>
      <xdr:row>43</xdr:row>
      <xdr:rowOff>87923</xdr:rowOff>
    </xdr:from>
    <xdr:to>
      <xdr:col>9</xdr:col>
      <xdr:colOff>410307</xdr:colOff>
      <xdr:row>61</xdr:row>
      <xdr:rowOff>65943</xdr:rowOff>
    </xdr:to>
    <xdr:pic>
      <xdr:nvPicPr>
        <xdr:cNvPr id="13" name="il_fi" descr="http://www.genewscenter.com/imagelibrary/displaymedia.ashx?MediaDetailsID=3047&amp;SizeID=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screen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8418634" y="6777404"/>
          <a:ext cx="1699846" cy="12968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1135672</xdr:colOff>
      <xdr:row>43</xdr:row>
      <xdr:rowOff>87923</xdr:rowOff>
    </xdr:from>
    <xdr:to>
      <xdr:col>7</xdr:col>
      <xdr:colOff>1128345</xdr:colOff>
      <xdr:row>61</xdr:row>
      <xdr:rowOff>65943</xdr:rowOff>
    </xdr:to>
    <xdr:pic>
      <xdr:nvPicPr>
        <xdr:cNvPr id="15" name="il_fi" descr="http://www.genewscenter.com/imagelibrary/displaymedia.ashx?MediaDetailsID=3047&amp;SizeID=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screen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6777403" y="6777404"/>
          <a:ext cx="1699846" cy="12968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131745</xdr:colOff>
      <xdr:row>15</xdr:row>
      <xdr:rowOff>128649</xdr:rowOff>
    </xdr:from>
    <xdr:to>
      <xdr:col>5</xdr:col>
      <xdr:colOff>2163536</xdr:colOff>
      <xdr:row>26</xdr:row>
      <xdr:rowOff>10321</xdr:rowOff>
    </xdr:to>
    <xdr:graphicFrame macro="">
      <xdr:nvGraphicFramePr>
        <xdr:cNvPr id="102" name="Chart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93324</xdr:colOff>
      <xdr:row>15</xdr:row>
      <xdr:rowOff>128649</xdr:rowOff>
    </xdr:from>
    <xdr:to>
      <xdr:col>8</xdr:col>
      <xdr:colOff>15220</xdr:colOff>
      <xdr:row>26</xdr:row>
      <xdr:rowOff>10321</xdr:rowOff>
    </xdr:to>
    <xdr:graphicFrame macro="">
      <xdr:nvGraphicFramePr>
        <xdr:cNvPr id="120" name="Chart 1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109978</xdr:colOff>
      <xdr:row>2</xdr:row>
      <xdr:rowOff>138544</xdr:rowOff>
    </xdr:from>
    <xdr:to>
      <xdr:col>8</xdr:col>
      <xdr:colOff>13608</xdr:colOff>
      <xdr:row>11</xdr:row>
      <xdr:rowOff>163284</xdr:rowOff>
    </xdr:to>
    <xdr:grpSp>
      <xdr:nvGrpSpPr>
        <xdr:cNvPr id="5" name="Group 4"/>
        <xdr:cNvGrpSpPr/>
      </xdr:nvGrpSpPr>
      <xdr:grpSpPr>
        <a:xfrm>
          <a:off x="7245069" y="1385453"/>
          <a:ext cx="4475630" cy="1895104"/>
          <a:chOff x="8738506" y="799692"/>
          <a:chExt cx="2103662" cy="1481173"/>
        </a:xfrm>
      </xdr:grpSpPr>
      <xdr:cxnSp macro="">
        <xdr:nvCxnSpPr>
          <xdr:cNvPr id="168" name="Straight Arrow Connector 167"/>
          <xdr:cNvCxnSpPr/>
        </xdr:nvCxnSpPr>
        <xdr:spPr>
          <a:xfrm flipV="1">
            <a:off x="9278025" y="1462538"/>
            <a:ext cx="0" cy="416047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Straight Arrow Connector 168"/>
          <xdr:cNvCxnSpPr/>
        </xdr:nvCxnSpPr>
        <xdr:spPr>
          <a:xfrm>
            <a:off x="9867927" y="1389838"/>
            <a:ext cx="328263" cy="0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0" name="Straight Arrow Connector 169"/>
          <xdr:cNvCxnSpPr>
            <a:stCxn id="182" idx="2"/>
            <a:endCxn id="176" idx="3"/>
          </xdr:cNvCxnSpPr>
        </xdr:nvCxnSpPr>
        <xdr:spPr>
          <a:xfrm flipH="1">
            <a:off x="9636455" y="1957009"/>
            <a:ext cx="252102" cy="9652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1" name="Straight Arrow Connector 170"/>
          <xdr:cNvCxnSpPr/>
        </xdr:nvCxnSpPr>
        <xdr:spPr>
          <a:xfrm flipV="1">
            <a:off x="9526530" y="1476108"/>
            <a:ext cx="0" cy="521751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72" name="Group 171"/>
          <xdr:cNvGrpSpPr/>
        </xdr:nvGrpSpPr>
        <xdr:grpSpPr>
          <a:xfrm>
            <a:off x="9006052" y="1618865"/>
            <a:ext cx="630403" cy="406669"/>
            <a:chOff x="1351294" y="1398395"/>
            <a:chExt cx="703384" cy="490905"/>
          </a:xfrm>
        </xdr:grpSpPr>
        <xdr:grpSp>
          <xdr:nvGrpSpPr>
            <xdr:cNvPr id="173" name="Group 172"/>
            <xdr:cNvGrpSpPr/>
          </xdr:nvGrpSpPr>
          <xdr:grpSpPr>
            <a:xfrm>
              <a:off x="1351294" y="1398395"/>
              <a:ext cx="703384" cy="490905"/>
              <a:chOff x="3319096" y="454269"/>
              <a:chExt cx="1524000" cy="1025769"/>
            </a:xfrm>
          </xdr:grpSpPr>
          <xdr:sp macro="" textlink="">
            <xdr:nvSpPr>
              <xdr:cNvPr id="175" name="Right Triangle 174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76" name="Rectangle 175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77" name="Rectangle 176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74" name="TextBox 173"/>
            <xdr:cNvSpPr txBox="1"/>
          </xdr:nvSpPr>
          <xdr:spPr>
            <a:xfrm>
              <a:off x="1420413" y="1613946"/>
              <a:ext cx="606870" cy="23926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HRSG</a:t>
              </a:r>
            </a:p>
          </xdr:txBody>
        </xdr:sp>
      </xdr:grpSp>
      <xdr:grpSp>
        <xdr:nvGrpSpPr>
          <xdr:cNvPr id="178" name="Group 177"/>
          <xdr:cNvGrpSpPr/>
        </xdr:nvGrpSpPr>
        <xdr:grpSpPr>
          <a:xfrm>
            <a:off x="9888557" y="1752639"/>
            <a:ext cx="789313" cy="402141"/>
            <a:chOff x="2463940" y="1560322"/>
            <a:chExt cx="861960" cy="481379"/>
          </a:xfrm>
        </xdr:grpSpPr>
        <xdr:grpSp>
          <xdr:nvGrpSpPr>
            <xdr:cNvPr id="179" name="Group 178"/>
            <xdr:cNvGrpSpPr/>
          </xdr:nvGrpSpPr>
          <xdr:grpSpPr>
            <a:xfrm flipH="1">
              <a:off x="2463940" y="1560322"/>
              <a:ext cx="861960" cy="481379"/>
              <a:chOff x="2905125" y="1041156"/>
              <a:chExt cx="1035294" cy="481379"/>
            </a:xfrm>
          </xdr:grpSpPr>
          <xdr:sp macro="" textlink="">
            <xdr:nvSpPr>
              <xdr:cNvPr id="181" name="Trapezoid 180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chemeClr val="tx2">
                  <a:lumMod val="40000"/>
                  <a:lumOff val="60000"/>
                </a:schemeClr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82" name="Trapezoid 181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83" name="Rectangle 182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80" name="TextBox 179"/>
            <xdr:cNvSpPr txBox="1"/>
          </xdr:nvSpPr>
          <xdr:spPr>
            <a:xfrm>
              <a:off x="2469931" y="1646789"/>
              <a:ext cx="568288" cy="3589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GT</a:t>
              </a:r>
            </a:p>
          </xdr:txBody>
        </xdr:sp>
      </xdr:grpSp>
      <xdr:sp macro="" textlink="">
        <xdr:nvSpPr>
          <xdr:cNvPr id="184" name="Trapezoid 183"/>
          <xdr:cNvSpPr/>
        </xdr:nvSpPr>
        <xdr:spPr>
          <a:xfrm rot="16200000" flipH="1">
            <a:off x="9576608" y="1182688"/>
            <a:ext cx="323995" cy="425105"/>
          </a:xfrm>
          <a:prstGeom prst="trapezoid">
            <a:avLst/>
          </a:prstGeom>
          <a:solidFill>
            <a:srgbClr val="92D050"/>
          </a:solidFill>
          <a:ln w="1270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5" name="TextBox 184"/>
          <xdr:cNvSpPr txBox="1"/>
        </xdr:nvSpPr>
        <xdr:spPr>
          <a:xfrm>
            <a:off x="9522933" y="1279518"/>
            <a:ext cx="729848" cy="237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BP ST</a:t>
            </a:r>
          </a:p>
        </xdr:txBody>
      </xdr:sp>
      <xdr:sp macro="" textlink="">
        <xdr:nvSpPr>
          <xdr:cNvPr id="186" name="Rectangle 185"/>
          <xdr:cNvSpPr/>
        </xdr:nvSpPr>
        <xdr:spPr>
          <a:xfrm>
            <a:off x="8738506" y="799692"/>
            <a:ext cx="2103662" cy="1481173"/>
          </a:xfrm>
          <a:prstGeom prst="rect">
            <a:avLst/>
          </a:prstGeom>
          <a:noFill/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87" name="Straight Arrow Connector 186"/>
          <xdr:cNvCxnSpPr/>
        </xdr:nvCxnSpPr>
        <xdr:spPr>
          <a:xfrm flipV="1">
            <a:off x="10182942" y="1118903"/>
            <a:ext cx="0" cy="274936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8" name="Straight Arrow Connector 187"/>
          <xdr:cNvCxnSpPr/>
        </xdr:nvCxnSpPr>
        <xdr:spPr>
          <a:xfrm flipH="1">
            <a:off x="9212553" y="1116328"/>
            <a:ext cx="976104" cy="0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Straight Arrow Connector 188"/>
          <xdr:cNvCxnSpPr/>
        </xdr:nvCxnSpPr>
        <xdr:spPr>
          <a:xfrm flipH="1">
            <a:off x="9024094" y="1454429"/>
            <a:ext cx="260902" cy="0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147278</xdr:colOff>
      <xdr:row>2</xdr:row>
      <xdr:rowOff>138544</xdr:rowOff>
    </xdr:from>
    <xdr:to>
      <xdr:col>5</xdr:col>
      <xdr:colOff>2149927</xdr:colOff>
      <xdr:row>11</xdr:row>
      <xdr:rowOff>163284</xdr:rowOff>
    </xdr:to>
    <xdr:grpSp>
      <xdr:nvGrpSpPr>
        <xdr:cNvPr id="7" name="Group 6"/>
        <xdr:cNvGrpSpPr/>
      </xdr:nvGrpSpPr>
      <xdr:grpSpPr>
        <a:xfrm>
          <a:off x="2710369" y="1385453"/>
          <a:ext cx="4288649" cy="1895104"/>
          <a:chOff x="4102955" y="799692"/>
          <a:chExt cx="2097621" cy="1452559"/>
        </a:xfrm>
      </xdr:grpSpPr>
      <xdr:grpSp>
        <xdr:nvGrpSpPr>
          <xdr:cNvPr id="190" name="Group 189"/>
          <xdr:cNvGrpSpPr/>
        </xdr:nvGrpSpPr>
        <xdr:grpSpPr>
          <a:xfrm>
            <a:off x="4278027" y="966510"/>
            <a:ext cx="1857647" cy="1204793"/>
            <a:chOff x="2788534" y="1149276"/>
            <a:chExt cx="1680155" cy="976566"/>
          </a:xfrm>
        </xdr:grpSpPr>
        <xdr:cxnSp macro="">
          <xdr:nvCxnSpPr>
            <xdr:cNvPr id="191" name="Straight Arrow Connector 190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2" name="Straight Arrow Connector 191"/>
            <xdr:cNvCxnSpPr>
              <a:stCxn id="204" idx="2"/>
              <a:endCxn id="207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3" name="Straight Arrow Connector 192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94" name="Group 193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206" name="Right Triangle 205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07" name="Rectangle 206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08" name="Rectangle 207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95" name="TextBox 194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HRSG</a:t>
              </a:r>
            </a:p>
          </xdr:txBody>
        </xdr:sp>
        <xdr:grpSp>
          <xdr:nvGrpSpPr>
            <xdr:cNvPr id="196" name="Group 195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203" name="Trapezoid 202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chemeClr val="tx2">
                  <a:lumMod val="40000"/>
                  <a:lumOff val="60000"/>
                </a:schemeClr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04" name="Trapezoid 203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05" name="Rectangle 204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97" name="TextBox 196"/>
            <xdr:cNvSpPr txBox="1"/>
          </xdr:nvSpPr>
          <xdr:spPr>
            <a:xfrm>
              <a:off x="3680283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GT</a:t>
              </a:r>
            </a:p>
          </xdr:txBody>
        </xdr:sp>
        <xdr:cxnSp macro="">
          <xdr:nvCxnSpPr>
            <xdr:cNvPr id="198" name="Straight Arrow Connector 197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" name="Straight Arrow Connector 198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0" name="Trapezoid 199"/>
            <xdr:cNvSpPr/>
          </xdr:nvSpPr>
          <xdr:spPr>
            <a:xfrm rot="16200000" flipH="1">
              <a:off x="3466045" y="1009115"/>
              <a:ext cx="352448" cy="676149"/>
            </a:xfrm>
            <a:prstGeom prst="trapezoid">
              <a:avLst/>
            </a:prstGeom>
            <a:solidFill>
              <a:schemeClr val="tx2">
                <a:lumMod val="40000"/>
                <a:lumOff val="60000"/>
              </a:schemeClr>
            </a:solidFill>
            <a:ln w="1270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01" name="Straight Arrow Connector 200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2" name="TextBox 201"/>
            <xdr:cNvSpPr txBox="1"/>
          </xdr:nvSpPr>
          <xdr:spPr>
            <a:xfrm>
              <a:off x="3418271" y="1215676"/>
              <a:ext cx="621775" cy="2793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C&amp;E ST</a:t>
              </a:r>
            </a:p>
          </xdr:txBody>
        </xdr:sp>
      </xdr:grpSp>
      <xdr:sp macro="" textlink="">
        <xdr:nvSpPr>
          <xdr:cNvPr id="209" name="Rectangle 208"/>
          <xdr:cNvSpPr/>
        </xdr:nvSpPr>
        <xdr:spPr>
          <a:xfrm>
            <a:off x="4102955" y="799692"/>
            <a:ext cx="2097621" cy="1452559"/>
          </a:xfrm>
          <a:prstGeom prst="rect">
            <a:avLst/>
          </a:prstGeom>
          <a:noFill/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0</xdr:row>
          <xdr:rowOff>333375</xdr:rowOff>
        </xdr:from>
        <xdr:to>
          <xdr:col>10</xdr:col>
          <xdr:colOff>1247775</xdr:colOff>
          <xdr:row>1</xdr:row>
          <xdr:rowOff>190500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126404</xdr:colOff>
      <xdr:row>16</xdr:row>
      <xdr:rowOff>51505</xdr:rowOff>
    </xdr:from>
    <xdr:to>
      <xdr:col>5</xdr:col>
      <xdr:colOff>2190750</xdr:colOff>
      <xdr:row>26</xdr:row>
      <xdr:rowOff>105122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99813</xdr:colOff>
      <xdr:row>16</xdr:row>
      <xdr:rowOff>51505</xdr:rowOff>
    </xdr:from>
    <xdr:to>
      <xdr:col>7</xdr:col>
      <xdr:colOff>2217965</xdr:colOff>
      <xdr:row>26</xdr:row>
      <xdr:rowOff>105122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122464</xdr:colOff>
      <xdr:row>2</xdr:row>
      <xdr:rowOff>112059</xdr:rowOff>
    </xdr:from>
    <xdr:to>
      <xdr:col>7</xdr:col>
      <xdr:colOff>2217964</xdr:colOff>
      <xdr:row>11</xdr:row>
      <xdr:rowOff>190500</xdr:rowOff>
    </xdr:to>
    <xdr:grpSp>
      <xdr:nvGrpSpPr>
        <xdr:cNvPr id="7" name="Group 6"/>
        <xdr:cNvGrpSpPr/>
      </xdr:nvGrpSpPr>
      <xdr:grpSpPr>
        <a:xfrm>
          <a:off x="7257555" y="1358968"/>
          <a:ext cx="4381500" cy="1948805"/>
          <a:chOff x="8696468" y="773206"/>
          <a:chExt cx="2110046" cy="1479146"/>
        </a:xfrm>
      </xdr:grpSpPr>
      <xdr:cxnSp macro="">
        <xdr:nvCxnSpPr>
          <xdr:cNvPr id="197" name="Straight Arrow Connector 196"/>
          <xdr:cNvCxnSpPr/>
        </xdr:nvCxnSpPr>
        <xdr:spPr>
          <a:xfrm flipV="1">
            <a:off x="9237625" y="1435145"/>
            <a:ext cx="0" cy="415478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" name="Straight Arrow Connector 197"/>
          <xdr:cNvCxnSpPr/>
        </xdr:nvCxnSpPr>
        <xdr:spPr>
          <a:xfrm>
            <a:off x="9829317" y="1362544"/>
            <a:ext cx="329259" cy="0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Straight Arrow Connector 198"/>
          <xdr:cNvCxnSpPr>
            <a:stCxn id="249" idx="2"/>
            <a:endCxn id="254" idx="3"/>
          </xdr:cNvCxnSpPr>
        </xdr:nvCxnSpPr>
        <xdr:spPr>
          <a:xfrm flipH="1">
            <a:off x="9597142" y="1928939"/>
            <a:ext cx="252867" cy="9639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Straight Arrow Connector 199"/>
          <xdr:cNvCxnSpPr/>
        </xdr:nvCxnSpPr>
        <xdr:spPr>
          <a:xfrm flipV="1">
            <a:off x="9486884" y="1448696"/>
            <a:ext cx="0" cy="521037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201" name="Group 200"/>
          <xdr:cNvGrpSpPr/>
        </xdr:nvGrpSpPr>
        <xdr:grpSpPr>
          <a:xfrm>
            <a:off x="8964826" y="1591258"/>
            <a:ext cx="632316" cy="406112"/>
            <a:chOff x="1351294" y="1398395"/>
            <a:chExt cx="703384" cy="490905"/>
          </a:xfrm>
        </xdr:grpSpPr>
        <xdr:grpSp>
          <xdr:nvGrpSpPr>
            <xdr:cNvPr id="251" name="Group 250"/>
            <xdr:cNvGrpSpPr/>
          </xdr:nvGrpSpPr>
          <xdr:grpSpPr>
            <a:xfrm>
              <a:off x="1351294" y="1398395"/>
              <a:ext cx="703384" cy="490905"/>
              <a:chOff x="3319096" y="454269"/>
              <a:chExt cx="1524000" cy="1025769"/>
            </a:xfrm>
          </xdr:grpSpPr>
          <xdr:sp macro="" textlink="">
            <xdr:nvSpPr>
              <xdr:cNvPr id="253" name="Right Triangle 252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4" name="Rectangle 253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5" name="Rectangle 254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252" name="TextBox 251"/>
            <xdr:cNvSpPr txBox="1"/>
          </xdr:nvSpPr>
          <xdr:spPr>
            <a:xfrm>
              <a:off x="1420413" y="1613946"/>
              <a:ext cx="606870" cy="23926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HRSG</a:t>
              </a:r>
            </a:p>
          </xdr:txBody>
        </xdr:sp>
      </xdr:grpSp>
      <xdr:grpSp>
        <xdr:nvGrpSpPr>
          <xdr:cNvPr id="202" name="Group 201"/>
          <xdr:cNvGrpSpPr/>
        </xdr:nvGrpSpPr>
        <xdr:grpSpPr>
          <a:xfrm>
            <a:off x="9850009" y="1724849"/>
            <a:ext cx="791708" cy="401591"/>
            <a:chOff x="2463940" y="1560322"/>
            <a:chExt cx="861960" cy="481379"/>
          </a:xfrm>
        </xdr:grpSpPr>
        <xdr:grpSp>
          <xdr:nvGrpSpPr>
            <xdr:cNvPr id="246" name="Group 245"/>
            <xdr:cNvGrpSpPr/>
          </xdr:nvGrpSpPr>
          <xdr:grpSpPr>
            <a:xfrm flipH="1">
              <a:off x="2463940" y="1560322"/>
              <a:ext cx="861960" cy="481379"/>
              <a:chOff x="2905125" y="1041156"/>
              <a:chExt cx="1035294" cy="481379"/>
            </a:xfrm>
          </xdr:grpSpPr>
          <xdr:sp macro="" textlink="">
            <xdr:nvSpPr>
              <xdr:cNvPr id="248" name="Trapezoid 247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chemeClr val="tx2">
                  <a:lumMod val="40000"/>
                  <a:lumOff val="60000"/>
                </a:schemeClr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49" name="Trapezoid 248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0" name="Rectangle 249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247" name="TextBox 246"/>
            <xdr:cNvSpPr txBox="1"/>
          </xdr:nvSpPr>
          <xdr:spPr>
            <a:xfrm>
              <a:off x="2469931" y="1646789"/>
              <a:ext cx="568288" cy="3589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GT</a:t>
              </a:r>
            </a:p>
          </xdr:txBody>
        </xdr:sp>
      </xdr:grpSp>
      <xdr:sp macro="" textlink="">
        <xdr:nvSpPr>
          <xdr:cNvPr id="203" name="Trapezoid 202"/>
          <xdr:cNvSpPr/>
        </xdr:nvSpPr>
        <xdr:spPr>
          <a:xfrm rot="16200000" flipH="1">
            <a:off x="9537827" y="1154742"/>
            <a:ext cx="323552" cy="426395"/>
          </a:xfrm>
          <a:prstGeom prst="trapezoid">
            <a:avLst/>
          </a:prstGeom>
          <a:solidFill>
            <a:srgbClr val="92D050"/>
          </a:solidFill>
          <a:ln w="1270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4" name="TextBox 203"/>
          <xdr:cNvSpPr txBox="1"/>
        </xdr:nvSpPr>
        <xdr:spPr>
          <a:xfrm>
            <a:off x="9483276" y="1252375"/>
            <a:ext cx="732063" cy="2370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BP ST</a:t>
            </a:r>
          </a:p>
        </xdr:txBody>
      </xdr:sp>
      <xdr:sp macro="" textlink="">
        <xdr:nvSpPr>
          <xdr:cNvPr id="205" name="Rectangle 204"/>
          <xdr:cNvSpPr/>
        </xdr:nvSpPr>
        <xdr:spPr>
          <a:xfrm>
            <a:off x="8696468" y="773206"/>
            <a:ext cx="2110046" cy="1479146"/>
          </a:xfrm>
          <a:prstGeom prst="rect">
            <a:avLst/>
          </a:prstGeom>
          <a:noFill/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06" name="Straight Arrow Connector 205"/>
          <xdr:cNvCxnSpPr/>
        </xdr:nvCxnSpPr>
        <xdr:spPr>
          <a:xfrm flipV="1">
            <a:off x="10145288" y="1091980"/>
            <a:ext cx="0" cy="274560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7" name="Straight Arrow Connector 206"/>
          <xdr:cNvCxnSpPr/>
        </xdr:nvCxnSpPr>
        <xdr:spPr>
          <a:xfrm flipH="1">
            <a:off x="9171954" y="1089409"/>
            <a:ext cx="979066" cy="0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8" name="Straight Arrow Connector 207"/>
          <xdr:cNvCxnSpPr/>
        </xdr:nvCxnSpPr>
        <xdr:spPr>
          <a:xfrm flipH="1">
            <a:off x="8982923" y="1427047"/>
            <a:ext cx="261694" cy="0"/>
          </a:xfrm>
          <a:prstGeom prst="straightConnector1">
            <a:avLst/>
          </a:prstGeom>
          <a:ln w="12700">
            <a:solidFill>
              <a:schemeClr val="accent6">
                <a:lumMod val="75000"/>
              </a:schemeClr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102380</xdr:colOff>
      <xdr:row>2</xdr:row>
      <xdr:rowOff>112059</xdr:rowOff>
    </xdr:from>
    <xdr:to>
      <xdr:col>5</xdr:col>
      <xdr:colOff>2163536</xdr:colOff>
      <xdr:row>11</xdr:row>
      <xdr:rowOff>190500</xdr:rowOff>
    </xdr:to>
    <xdr:grpSp>
      <xdr:nvGrpSpPr>
        <xdr:cNvPr id="9" name="Group 8"/>
        <xdr:cNvGrpSpPr/>
      </xdr:nvGrpSpPr>
      <xdr:grpSpPr>
        <a:xfrm>
          <a:off x="2665471" y="1358968"/>
          <a:ext cx="4347156" cy="1948805"/>
          <a:chOff x="4046851" y="773206"/>
          <a:chExt cx="2103986" cy="1450571"/>
        </a:xfrm>
      </xdr:grpSpPr>
      <xdr:grpSp>
        <xdr:nvGrpSpPr>
          <xdr:cNvPr id="209" name="Group 208"/>
          <xdr:cNvGrpSpPr/>
        </xdr:nvGrpSpPr>
        <xdr:grpSpPr>
          <a:xfrm>
            <a:off x="4222454" y="939796"/>
            <a:ext cx="1863284" cy="1203144"/>
            <a:chOff x="2788534" y="1149276"/>
            <a:chExt cx="1680155" cy="976566"/>
          </a:xfrm>
        </xdr:grpSpPr>
        <xdr:cxnSp macro="">
          <xdr:nvCxnSpPr>
            <xdr:cNvPr id="228" name="Straight Arrow Connector 227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" name="Straight Arrow Connector 228"/>
            <xdr:cNvCxnSpPr>
              <a:stCxn id="241" idx="2"/>
              <a:endCxn id="244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0" name="Straight Arrow Connector 229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231" name="Group 230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243" name="Right Triangle 242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44" name="Rectangle 243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45" name="Rectangle 244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232" name="TextBox 231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HRSG</a:t>
              </a:r>
            </a:p>
          </xdr:txBody>
        </xdr:sp>
        <xdr:grpSp>
          <xdr:nvGrpSpPr>
            <xdr:cNvPr id="233" name="Group 232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240" name="Trapezoid 239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chemeClr val="tx2">
                  <a:lumMod val="40000"/>
                  <a:lumOff val="60000"/>
                </a:schemeClr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41" name="Trapezoid 240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42" name="Rectangle 241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234" name="TextBox 233"/>
            <xdr:cNvSpPr txBox="1"/>
          </xdr:nvSpPr>
          <xdr:spPr>
            <a:xfrm>
              <a:off x="3680283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GT</a:t>
              </a:r>
            </a:p>
          </xdr:txBody>
        </xdr:sp>
        <xdr:cxnSp macro="">
          <xdr:nvCxnSpPr>
            <xdr:cNvPr id="235" name="Straight Arrow Connector 234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" name="Straight Arrow Connector 235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7" name="Trapezoid 236"/>
            <xdr:cNvSpPr/>
          </xdr:nvSpPr>
          <xdr:spPr>
            <a:xfrm rot="16200000" flipH="1">
              <a:off x="3466045" y="1009115"/>
              <a:ext cx="352448" cy="676149"/>
            </a:xfrm>
            <a:prstGeom prst="trapezoid">
              <a:avLst/>
            </a:prstGeom>
            <a:solidFill>
              <a:schemeClr val="tx2">
                <a:lumMod val="40000"/>
                <a:lumOff val="60000"/>
              </a:schemeClr>
            </a:solidFill>
            <a:ln w="1270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38" name="Straight Arrow Connector 237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9" name="TextBox 238"/>
            <xdr:cNvSpPr txBox="1"/>
          </xdr:nvSpPr>
          <xdr:spPr>
            <a:xfrm>
              <a:off x="3418271" y="1242962"/>
              <a:ext cx="621775" cy="2793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C&amp;E ST</a:t>
              </a:r>
            </a:p>
          </xdr:txBody>
        </xdr:sp>
      </xdr:grpSp>
      <xdr:sp macro="" textlink="">
        <xdr:nvSpPr>
          <xdr:cNvPr id="210" name="Rectangle 209"/>
          <xdr:cNvSpPr/>
        </xdr:nvSpPr>
        <xdr:spPr>
          <a:xfrm>
            <a:off x="4046851" y="773206"/>
            <a:ext cx="2103986" cy="1450571"/>
          </a:xfrm>
          <a:prstGeom prst="rect">
            <a:avLst/>
          </a:prstGeom>
          <a:noFill/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63211</xdr:colOff>
          <xdr:row>0</xdr:row>
          <xdr:rowOff>104775</xdr:rowOff>
        </xdr:from>
        <xdr:to>
          <xdr:col>9</xdr:col>
          <xdr:colOff>1228725</xdr:colOff>
          <xdr:row>1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116757</xdr:colOff>
      <xdr:row>16</xdr:row>
      <xdr:rowOff>29049</xdr:rowOff>
    </xdr:from>
    <xdr:to>
      <xdr:col>5</xdr:col>
      <xdr:colOff>2204357</xdr:colOff>
      <xdr:row>26</xdr:row>
      <xdr:rowOff>82666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79180</xdr:colOff>
      <xdr:row>16</xdr:row>
      <xdr:rowOff>32763</xdr:rowOff>
    </xdr:from>
    <xdr:to>
      <xdr:col>7</xdr:col>
      <xdr:colOff>2190750</xdr:colOff>
      <xdr:row>26</xdr:row>
      <xdr:rowOff>86380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78442</xdr:colOff>
      <xdr:row>2</xdr:row>
      <xdr:rowOff>134471</xdr:rowOff>
    </xdr:from>
    <xdr:to>
      <xdr:col>7</xdr:col>
      <xdr:colOff>2189793</xdr:colOff>
      <xdr:row>11</xdr:row>
      <xdr:rowOff>190500</xdr:rowOff>
    </xdr:to>
    <xdr:grpSp>
      <xdr:nvGrpSpPr>
        <xdr:cNvPr id="5" name="Group 4"/>
        <xdr:cNvGrpSpPr/>
      </xdr:nvGrpSpPr>
      <xdr:grpSpPr>
        <a:xfrm>
          <a:off x="2641533" y="1381380"/>
          <a:ext cx="8969351" cy="1926393"/>
          <a:chOff x="134471" y="6813176"/>
          <a:chExt cx="8844608" cy="1481002"/>
        </a:xfrm>
      </xdr:grpSpPr>
      <xdr:grpSp>
        <xdr:nvGrpSpPr>
          <xdr:cNvPr id="364" name="Group 363"/>
          <xdr:cNvGrpSpPr/>
        </xdr:nvGrpSpPr>
        <xdr:grpSpPr>
          <a:xfrm>
            <a:off x="351256" y="7152233"/>
            <a:ext cx="1684237" cy="968745"/>
            <a:chOff x="2788534" y="1149276"/>
            <a:chExt cx="1680155" cy="976566"/>
          </a:xfrm>
        </xdr:grpSpPr>
        <xdr:cxnSp macro="">
          <xdr:nvCxnSpPr>
            <xdr:cNvPr id="365" name="Straight Arrow Connector 364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headEnd type="none" w="med" len="med"/>
              <a:tailEnd type="none" w="med" len="med"/>
            </a:ln>
            <a:effectLst/>
          </xdr:spPr>
        </xdr:cxnSp>
        <xdr:cxnSp macro="">
          <xdr:nvCxnSpPr>
            <xdr:cNvPr id="366" name="Straight Arrow Connector 365"/>
            <xdr:cNvCxnSpPr>
              <a:stCxn id="378" idx="2"/>
              <a:endCxn id="381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  <xdr:cxnSp macro="">
          <xdr:nvCxnSpPr>
            <xdr:cNvPr id="367" name="Straight Arrow Connector 366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  <xdr:grpSp>
          <xdr:nvGrpSpPr>
            <xdr:cNvPr id="368" name="Group 367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380" name="Right Triangle 379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rgbClr val="EEECE1">
                  <a:lumMod val="75000"/>
                </a:srgb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381" name="Rectangle 380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rgbClr val="EEECE1">
                  <a:lumMod val="75000"/>
                </a:srgb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382" name="Rectangle 381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rgbClr val="EEECE1">
                  <a:lumMod val="75000"/>
                </a:srgb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369" name="TextBox 368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HRSG</a:t>
              </a:r>
            </a:p>
          </xdr:txBody>
        </xdr:sp>
        <xdr:grpSp>
          <xdr:nvGrpSpPr>
            <xdr:cNvPr id="370" name="Group 369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377" name="Trapezoid 376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rgbClr val="1F497D">
                  <a:lumMod val="40000"/>
                  <a:lumOff val="60000"/>
                </a:srgbClr>
              </a:solidFill>
              <a:ln w="12700" cap="flat" cmpd="sng" algn="ctr">
                <a:solidFill>
                  <a:sysClr val="windowText" lastClr="000000">
                    <a:lumMod val="65000"/>
                    <a:lumOff val="35000"/>
                  </a:sys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378" name="Trapezoid 377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 cap="flat" cmpd="sng" algn="ctr">
                <a:solidFill>
                  <a:sysClr val="windowText" lastClr="000000">
                    <a:lumMod val="65000"/>
                    <a:lumOff val="35000"/>
                  </a:sys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379" name="Rectangle 378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 cap="flat" cmpd="sng" algn="ctr">
                <a:solidFill>
                  <a:sysClr val="windowText" lastClr="000000">
                    <a:lumMod val="65000"/>
                    <a:lumOff val="35000"/>
                  </a:sys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371" name="TextBox 370"/>
            <xdr:cNvSpPr txBox="1"/>
          </xdr:nvSpPr>
          <xdr:spPr>
            <a:xfrm>
              <a:off x="3680283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GT</a:t>
              </a:r>
            </a:p>
          </xdr:txBody>
        </xdr:sp>
        <xdr:cxnSp macro="">
          <xdr:nvCxnSpPr>
            <xdr:cNvPr id="372" name="Straight Arrow Connector 371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headEnd type="none" w="med" len="med"/>
              <a:tailEnd type="none" w="med" len="med"/>
            </a:ln>
            <a:effectLst/>
          </xdr:spPr>
        </xdr:cxnSp>
        <xdr:cxnSp macro="">
          <xdr:nvCxnSpPr>
            <xdr:cNvPr id="373" name="Straight Arrow Connector 372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  <xdr:sp macro="" textlink="">
          <xdr:nvSpPr>
            <xdr:cNvPr id="374" name="Trapezoid 373"/>
            <xdr:cNvSpPr/>
          </xdr:nvSpPr>
          <xdr:spPr>
            <a:xfrm rot="16200000" flipH="1">
              <a:off x="3513129" y="969711"/>
              <a:ext cx="355585" cy="773455"/>
            </a:xfrm>
            <a:prstGeom prst="trapezoid">
              <a:avLst/>
            </a:prstGeom>
            <a:solidFill>
              <a:srgbClr val="1F497D">
                <a:lumMod val="40000"/>
                <a:lumOff val="60000"/>
              </a:srgbClr>
            </a:solidFill>
            <a:ln w="12700" cap="flat" cmpd="sng" algn="ctr">
              <a:solidFill>
                <a:sysClr val="windowText" lastClr="000000">
                  <a:lumMod val="65000"/>
                  <a:lumOff val="35000"/>
                </a:sysClr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75" name="TextBox 374"/>
            <xdr:cNvSpPr txBox="1"/>
          </xdr:nvSpPr>
          <xdr:spPr>
            <a:xfrm>
              <a:off x="3396933" y="1226969"/>
              <a:ext cx="737727" cy="205448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C&amp;E ST</a:t>
              </a:r>
            </a:p>
          </xdr:txBody>
        </xdr:sp>
        <xdr:cxnSp macro="">
          <xdr:nvCxnSpPr>
            <xdr:cNvPr id="376" name="Straight Arrow Connector 375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</xdr:grpSp>
      <xdr:sp macro="" textlink="">
        <xdr:nvSpPr>
          <xdr:cNvPr id="383" name="Rectangle 382"/>
          <xdr:cNvSpPr/>
        </xdr:nvSpPr>
        <xdr:spPr>
          <a:xfrm>
            <a:off x="134471" y="6813176"/>
            <a:ext cx="4331153" cy="1464673"/>
          </a:xfrm>
          <a:prstGeom prst="rect">
            <a:avLst/>
          </a:prstGeom>
          <a:noFill/>
          <a:ln w="12700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84" name="Group 383"/>
          <xdr:cNvGrpSpPr/>
        </xdr:nvGrpSpPr>
        <xdr:grpSpPr>
          <a:xfrm flipH="1">
            <a:off x="2596100" y="7135594"/>
            <a:ext cx="1651805" cy="995866"/>
            <a:chOff x="2788534" y="1149276"/>
            <a:chExt cx="1680155" cy="976566"/>
          </a:xfrm>
        </xdr:grpSpPr>
        <xdr:cxnSp macro="">
          <xdr:nvCxnSpPr>
            <xdr:cNvPr id="385" name="Straight Arrow Connector 384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headEnd type="none" w="med" len="med"/>
              <a:tailEnd type="none" w="med" len="med"/>
            </a:ln>
            <a:effectLst/>
          </xdr:spPr>
        </xdr:cxnSp>
        <xdr:cxnSp macro="">
          <xdr:nvCxnSpPr>
            <xdr:cNvPr id="386" name="Straight Arrow Connector 385"/>
            <xdr:cNvCxnSpPr>
              <a:stCxn id="398" idx="2"/>
              <a:endCxn id="401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  <xdr:cxnSp macro="">
          <xdr:nvCxnSpPr>
            <xdr:cNvPr id="387" name="Straight Arrow Connector 386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  <xdr:grpSp>
          <xdr:nvGrpSpPr>
            <xdr:cNvPr id="388" name="Group 387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400" name="Right Triangle 399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rgbClr val="EEECE1">
                  <a:lumMod val="75000"/>
                </a:srgb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01" name="Rectangle 400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rgbClr val="EEECE1">
                  <a:lumMod val="75000"/>
                </a:srgb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02" name="Rectangle 401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rgbClr val="EEECE1">
                  <a:lumMod val="75000"/>
                </a:srgb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389" name="TextBox 388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HRSG</a:t>
              </a:r>
            </a:p>
          </xdr:txBody>
        </xdr:sp>
        <xdr:grpSp>
          <xdr:nvGrpSpPr>
            <xdr:cNvPr id="390" name="Group 389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397" name="Trapezoid 396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rgbClr val="1F497D">
                  <a:lumMod val="40000"/>
                  <a:lumOff val="60000"/>
                </a:srgbClr>
              </a:solidFill>
              <a:ln w="12700" cap="flat" cmpd="sng" algn="ctr">
                <a:solidFill>
                  <a:sysClr val="windowText" lastClr="000000">
                    <a:lumMod val="65000"/>
                    <a:lumOff val="35000"/>
                  </a:sys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398" name="Trapezoid 397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 cap="flat" cmpd="sng" algn="ctr">
                <a:solidFill>
                  <a:sysClr val="windowText" lastClr="000000">
                    <a:lumMod val="65000"/>
                    <a:lumOff val="35000"/>
                  </a:sys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399" name="Rectangle 398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 cap="flat" cmpd="sng" algn="ctr">
                <a:solidFill>
                  <a:sysClr val="windowText" lastClr="000000">
                    <a:lumMod val="65000"/>
                    <a:lumOff val="35000"/>
                  </a:sys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391" name="TextBox 390"/>
            <xdr:cNvSpPr txBox="1"/>
          </xdr:nvSpPr>
          <xdr:spPr>
            <a:xfrm>
              <a:off x="3472682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GT</a:t>
              </a:r>
            </a:p>
          </xdr:txBody>
        </xdr:sp>
        <xdr:cxnSp macro="">
          <xdr:nvCxnSpPr>
            <xdr:cNvPr id="392" name="Straight Arrow Connector 391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headEnd type="none" w="med" len="med"/>
              <a:tailEnd type="none" w="med" len="med"/>
            </a:ln>
            <a:effectLst/>
          </xdr:spPr>
        </xdr:cxnSp>
        <xdr:cxnSp macro="">
          <xdr:nvCxnSpPr>
            <xdr:cNvPr id="393" name="Straight Arrow Connector 392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  <xdr:sp macro="" textlink="">
          <xdr:nvSpPr>
            <xdr:cNvPr id="394" name="Trapezoid 393"/>
            <xdr:cNvSpPr/>
          </xdr:nvSpPr>
          <xdr:spPr>
            <a:xfrm rot="16200000" flipH="1">
              <a:off x="3515408" y="986637"/>
              <a:ext cx="325563" cy="747989"/>
            </a:xfrm>
            <a:prstGeom prst="trapezoid">
              <a:avLst/>
            </a:prstGeom>
            <a:solidFill>
              <a:srgbClr val="1F497D">
                <a:lumMod val="40000"/>
                <a:lumOff val="60000"/>
              </a:srgbClr>
            </a:solidFill>
            <a:ln w="12700" cap="flat" cmpd="sng" algn="ctr">
              <a:solidFill>
                <a:sysClr val="windowText" lastClr="000000">
                  <a:lumMod val="65000"/>
                  <a:lumOff val="35000"/>
                </a:sysClr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5" name="TextBox 394"/>
            <xdr:cNvSpPr txBox="1"/>
          </xdr:nvSpPr>
          <xdr:spPr>
            <a:xfrm>
              <a:off x="3364302" y="1233429"/>
              <a:ext cx="608413" cy="236353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C&amp;E ST</a:t>
              </a:r>
            </a:p>
          </xdr:txBody>
        </xdr:sp>
        <xdr:cxnSp macro="">
          <xdr:nvCxnSpPr>
            <xdr:cNvPr id="396" name="Straight Arrow Connector 395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</xdr:grpSp>
      <xdr:sp macro="" textlink="">
        <xdr:nvSpPr>
          <xdr:cNvPr id="403" name="Rectangle 402"/>
          <xdr:cNvSpPr/>
        </xdr:nvSpPr>
        <xdr:spPr>
          <a:xfrm>
            <a:off x="4646565" y="6829505"/>
            <a:ext cx="4332514" cy="1464673"/>
          </a:xfrm>
          <a:prstGeom prst="rect">
            <a:avLst/>
          </a:prstGeom>
          <a:noFill/>
          <a:ln w="12700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404" name="TextBox 403"/>
          <xdr:cNvSpPr txBox="1"/>
        </xdr:nvSpPr>
        <xdr:spPr>
          <a:xfrm>
            <a:off x="2152410" y="7294621"/>
            <a:ext cx="285750" cy="337458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ysClr val="window" lastClr="FFFFFF">
                    <a:lumMod val="50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+</a:t>
            </a:r>
          </a:p>
        </xdr:txBody>
      </xdr:sp>
      <xdr:sp macro="" textlink="">
        <xdr:nvSpPr>
          <xdr:cNvPr id="405" name="TextBox 404"/>
          <xdr:cNvSpPr txBox="1"/>
        </xdr:nvSpPr>
        <xdr:spPr>
          <a:xfrm>
            <a:off x="6838711" y="7294621"/>
            <a:ext cx="285750" cy="337458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ysClr val="window" lastClr="FFFFFF">
                    <a:lumMod val="50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+</a:t>
            </a:r>
          </a:p>
        </xdr:txBody>
      </xdr:sp>
      <xdr:grpSp>
        <xdr:nvGrpSpPr>
          <xdr:cNvPr id="406" name="Group 405"/>
          <xdr:cNvGrpSpPr/>
        </xdr:nvGrpSpPr>
        <xdr:grpSpPr>
          <a:xfrm>
            <a:off x="4961356" y="7152233"/>
            <a:ext cx="1684237" cy="968745"/>
            <a:chOff x="2788534" y="1149276"/>
            <a:chExt cx="1680155" cy="976566"/>
          </a:xfrm>
        </xdr:grpSpPr>
        <xdr:cxnSp macro="">
          <xdr:nvCxnSpPr>
            <xdr:cNvPr id="407" name="Straight Arrow Connector 406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headEnd type="none" w="med" len="med"/>
              <a:tailEnd type="none" w="med" len="med"/>
            </a:ln>
            <a:effectLst/>
          </xdr:spPr>
        </xdr:cxnSp>
        <xdr:cxnSp macro="">
          <xdr:nvCxnSpPr>
            <xdr:cNvPr id="408" name="Straight Arrow Connector 407"/>
            <xdr:cNvCxnSpPr>
              <a:stCxn id="420" idx="2"/>
              <a:endCxn id="423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  <xdr:cxnSp macro="">
          <xdr:nvCxnSpPr>
            <xdr:cNvPr id="409" name="Straight Arrow Connector 408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  <xdr:grpSp>
          <xdr:nvGrpSpPr>
            <xdr:cNvPr id="410" name="Group 409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422" name="Right Triangle 421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rgbClr val="EEECE1">
                  <a:lumMod val="75000"/>
                </a:srgb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23" name="Rectangle 422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rgbClr val="EEECE1">
                  <a:lumMod val="75000"/>
                </a:srgb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24" name="Rectangle 423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rgbClr val="EEECE1">
                  <a:lumMod val="75000"/>
                </a:srgb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411" name="TextBox 410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HRSG</a:t>
              </a:r>
            </a:p>
          </xdr:txBody>
        </xdr:sp>
        <xdr:grpSp>
          <xdr:nvGrpSpPr>
            <xdr:cNvPr id="412" name="Group 411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419" name="Trapezoid 418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rgbClr val="1F497D">
                  <a:lumMod val="40000"/>
                  <a:lumOff val="60000"/>
                </a:srgbClr>
              </a:solidFill>
              <a:ln w="12700" cap="flat" cmpd="sng" algn="ctr">
                <a:solidFill>
                  <a:sysClr val="windowText" lastClr="000000">
                    <a:lumMod val="65000"/>
                    <a:lumOff val="35000"/>
                  </a:sys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20" name="Trapezoid 419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 cap="flat" cmpd="sng" algn="ctr">
                <a:solidFill>
                  <a:sysClr val="windowText" lastClr="000000">
                    <a:lumMod val="65000"/>
                    <a:lumOff val="35000"/>
                  </a:sys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21" name="Rectangle 420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 cap="flat" cmpd="sng" algn="ctr">
                <a:solidFill>
                  <a:sysClr val="windowText" lastClr="000000">
                    <a:lumMod val="65000"/>
                    <a:lumOff val="35000"/>
                  </a:sys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413" name="TextBox 412"/>
            <xdr:cNvSpPr txBox="1"/>
          </xdr:nvSpPr>
          <xdr:spPr>
            <a:xfrm>
              <a:off x="3680283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GT</a:t>
              </a:r>
            </a:p>
          </xdr:txBody>
        </xdr:sp>
        <xdr:cxnSp macro="">
          <xdr:nvCxnSpPr>
            <xdr:cNvPr id="414" name="Straight Arrow Connector 413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headEnd type="none" w="med" len="med"/>
              <a:tailEnd type="none" w="med" len="med"/>
            </a:ln>
            <a:effectLst/>
          </xdr:spPr>
        </xdr:cxnSp>
        <xdr:cxnSp macro="">
          <xdr:nvCxnSpPr>
            <xdr:cNvPr id="415" name="Straight Arrow Connector 414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  <xdr:sp macro="" textlink="">
          <xdr:nvSpPr>
            <xdr:cNvPr id="416" name="Trapezoid 415"/>
            <xdr:cNvSpPr/>
          </xdr:nvSpPr>
          <xdr:spPr>
            <a:xfrm rot="16200000" flipH="1">
              <a:off x="3513129" y="969711"/>
              <a:ext cx="355585" cy="773455"/>
            </a:xfrm>
            <a:prstGeom prst="trapezoid">
              <a:avLst/>
            </a:prstGeom>
            <a:solidFill>
              <a:srgbClr val="1F497D">
                <a:lumMod val="40000"/>
                <a:lumOff val="60000"/>
              </a:srgbClr>
            </a:solidFill>
            <a:ln w="12700" cap="flat" cmpd="sng" algn="ctr">
              <a:solidFill>
                <a:sysClr val="windowText" lastClr="000000">
                  <a:lumMod val="65000"/>
                  <a:lumOff val="35000"/>
                </a:sysClr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417" name="TextBox 416"/>
            <xdr:cNvSpPr txBox="1"/>
          </xdr:nvSpPr>
          <xdr:spPr>
            <a:xfrm>
              <a:off x="3396933" y="1226969"/>
              <a:ext cx="737727" cy="205448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C&amp;E ST</a:t>
              </a:r>
            </a:p>
          </xdr:txBody>
        </xdr:sp>
        <xdr:cxnSp macro="">
          <xdr:nvCxnSpPr>
            <xdr:cNvPr id="418" name="Straight Arrow Connector 417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</xdr:grpSp>
      <xdr:grpSp>
        <xdr:nvGrpSpPr>
          <xdr:cNvPr id="425" name="Group 424"/>
          <xdr:cNvGrpSpPr/>
        </xdr:nvGrpSpPr>
        <xdr:grpSpPr>
          <a:xfrm flipH="1">
            <a:off x="7158575" y="7135594"/>
            <a:ext cx="1651805" cy="995866"/>
            <a:chOff x="2788534" y="1149276"/>
            <a:chExt cx="1680155" cy="976566"/>
          </a:xfrm>
        </xdr:grpSpPr>
        <xdr:cxnSp macro="">
          <xdr:nvCxnSpPr>
            <xdr:cNvPr id="426" name="Straight Arrow Connector 425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headEnd type="none" w="med" len="med"/>
              <a:tailEnd type="none" w="med" len="med"/>
            </a:ln>
            <a:effectLst/>
          </xdr:spPr>
        </xdr:cxnSp>
        <xdr:cxnSp macro="">
          <xdr:nvCxnSpPr>
            <xdr:cNvPr id="427" name="Straight Arrow Connector 426"/>
            <xdr:cNvCxnSpPr>
              <a:stCxn id="439" idx="2"/>
              <a:endCxn id="442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  <xdr:cxnSp macro="">
          <xdr:nvCxnSpPr>
            <xdr:cNvPr id="428" name="Straight Arrow Connector 427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  <xdr:grpSp>
          <xdr:nvGrpSpPr>
            <xdr:cNvPr id="429" name="Group 428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441" name="Right Triangle 440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rgbClr val="EEECE1">
                  <a:lumMod val="75000"/>
                </a:srgb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42" name="Rectangle 441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rgbClr val="EEECE1">
                  <a:lumMod val="75000"/>
                </a:srgb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43" name="Rectangle 442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rgbClr val="EEECE1">
                  <a:lumMod val="75000"/>
                </a:srgb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430" name="TextBox 429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HRSG</a:t>
              </a:r>
            </a:p>
          </xdr:txBody>
        </xdr:sp>
        <xdr:grpSp>
          <xdr:nvGrpSpPr>
            <xdr:cNvPr id="431" name="Group 430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438" name="Trapezoid 437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rgbClr val="1F497D">
                  <a:lumMod val="40000"/>
                  <a:lumOff val="60000"/>
                </a:srgbClr>
              </a:solidFill>
              <a:ln w="12700" cap="flat" cmpd="sng" algn="ctr">
                <a:solidFill>
                  <a:sysClr val="windowText" lastClr="000000">
                    <a:lumMod val="65000"/>
                    <a:lumOff val="35000"/>
                  </a:sys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39" name="Trapezoid 438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 cap="flat" cmpd="sng" algn="ctr">
                <a:solidFill>
                  <a:sysClr val="windowText" lastClr="000000">
                    <a:lumMod val="65000"/>
                    <a:lumOff val="35000"/>
                  </a:sys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40" name="Rectangle 439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 cap="flat" cmpd="sng" algn="ctr">
                <a:solidFill>
                  <a:sysClr val="windowText" lastClr="000000">
                    <a:lumMod val="65000"/>
                    <a:lumOff val="35000"/>
                  </a:sys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432" name="TextBox 431"/>
            <xdr:cNvSpPr txBox="1"/>
          </xdr:nvSpPr>
          <xdr:spPr>
            <a:xfrm>
              <a:off x="3472682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GT</a:t>
              </a:r>
            </a:p>
          </xdr:txBody>
        </xdr:sp>
        <xdr:cxnSp macro="">
          <xdr:nvCxnSpPr>
            <xdr:cNvPr id="433" name="Straight Arrow Connector 432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headEnd type="none" w="med" len="med"/>
              <a:tailEnd type="none" w="med" len="med"/>
            </a:ln>
            <a:effectLst/>
          </xdr:spPr>
        </xdr:cxnSp>
        <xdr:cxnSp macro="">
          <xdr:nvCxnSpPr>
            <xdr:cNvPr id="434" name="Straight Arrow Connector 433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  <xdr:sp macro="" textlink="">
          <xdr:nvSpPr>
            <xdr:cNvPr id="435" name="Trapezoid 434"/>
            <xdr:cNvSpPr/>
          </xdr:nvSpPr>
          <xdr:spPr>
            <a:xfrm rot="16200000" flipH="1">
              <a:off x="3515408" y="986637"/>
              <a:ext cx="325563" cy="747989"/>
            </a:xfrm>
            <a:prstGeom prst="trapezoid">
              <a:avLst/>
            </a:prstGeom>
            <a:solidFill>
              <a:srgbClr val="92D050"/>
            </a:solidFill>
            <a:ln w="12700" cap="flat" cmpd="sng" algn="ctr">
              <a:solidFill>
                <a:sysClr val="windowText" lastClr="000000">
                  <a:lumMod val="65000"/>
                  <a:lumOff val="35000"/>
                </a:sysClr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436" name="TextBox 435"/>
            <xdr:cNvSpPr txBox="1"/>
          </xdr:nvSpPr>
          <xdr:spPr>
            <a:xfrm>
              <a:off x="3364302" y="1233429"/>
              <a:ext cx="608413" cy="236353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BP ST</a:t>
              </a:r>
            </a:p>
          </xdr:txBody>
        </xdr:sp>
        <xdr:cxnSp macro="">
          <xdr:nvCxnSpPr>
            <xdr:cNvPr id="437" name="Straight Arrow Connector 436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noFill/>
            <a:ln w="12700" cap="flat" cmpd="sng" algn="ctr">
              <a:solidFill>
                <a:srgbClr val="F79646">
                  <a:lumMod val="75000"/>
                </a:srgbClr>
              </a:solidFill>
              <a:prstDash val="solid"/>
              <a:tailEnd type="arrow"/>
            </a:ln>
            <a:effectLst/>
          </xdr:spPr>
        </xdr:cxn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0</xdr:row>
          <xdr:rowOff>95250</xdr:rowOff>
        </xdr:from>
        <xdr:to>
          <xdr:col>9</xdr:col>
          <xdr:colOff>1371600</xdr:colOff>
          <xdr:row>0</xdr:row>
          <xdr:rowOff>523875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38314</xdr:colOff>
      <xdr:row>16</xdr:row>
      <xdr:rowOff>107982</xdr:rowOff>
    </xdr:from>
    <xdr:to>
      <xdr:col>5</xdr:col>
      <xdr:colOff>2083856</xdr:colOff>
      <xdr:row>26</xdr:row>
      <xdr:rowOff>103532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48691</xdr:colOff>
      <xdr:row>16</xdr:row>
      <xdr:rowOff>116002</xdr:rowOff>
    </xdr:from>
    <xdr:to>
      <xdr:col>7</xdr:col>
      <xdr:colOff>2103650</xdr:colOff>
      <xdr:row>26</xdr:row>
      <xdr:rowOff>111552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88774</xdr:colOff>
      <xdr:row>2</xdr:row>
      <xdr:rowOff>121650</xdr:rowOff>
    </xdr:from>
    <xdr:to>
      <xdr:col>5</xdr:col>
      <xdr:colOff>2117912</xdr:colOff>
      <xdr:row>11</xdr:row>
      <xdr:rowOff>123264</xdr:rowOff>
    </xdr:to>
    <xdr:grpSp>
      <xdr:nvGrpSpPr>
        <xdr:cNvPr id="4" name="Group 3"/>
        <xdr:cNvGrpSpPr/>
      </xdr:nvGrpSpPr>
      <xdr:grpSpPr>
        <a:xfrm>
          <a:off x="2701345" y="1373507"/>
          <a:ext cx="4315138" cy="1838578"/>
          <a:chOff x="1881714" y="760386"/>
          <a:chExt cx="4332019" cy="1475268"/>
        </a:xfrm>
      </xdr:grpSpPr>
      <xdr:grpSp>
        <xdr:nvGrpSpPr>
          <xdr:cNvPr id="5" name="Group 4"/>
          <xdr:cNvGrpSpPr/>
        </xdr:nvGrpSpPr>
        <xdr:grpSpPr>
          <a:xfrm>
            <a:off x="2098499" y="1099690"/>
            <a:ext cx="1685103" cy="975731"/>
            <a:chOff x="2788534" y="1149276"/>
            <a:chExt cx="1680155" cy="976566"/>
          </a:xfrm>
        </xdr:grpSpPr>
        <xdr:cxnSp macro="">
          <xdr:nvCxnSpPr>
            <xdr:cNvPr id="27" name="Straight Arrow Connector 26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" name="Straight Arrow Connector 27"/>
            <xdr:cNvCxnSpPr>
              <a:stCxn id="40" idx="2"/>
              <a:endCxn id="43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" name="Straight Arrow Connector 28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30" name="Group 29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42" name="Right Triangle 41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43" name="Rectangle 42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44" name="Rectangle 43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31" name="TextBox 30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HRSG</a:t>
              </a:r>
            </a:p>
          </xdr:txBody>
        </xdr:sp>
        <xdr:grpSp>
          <xdr:nvGrpSpPr>
            <xdr:cNvPr id="32" name="Group 31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39" name="Trapezoid 38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chemeClr val="tx2">
                  <a:lumMod val="40000"/>
                  <a:lumOff val="60000"/>
                </a:schemeClr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40" name="Trapezoid 39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41" name="Rectangle 40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33" name="TextBox 32"/>
            <xdr:cNvSpPr txBox="1"/>
          </xdr:nvSpPr>
          <xdr:spPr>
            <a:xfrm>
              <a:off x="3680283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GT</a:t>
              </a:r>
            </a:p>
          </xdr:txBody>
        </xdr:sp>
        <xdr:cxnSp macro="">
          <xdr:nvCxnSpPr>
            <xdr:cNvPr id="34" name="Straight Arrow Connector 33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" name="Straight Arrow Connector 34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6" name="Trapezoid 35"/>
            <xdr:cNvSpPr/>
          </xdr:nvSpPr>
          <xdr:spPr>
            <a:xfrm rot="16200000" flipH="1">
              <a:off x="3513129" y="969711"/>
              <a:ext cx="355585" cy="773455"/>
            </a:xfrm>
            <a:prstGeom prst="trapezoid">
              <a:avLst/>
            </a:prstGeom>
            <a:solidFill>
              <a:schemeClr val="tx2">
                <a:lumMod val="40000"/>
                <a:lumOff val="60000"/>
              </a:schemeClr>
            </a:solidFill>
            <a:ln w="1270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7" name="TextBox 36"/>
            <xdr:cNvSpPr txBox="1"/>
          </xdr:nvSpPr>
          <xdr:spPr>
            <a:xfrm>
              <a:off x="3396933" y="1226969"/>
              <a:ext cx="737727" cy="2054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C&amp;E ST</a:t>
              </a:r>
            </a:p>
          </xdr:txBody>
        </xdr:sp>
        <xdr:cxnSp macro="">
          <xdr:nvCxnSpPr>
            <xdr:cNvPr id="38" name="Straight Arrow Connector 37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" name="Rectangle 5" descr="42aa9864-01f7-444d-86c7-cb776bf17011"/>
          <xdr:cNvSpPr/>
        </xdr:nvSpPr>
        <xdr:spPr>
          <a:xfrm>
            <a:off x="1881714" y="760386"/>
            <a:ext cx="4332019" cy="1475268"/>
          </a:xfrm>
          <a:prstGeom prst="rect">
            <a:avLst/>
          </a:prstGeom>
          <a:noFill/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7" name="Group 6"/>
          <xdr:cNvGrpSpPr/>
        </xdr:nvGrpSpPr>
        <xdr:grpSpPr>
          <a:xfrm flipH="1">
            <a:off x="4344209" y="1079340"/>
            <a:ext cx="1651805" cy="1006563"/>
            <a:chOff x="2788534" y="1149276"/>
            <a:chExt cx="1680155" cy="976566"/>
          </a:xfrm>
        </xdr:grpSpPr>
        <xdr:cxnSp macro="">
          <xdr:nvCxnSpPr>
            <xdr:cNvPr id="9" name="Straight Arrow Connector 8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Straight Arrow Connector 9"/>
            <xdr:cNvCxnSpPr>
              <a:stCxn id="22" idx="2"/>
              <a:endCxn id="25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" name="Straight Arrow Connector 10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2" name="Group 11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24" name="Right Triangle 23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" name="Rectangle 24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6" name="Rectangle 25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3" name="TextBox 12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HRSG</a:t>
              </a:r>
            </a:p>
          </xdr:txBody>
        </xdr:sp>
        <xdr:grpSp>
          <xdr:nvGrpSpPr>
            <xdr:cNvPr id="14" name="Group 13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21" name="Trapezoid 20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chemeClr val="tx2">
                  <a:lumMod val="40000"/>
                  <a:lumOff val="60000"/>
                </a:schemeClr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2" name="Trapezoid 21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3" name="Rectangle 22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5" name="TextBox 14"/>
            <xdr:cNvSpPr txBox="1"/>
          </xdr:nvSpPr>
          <xdr:spPr>
            <a:xfrm>
              <a:off x="3472682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GT</a:t>
              </a:r>
            </a:p>
          </xdr:txBody>
        </xdr:sp>
        <xdr:cxnSp macro="">
          <xdr:nvCxnSpPr>
            <xdr:cNvPr id="16" name="Straight Arrow Connector 15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" name="Straight Arrow Connector 16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8" name="Trapezoid 17"/>
            <xdr:cNvSpPr/>
          </xdr:nvSpPr>
          <xdr:spPr>
            <a:xfrm rot="16200000" flipH="1">
              <a:off x="3515408" y="986637"/>
              <a:ext cx="325563" cy="747989"/>
            </a:xfrm>
            <a:prstGeom prst="trapezoid">
              <a:avLst/>
            </a:prstGeom>
            <a:solidFill>
              <a:schemeClr val="tx2">
                <a:lumMod val="40000"/>
                <a:lumOff val="60000"/>
              </a:schemeClr>
            </a:solidFill>
            <a:ln w="1270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9" name="TextBox 18"/>
            <xdr:cNvSpPr txBox="1"/>
          </xdr:nvSpPr>
          <xdr:spPr>
            <a:xfrm>
              <a:off x="3364302" y="1233429"/>
              <a:ext cx="608413" cy="2363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C&amp;E ST</a:t>
              </a:r>
            </a:p>
          </xdr:txBody>
        </xdr:sp>
        <xdr:cxnSp macro="">
          <xdr:nvCxnSpPr>
            <xdr:cNvPr id="20" name="Straight Arrow Connector 19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" name="TextBox 7"/>
          <xdr:cNvSpPr txBox="1"/>
        </xdr:nvSpPr>
        <xdr:spPr>
          <a:xfrm>
            <a:off x="3900519" y="1236635"/>
            <a:ext cx="285750" cy="343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+</a:t>
            </a:r>
          </a:p>
        </xdr:txBody>
      </xdr:sp>
    </xdr:grpSp>
    <xdr:clientData/>
  </xdr:twoCellAnchor>
  <xdr:twoCellAnchor>
    <xdr:from>
      <xdr:col>6</xdr:col>
      <xdr:colOff>98698</xdr:colOff>
      <xdr:row>2</xdr:row>
      <xdr:rowOff>137978</xdr:rowOff>
    </xdr:from>
    <xdr:to>
      <xdr:col>7</xdr:col>
      <xdr:colOff>2148473</xdr:colOff>
      <xdr:row>11</xdr:row>
      <xdr:rowOff>134469</xdr:rowOff>
    </xdr:to>
    <xdr:grpSp>
      <xdr:nvGrpSpPr>
        <xdr:cNvPr id="45" name="Group 44"/>
        <xdr:cNvGrpSpPr/>
      </xdr:nvGrpSpPr>
      <xdr:grpSpPr>
        <a:xfrm>
          <a:off x="7283269" y="1389835"/>
          <a:ext cx="4335775" cy="1833455"/>
          <a:chOff x="6497257" y="776715"/>
          <a:chExt cx="4335775" cy="1475268"/>
        </a:xfrm>
      </xdr:grpSpPr>
      <xdr:sp macro="" textlink="">
        <xdr:nvSpPr>
          <xdr:cNvPr id="46" name="Rectangle 45" descr="5a4d534f-258f-424a-98d4-d0cd54bc27cf"/>
          <xdr:cNvSpPr/>
        </xdr:nvSpPr>
        <xdr:spPr>
          <a:xfrm>
            <a:off x="6497257" y="776715"/>
            <a:ext cx="4335775" cy="1475268"/>
          </a:xfrm>
          <a:prstGeom prst="rect">
            <a:avLst/>
          </a:prstGeom>
          <a:noFill/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TextBox 46"/>
          <xdr:cNvSpPr txBox="1"/>
        </xdr:nvSpPr>
        <xdr:spPr>
          <a:xfrm>
            <a:off x="8602407" y="1236635"/>
            <a:ext cx="285750" cy="343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+</a:t>
            </a:r>
          </a:p>
        </xdr:txBody>
      </xdr:sp>
      <xdr:grpSp>
        <xdr:nvGrpSpPr>
          <xdr:cNvPr id="48" name="Group 47"/>
          <xdr:cNvGrpSpPr/>
        </xdr:nvGrpSpPr>
        <xdr:grpSpPr>
          <a:xfrm>
            <a:off x="6718124" y="1099690"/>
            <a:ext cx="1691165" cy="975731"/>
            <a:chOff x="2788534" y="1149276"/>
            <a:chExt cx="1680155" cy="976566"/>
          </a:xfrm>
        </xdr:grpSpPr>
        <xdr:cxnSp macro="">
          <xdr:nvCxnSpPr>
            <xdr:cNvPr id="68" name="Straight Arrow Connector 67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" name="Straight Arrow Connector 68"/>
            <xdr:cNvCxnSpPr>
              <a:stCxn id="81" idx="2"/>
              <a:endCxn id="84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" name="Straight Arrow Connector 69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71" name="Group 70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83" name="Right Triangle 82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84" name="Rectangle 83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85" name="Rectangle 84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72" name="TextBox 71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HRSG</a:t>
              </a:r>
            </a:p>
          </xdr:txBody>
        </xdr:sp>
        <xdr:grpSp>
          <xdr:nvGrpSpPr>
            <xdr:cNvPr id="73" name="Group 72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80" name="Trapezoid 79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chemeClr val="tx2">
                  <a:lumMod val="40000"/>
                  <a:lumOff val="60000"/>
                </a:schemeClr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81" name="Trapezoid 80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82" name="Rectangle 81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74" name="TextBox 73"/>
            <xdr:cNvSpPr txBox="1"/>
          </xdr:nvSpPr>
          <xdr:spPr>
            <a:xfrm>
              <a:off x="3680283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GT</a:t>
              </a:r>
            </a:p>
          </xdr:txBody>
        </xdr:sp>
        <xdr:cxnSp macro="">
          <xdr:nvCxnSpPr>
            <xdr:cNvPr id="75" name="Straight Arrow Connector 74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6" name="Straight Arrow Connector 75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7" name="Trapezoid 76"/>
            <xdr:cNvSpPr/>
          </xdr:nvSpPr>
          <xdr:spPr>
            <a:xfrm rot="16200000" flipH="1">
              <a:off x="3513129" y="969711"/>
              <a:ext cx="355585" cy="773455"/>
            </a:xfrm>
            <a:prstGeom prst="trapezoid">
              <a:avLst/>
            </a:prstGeom>
            <a:solidFill>
              <a:schemeClr val="tx2">
                <a:lumMod val="40000"/>
                <a:lumOff val="60000"/>
              </a:schemeClr>
            </a:solidFill>
            <a:ln w="1270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8" name="TextBox 77"/>
            <xdr:cNvSpPr txBox="1"/>
          </xdr:nvSpPr>
          <xdr:spPr>
            <a:xfrm>
              <a:off x="3396933" y="1226969"/>
              <a:ext cx="737727" cy="2054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C&amp;E ST</a:t>
              </a:r>
            </a:p>
          </xdr:txBody>
        </xdr:sp>
        <xdr:cxnSp macro="">
          <xdr:nvCxnSpPr>
            <xdr:cNvPr id="79" name="Straight Arrow Connector 78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9" name="Group 48"/>
          <xdr:cNvGrpSpPr/>
        </xdr:nvGrpSpPr>
        <xdr:grpSpPr>
          <a:xfrm flipH="1">
            <a:off x="8922271" y="1079340"/>
            <a:ext cx="1651805" cy="1006563"/>
            <a:chOff x="2788534" y="1149276"/>
            <a:chExt cx="1680155" cy="976566"/>
          </a:xfrm>
        </xdr:grpSpPr>
        <xdr:cxnSp macro="">
          <xdr:nvCxnSpPr>
            <xdr:cNvPr id="50" name="Straight Arrow Connector 49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" name="Straight Arrow Connector 50"/>
            <xdr:cNvCxnSpPr>
              <a:stCxn id="63" idx="2"/>
              <a:endCxn id="66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" name="Straight Arrow Connector 51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53" name="Group 52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65" name="Right Triangle 64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66" name="Rectangle 65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67" name="Rectangle 66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54" name="TextBox 53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HRSG</a:t>
              </a:r>
            </a:p>
          </xdr:txBody>
        </xdr:sp>
        <xdr:grpSp>
          <xdr:nvGrpSpPr>
            <xdr:cNvPr id="55" name="Group 54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62" name="Trapezoid 61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chemeClr val="tx2">
                  <a:lumMod val="40000"/>
                  <a:lumOff val="60000"/>
                </a:schemeClr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63" name="Trapezoid 62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64" name="Rectangle 63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56" name="TextBox 55"/>
            <xdr:cNvSpPr txBox="1"/>
          </xdr:nvSpPr>
          <xdr:spPr>
            <a:xfrm>
              <a:off x="3472682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GT</a:t>
              </a:r>
            </a:p>
          </xdr:txBody>
        </xdr:sp>
        <xdr:cxnSp macro="">
          <xdr:nvCxnSpPr>
            <xdr:cNvPr id="57" name="Straight Arrow Connector 56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" name="Straight Arrow Connector 57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9" name="Trapezoid 58"/>
            <xdr:cNvSpPr/>
          </xdr:nvSpPr>
          <xdr:spPr>
            <a:xfrm rot="16200000" flipH="1">
              <a:off x="3515408" y="986637"/>
              <a:ext cx="325563" cy="747989"/>
            </a:xfrm>
            <a:prstGeom prst="trapezoid">
              <a:avLst/>
            </a:prstGeom>
            <a:solidFill>
              <a:srgbClr val="92D050"/>
            </a:solidFill>
            <a:ln w="1270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60" name="TextBox 59"/>
            <xdr:cNvSpPr txBox="1"/>
          </xdr:nvSpPr>
          <xdr:spPr>
            <a:xfrm>
              <a:off x="3364302" y="1233429"/>
              <a:ext cx="608413" cy="2363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BP ST</a:t>
              </a:r>
            </a:p>
          </xdr:txBody>
        </xdr:sp>
        <xdr:cxnSp macro="">
          <xdr:nvCxnSpPr>
            <xdr:cNvPr id="61" name="Straight Arrow Connector 60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0</xdr:row>
          <xdr:rowOff>123825</xdr:rowOff>
        </xdr:from>
        <xdr:to>
          <xdr:col>10</xdr:col>
          <xdr:colOff>66675</xdr:colOff>
          <xdr:row>0</xdr:row>
          <xdr:rowOff>561975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38314</xdr:colOff>
      <xdr:row>16</xdr:row>
      <xdr:rowOff>107982</xdr:rowOff>
    </xdr:from>
    <xdr:to>
      <xdr:col>5</xdr:col>
      <xdr:colOff>2083856</xdr:colOff>
      <xdr:row>26</xdr:row>
      <xdr:rowOff>103532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48691</xdr:colOff>
      <xdr:row>16</xdr:row>
      <xdr:rowOff>116002</xdr:rowOff>
    </xdr:from>
    <xdr:to>
      <xdr:col>7</xdr:col>
      <xdr:colOff>2103650</xdr:colOff>
      <xdr:row>26</xdr:row>
      <xdr:rowOff>111552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88774</xdr:colOff>
      <xdr:row>2</xdr:row>
      <xdr:rowOff>121650</xdr:rowOff>
    </xdr:from>
    <xdr:to>
      <xdr:col>5</xdr:col>
      <xdr:colOff>2117912</xdr:colOff>
      <xdr:row>11</xdr:row>
      <xdr:rowOff>123264</xdr:rowOff>
    </xdr:to>
    <xdr:grpSp>
      <xdr:nvGrpSpPr>
        <xdr:cNvPr id="9" name="Group 8"/>
        <xdr:cNvGrpSpPr/>
      </xdr:nvGrpSpPr>
      <xdr:grpSpPr>
        <a:xfrm>
          <a:off x="2701345" y="1373507"/>
          <a:ext cx="4315138" cy="1838578"/>
          <a:chOff x="1881714" y="760386"/>
          <a:chExt cx="4332019" cy="1475268"/>
        </a:xfrm>
      </xdr:grpSpPr>
      <xdr:grpSp>
        <xdr:nvGrpSpPr>
          <xdr:cNvPr id="5" name="Group 4"/>
          <xdr:cNvGrpSpPr/>
        </xdr:nvGrpSpPr>
        <xdr:grpSpPr>
          <a:xfrm>
            <a:off x="2098499" y="1099690"/>
            <a:ext cx="1685103" cy="975731"/>
            <a:chOff x="2788534" y="1149276"/>
            <a:chExt cx="1680155" cy="976566"/>
          </a:xfrm>
        </xdr:grpSpPr>
        <xdr:cxnSp macro="">
          <xdr:nvCxnSpPr>
            <xdr:cNvPr id="6" name="Straight Arrow Connector 5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Straight Arrow Connector 6"/>
            <xdr:cNvCxnSpPr>
              <a:stCxn id="22" idx="2"/>
              <a:endCxn id="25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Straight Arrow Connector 7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2" name="Group 11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24" name="Right Triangle 23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" name="Rectangle 24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6" name="Rectangle 25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3" name="TextBox 12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HRSG</a:t>
              </a:r>
            </a:p>
          </xdr:txBody>
        </xdr:sp>
        <xdr:grpSp>
          <xdr:nvGrpSpPr>
            <xdr:cNvPr id="14" name="Group 13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21" name="Trapezoid 20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chemeClr val="tx2">
                  <a:lumMod val="40000"/>
                  <a:lumOff val="60000"/>
                </a:schemeClr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2" name="Trapezoid 21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3" name="Rectangle 22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5" name="TextBox 14"/>
            <xdr:cNvSpPr txBox="1"/>
          </xdr:nvSpPr>
          <xdr:spPr>
            <a:xfrm>
              <a:off x="3680283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GT</a:t>
              </a:r>
            </a:p>
          </xdr:txBody>
        </xdr:sp>
        <xdr:cxnSp macro="">
          <xdr:nvCxnSpPr>
            <xdr:cNvPr id="16" name="Straight Arrow Connector 15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" name="Straight Arrow Connector 16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8" name="Trapezoid 17"/>
            <xdr:cNvSpPr/>
          </xdr:nvSpPr>
          <xdr:spPr>
            <a:xfrm rot="16200000" flipH="1">
              <a:off x="3513129" y="969711"/>
              <a:ext cx="355585" cy="773455"/>
            </a:xfrm>
            <a:prstGeom prst="trapezoid">
              <a:avLst/>
            </a:prstGeom>
            <a:solidFill>
              <a:schemeClr val="tx2">
                <a:lumMod val="40000"/>
                <a:lumOff val="60000"/>
              </a:schemeClr>
            </a:solidFill>
            <a:ln w="1270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9" name="TextBox 18"/>
            <xdr:cNvSpPr txBox="1"/>
          </xdr:nvSpPr>
          <xdr:spPr>
            <a:xfrm>
              <a:off x="3396933" y="1226969"/>
              <a:ext cx="737727" cy="2054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C&amp;E ST</a:t>
              </a:r>
            </a:p>
          </xdr:txBody>
        </xdr:sp>
        <xdr:cxnSp macro="">
          <xdr:nvCxnSpPr>
            <xdr:cNvPr id="20" name="Straight Arrow Connector 19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" name="Rectangle 26" descr="42aa9864-01f7-444d-86c7-cb776bf17011"/>
          <xdr:cNvSpPr/>
        </xdr:nvSpPr>
        <xdr:spPr>
          <a:xfrm>
            <a:off x="1881714" y="760386"/>
            <a:ext cx="4332019" cy="1475268"/>
          </a:xfrm>
          <a:prstGeom prst="rect">
            <a:avLst/>
          </a:prstGeom>
          <a:noFill/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8" name="Group 27"/>
          <xdr:cNvGrpSpPr/>
        </xdr:nvGrpSpPr>
        <xdr:grpSpPr>
          <a:xfrm flipH="1">
            <a:off x="4344209" y="1079340"/>
            <a:ext cx="1651805" cy="1006563"/>
            <a:chOff x="2788534" y="1149276"/>
            <a:chExt cx="1680155" cy="976566"/>
          </a:xfrm>
        </xdr:grpSpPr>
        <xdr:cxnSp macro="">
          <xdr:nvCxnSpPr>
            <xdr:cNvPr id="29" name="Straight Arrow Connector 28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Arrow Connector 29"/>
            <xdr:cNvCxnSpPr>
              <a:stCxn id="45" idx="2"/>
              <a:endCxn id="48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Arrow Connector 30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35" name="Group 34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47" name="Right Triangle 46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48" name="Rectangle 47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49" name="Rectangle 48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36" name="TextBox 35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HRSG</a:t>
              </a:r>
            </a:p>
          </xdr:txBody>
        </xdr:sp>
        <xdr:grpSp>
          <xdr:nvGrpSpPr>
            <xdr:cNvPr id="37" name="Group 36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44" name="Trapezoid 43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chemeClr val="tx2">
                  <a:lumMod val="40000"/>
                  <a:lumOff val="60000"/>
                </a:schemeClr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45" name="Trapezoid 44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46" name="Rectangle 45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38" name="TextBox 37"/>
            <xdr:cNvSpPr txBox="1"/>
          </xdr:nvSpPr>
          <xdr:spPr>
            <a:xfrm>
              <a:off x="3472682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GT</a:t>
              </a:r>
            </a:p>
          </xdr:txBody>
        </xdr:sp>
        <xdr:cxnSp macro="">
          <xdr:nvCxnSpPr>
            <xdr:cNvPr id="39" name="Straight Arrow Connector 38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0" name="Straight Arrow Connector 39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1" name="Trapezoid 40"/>
            <xdr:cNvSpPr/>
          </xdr:nvSpPr>
          <xdr:spPr>
            <a:xfrm rot="16200000" flipH="1">
              <a:off x="3515408" y="986637"/>
              <a:ext cx="325563" cy="747989"/>
            </a:xfrm>
            <a:prstGeom prst="trapezoid">
              <a:avLst/>
            </a:prstGeom>
            <a:solidFill>
              <a:schemeClr val="tx2">
                <a:lumMod val="40000"/>
                <a:lumOff val="60000"/>
              </a:schemeClr>
            </a:solidFill>
            <a:ln w="1270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42" name="TextBox 41"/>
            <xdr:cNvSpPr txBox="1"/>
          </xdr:nvSpPr>
          <xdr:spPr>
            <a:xfrm>
              <a:off x="3364302" y="1233429"/>
              <a:ext cx="608413" cy="2363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C&amp;E ST</a:t>
              </a:r>
            </a:p>
          </xdr:txBody>
        </xdr:sp>
        <xdr:cxnSp macro="">
          <xdr:nvCxnSpPr>
            <xdr:cNvPr id="43" name="Straight Arrow Connector 42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5" name="TextBox 94"/>
          <xdr:cNvSpPr txBox="1"/>
        </xdr:nvSpPr>
        <xdr:spPr>
          <a:xfrm>
            <a:off x="3900519" y="1236635"/>
            <a:ext cx="285750" cy="343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+</a:t>
            </a:r>
          </a:p>
        </xdr:txBody>
      </xdr:sp>
    </xdr:grpSp>
    <xdr:clientData/>
  </xdr:twoCellAnchor>
  <xdr:twoCellAnchor>
    <xdr:from>
      <xdr:col>6</xdr:col>
      <xdr:colOff>98698</xdr:colOff>
      <xdr:row>2</xdr:row>
      <xdr:rowOff>137978</xdr:rowOff>
    </xdr:from>
    <xdr:to>
      <xdr:col>7</xdr:col>
      <xdr:colOff>2148473</xdr:colOff>
      <xdr:row>11</xdr:row>
      <xdr:rowOff>134469</xdr:rowOff>
    </xdr:to>
    <xdr:grpSp>
      <xdr:nvGrpSpPr>
        <xdr:cNvPr id="10" name="Group 9"/>
        <xdr:cNvGrpSpPr/>
      </xdr:nvGrpSpPr>
      <xdr:grpSpPr>
        <a:xfrm>
          <a:off x="7283269" y="1389835"/>
          <a:ext cx="4335775" cy="1833455"/>
          <a:chOff x="6497257" y="776715"/>
          <a:chExt cx="4335775" cy="1475268"/>
        </a:xfrm>
      </xdr:grpSpPr>
      <xdr:sp macro="" textlink="">
        <xdr:nvSpPr>
          <xdr:cNvPr id="72" name="Rectangle 71" descr="5a4d534f-258f-424a-98d4-d0cd54bc27cf"/>
          <xdr:cNvSpPr/>
        </xdr:nvSpPr>
        <xdr:spPr>
          <a:xfrm>
            <a:off x="6497257" y="776715"/>
            <a:ext cx="4335775" cy="1475268"/>
          </a:xfrm>
          <a:prstGeom prst="rect">
            <a:avLst/>
          </a:prstGeom>
          <a:noFill/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 95"/>
          <xdr:cNvSpPr txBox="1"/>
        </xdr:nvSpPr>
        <xdr:spPr>
          <a:xfrm>
            <a:off x="8602407" y="1236635"/>
            <a:ext cx="285750" cy="343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+</a:t>
            </a:r>
          </a:p>
        </xdr:txBody>
      </xdr:sp>
      <xdr:grpSp>
        <xdr:nvGrpSpPr>
          <xdr:cNvPr id="97" name="Group 96"/>
          <xdr:cNvGrpSpPr/>
        </xdr:nvGrpSpPr>
        <xdr:grpSpPr>
          <a:xfrm>
            <a:off x="6718124" y="1099690"/>
            <a:ext cx="1691165" cy="975731"/>
            <a:chOff x="2788534" y="1149276"/>
            <a:chExt cx="1680155" cy="976566"/>
          </a:xfrm>
        </xdr:grpSpPr>
        <xdr:cxnSp macro="">
          <xdr:nvCxnSpPr>
            <xdr:cNvPr id="98" name="Straight Arrow Connector 97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Arrow Connector 98"/>
            <xdr:cNvCxnSpPr>
              <a:stCxn id="111" idx="2"/>
              <a:endCxn id="114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0" name="Straight Arrow Connector 99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01" name="Group 100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113" name="Right Triangle 112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14" name="Rectangle 113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15" name="Rectangle 114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02" name="TextBox 101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HRSG</a:t>
              </a:r>
            </a:p>
          </xdr:txBody>
        </xdr:sp>
        <xdr:grpSp>
          <xdr:nvGrpSpPr>
            <xdr:cNvPr id="103" name="Group 102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110" name="Trapezoid 109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chemeClr val="tx2">
                  <a:lumMod val="40000"/>
                  <a:lumOff val="60000"/>
                </a:schemeClr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11" name="Trapezoid 110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12" name="Rectangle 111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04" name="TextBox 103"/>
            <xdr:cNvSpPr txBox="1"/>
          </xdr:nvSpPr>
          <xdr:spPr>
            <a:xfrm>
              <a:off x="3680283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GT</a:t>
              </a:r>
            </a:p>
          </xdr:txBody>
        </xdr:sp>
        <xdr:cxnSp macro="">
          <xdr:nvCxnSpPr>
            <xdr:cNvPr id="105" name="Straight Arrow Connector 104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6" name="Straight Arrow Connector 105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7" name="Trapezoid 106"/>
            <xdr:cNvSpPr/>
          </xdr:nvSpPr>
          <xdr:spPr>
            <a:xfrm rot="16200000" flipH="1">
              <a:off x="3513129" y="969711"/>
              <a:ext cx="355585" cy="773455"/>
            </a:xfrm>
            <a:prstGeom prst="trapezoid">
              <a:avLst/>
            </a:prstGeom>
            <a:solidFill>
              <a:schemeClr val="tx2">
                <a:lumMod val="40000"/>
                <a:lumOff val="60000"/>
              </a:schemeClr>
            </a:solidFill>
            <a:ln w="1270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8" name="TextBox 107"/>
            <xdr:cNvSpPr txBox="1"/>
          </xdr:nvSpPr>
          <xdr:spPr>
            <a:xfrm>
              <a:off x="3396933" y="1226969"/>
              <a:ext cx="737727" cy="20544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C&amp;E ST</a:t>
              </a:r>
            </a:p>
          </xdr:txBody>
        </xdr:sp>
        <xdr:cxnSp macro="">
          <xdr:nvCxnSpPr>
            <xdr:cNvPr id="109" name="Straight Arrow Connector 108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6" name="Group 115"/>
          <xdr:cNvGrpSpPr/>
        </xdr:nvGrpSpPr>
        <xdr:grpSpPr>
          <a:xfrm flipH="1">
            <a:off x="8922271" y="1079340"/>
            <a:ext cx="1651805" cy="1006563"/>
            <a:chOff x="2788534" y="1149276"/>
            <a:chExt cx="1680155" cy="976566"/>
          </a:xfrm>
        </xdr:grpSpPr>
        <xdr:cxnSp macro="">
          <xdr:nvCxnSpPr>
            <xdr:cNvPr id="117" name="Straight Arrow Connector 116"/>
            <xdr:cNvCxnSpPr/>
          </xdr:nvCxnSpPr>
          <xdr:spPr>
            <a:xfrm flipV="1">
              <a:off x="3118016" y="1429447"/>
              <a:ext cx="0" cy="420983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" name="Straight Arrow Connector 117"/>
            <xdr:cNvCxnSpPr>
              <a:stCxn id="130" idx="2"/>
              <a:endCxn id="133" idx="3"/>
            </xdr:cNvCxnSpPr>
          </xdr:nvCxnSpPr>
          <xdr:spPr>
            <a:xfrm flipH="1">
              <a:off x="3421728" y="1928245"/>
              <a:ext cx="253037" cy="9577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9" name="Straight Arrow Connector 118"/>
            <xdr:cNvCxnSpPr/>
          </xdr:nvCxnSpPr>
          <xdr:spPr>
            <a:xfrm flipV="1">
              <a:off x="3304678" y="1442912"/>
              <a:ext cx="0" cy="529948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20" name="Group 119"/>
            <xdr:cNvGrpSpPr/>
          </xdr:nvGrpSpPr>
          <xdr:grpSpPr>
            <a:xfrm>
              <a:off x="2788534" y="1588643"/>
              <a:ext cx="633195" cy="411677"/>
              <a:chOff x="3319096" y="454269"/>
              <a:chExt cx="1524000" cy="1025769"/>
            </a:xfrm>
          </xdr:grpSpPr>
          <xdr:sp macro="" textlink="">
            <xdr:nvSpPr>
              <xdr:cNvPr id="132" name="Right Triangle 131"/>
              <xdr:cNvSpPr/>
            </xdr:nvSpPr>
            <xdr:spPr>
              <a:xfrm>
                <a:off x="3582865" y="813289"/>
                <a:ext cx="1260231" cy="366346"/>
              </a:xfrm>
              <a:prstGeom prst="rtTriangle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33" name="Rectangle 132"/>
              <xdr:cNvSpPr/>
            </xdr:nvSpPr>
            <xdr:spPr>
              <a:xfrm>
                <a:off x="3582865" y="1179635"/>
                <a:ext cx="1260231" cy="300403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34" name="Rectangle 133"/>
              <xdr:cNvSpPr/>
            </xdr:nvSpPr>
            <xdr:spPr>
              <a:xfrm>
                <a:off x="3319096" y="454269"/>
                <a:ext cx="263770" cy="1025769"/>
              </a:xfrm>
              <a:prstGeom prst="rect">
                <a:avLst/>
              </a:prstGeom>
              <a:solidFill>
                <a:schemeClr val="bg2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21" name="TextBox 120"/>
            <xdr:cNvSpPr txBox="1"/>
          </xdr:nvSpPr>
          <xdr:spPr>
            <a:xfrm>
              <a:off x="2851935" y="1772119"/>
              <a:ext cx="544666" cy="1988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HRSG</a:t>
              </a:r>
            </a:p>
          </xdr:txBody>
        </xdr:sp>
        <xdr:grpSp>
          <xdr:nvGrpSpPr>
            <xdr:cNvPr id="122" name="Group 121"/>
            <xdr:cNvGrpSpPr/>
          </xdr:nvGrpSpPr>
          <xdr:grpSpPr>
            <a:xfrm flipH="1">
              <a:off x="3674765" y="1721379"/>
              <a:ext cx="793924" cy="404463"/>
              <a:chOff x="2905125" y="1041156"/>
              <a:chExt cx="1035294" cy="481379"/>
            </a:xfrm>
          </xdr:grpSpPr>
          <xdr:sp macro="" textlink="">
            <xdr:nvSpPr>
              <xdr:cNvPr id="129" name="Trapezoid 128"/>
              <xdr:cNvSpPr/>
            </xdr:nvSpPr>
            <xdr:spPr>
              <a:xfrm rot="5400000">
                <a:off x="2897798" y="1048483"/>
                <a:ext cx="471854" cy="457200"/>
              </a:xfrm>
              <a:prstGeom prst="trapezoid">
                <a:avLst/>
              </a:prstGeom>
              <a:solidFill>
                <a:schemeClr val="tx2">
                  <a:lumMod val="40000"/>
                  <a:lumOff val="60000"/>
                </a:schemeClr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30" name="Trapezoid 129"/>
              <xdr:cNvSpPr/>
            </xdr:nvSpPr>
            <xdr:spPr>
              <a:xfrm rot="16200000">
                <a:off x="3477358" y="1059473"/>
                <a:ext cx="471854" cy="454269"/>
              </a:xfrm>
              <a:prstGeom prst="trapezoid">
                <a:avLst/>
              </a:prstGeom>
              <a:solidFill>
                <a:srgbClr val="FFC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31" name="Rectangle 130"/>
              <xdr:cNvSpPr/>
            </xdr:nvSpPr>
            <xdr:spPr>
              <a:xfrm>
                <a:off x="3368278" y="1099495"/>
                <a:ext cx="114300" cy="359937"/>
              </a:xfrm>
              <a:prstGeom prst="rect">
                <a:avLst/>
              </a:prstGeom>
              <a:solidFill>
                <a:srgbClr val="FF0000"/>
              </a:solidFill>
              <a:ln w="12700">
                <a:solidFill>
                  <a:schemeClr val="tx1">
                    <a:lumMod val="65000"/>
                    <a:lumOff val="3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23" name="TextBox 122"/>
            <xdr:cNvSpPr txBox="1"/>
          </xdr:nvSpPr>
          <xdr:spPr>
            <a:xfrm>
              <a:off x="3472682" y="1799819"/>
              <a:ext cx="578752" cy="2793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GT</a:t>
              </a:r>
            </a:p>
          </xdr:txBody>
        </xdr:sp>
        <xdr:cxnSp macro="">
          <xdr:nvCxnSpPr>
            <xdr:cNvPr id="124" name="Straight Arrow Connector 123"/>
            <xdr:cNvCxnSpPr/>
          </xdr:nvCxnSpPr>
          <xdr:spPr>
            <a:xfrm flipV="1">
              <a:off x="3430778" y="1149276"/>
              <a:ext cx="0" cy="272559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5" name="Straight Arrow Connector 124"/>
            <xdr:cNvCxnSpPr/>
          </xdr:nvCxnSpPr>
          <xdr:spPr>
            <a:xfrm flipH="1">
              <a:off x="2791692" y="1153449"/>
              <a:ext cx="640673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6" name="Trapezoid 125"/>
            <xdr:cNvSpPr/>
          </xdr:nvSpPr>
          <xdr:spPr>
            <a:xfrm rot="16200000" flipH="1">
              <a:off x="3515408" y="986637"/>
              <a:ext cx="325563" cy="747989"/>
            </a:xfrm>
            <a:prstGeom prst="trapezoid">
              <a:avLst/>
            </a:prstGeom>
            <a:solidFill>
              <a:srgbClr val="92D050"/>
            </a:solidFill>
            <a:ln w="1270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27" name="TextBox 126"/>
            <xdr:cNvSpPr txBox="1"/>
          </xdr:nvSpPr>
          <xdr:spPr>
            <a:xfrm>
              <a:off x="3364302" y="1233429"/>
              <a:ext cx="608413" cy="2363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BP ST</a:t>
              </a:r>
            </a:p>
          </xdr:txBody>
        </xdr:sp>
        <xdr:cxnSp macro="">
          <xdr:nvCxnSpPr>
            <xdr:cNvPr id="128" name="Straight Arrow Connector 127"/>
            <xdr:cNvCxnSpPr/>
          </xdr:nvCxnSpPr>
          <xdr:spPr>
            <a:xfrm flipH="1">
              <a:off x="2860346" y="1421401"/>
              <a:ext cx="264742" cy="0"/>
            </a:xfrm>
            <a:prstGeom prst="straightConnector1">
              <a:avLst/>
            </a:prstGeom>
            <a:ln w="12700">
              <a:solidFill>
                <a:schemeClr val="accent6">
                  <a:lumMod val="75000"/>
                </a:schemeClr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0</xdr:row>
          <xdr:rowOff>123825</xdr:rowOff>
        </xdr:from>
        <xdr:to>
          <xdr:col>10</xdr:col>
          <xdr:colOff>66675</xdr:colOff>
          <xdr:row>0</xdr:row>
          <xdr:rowOff>561975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3.emf"/><Relationship Id="rId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12"/>
  <sheetViews>
    <sheetView tabSelected="1" zoomScale="70" zoomScaleNormal="70" workbookViewId="0">
      <selection activeCell="H20" sqref="H20:K20"/>
    </sheetView>
  </sheetViews>
  <sheetFormatPr defaultColWidth="9.140625" defaultRowHeight="15"/>
  <cols>
    <col min="1" max="1" width="8" style="163" customWidth="1"/>
    <col min="2" max="2" width="5.85546875" style="163" customWidth="1"/>
    <col min="3" max="3" width="30.7109375" style="163" customWidth="1"/>
    <col min="4" max="4" width="20.140625" style="163" customWidth="1"/>
    <col min="5" max="5" width="2" style="163" customWidth="1"/>
    <col min="6" max="6" width="17.85546875" style="163" customWidth="1"/>
    <col min="7" max="7" width="25.5703125" style="201" customWidth="1"/>
    <col min="8" max="11" width="17.7109375" style="194" customWidth="1"/>
    <col min="12" max="12" width="8" style="163" customWidth="1"/>
    <col min="13" max="16384" width="9.140625" style="163"/>
  </cols>
  <sheetData>
    <row r="1" spans="1:17" s="158" customFormat="1" ht="23.25" customHeight="1">
      <c r="A1" s="354" t="s">
        <v>145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157"/>
      <c r="O1" s="157"/>
      <c r="P1" s="157"/>
      <c r="Q1" s="157"/>
    </row>
    <row r="2" spans="1:17" ht="12" customHeight="1">
      <c r="A2" s="159"/>
      <c r="B2" s="159"/>
      <c r="C2" s="159"/>
      <c r="D2" s="159"/>
      <c r="E2" s="159"/>
      <c r="F2" s="159"/>
      <c r="G2" s="160"/>
      <c r="H2" s="161"/>
      <c r="I2" s="161"/>
      <c r="J2" s="161"/>
      <c r="K2" s="161"/>
      <c r="L2" s="159"/>
      <c r="M2" s="159"/>
      <c r="N2" s="162"/>
      <c r="O2" s="162"/>
      <c r="P2" s="162"/>
      <c r="Q2" s="162"/>
    </row>
    <row r="3" spans="1:17">
      <c r="A3" s="159"/>
      <c r="B3" s="164" t="s">
        <v>168</v>
      </c>
      <c r="C3" s="165"/>
      <c r="D3" s="166"/>
      <c r="E3" s="166"/>
      <c r="F3" s="166"/>
      <c r="G3" s="167"/>
      <c r="H3" s="168"/>
      <c r="I3" s="168"/>
      <c r="J3" s="168"/>
      <c r="K3" s="169"/>
      <c r="L3" s="165"/>
      <c r="M3" s="159"/>
      <c r="N3" s="162"/>
      <c r="O3" s="162"/>
      <c r="P3" s="162"/>
      <c r="Q3" s="162"/>
    </row>
    <row r="4" spans="1:17" ht="16.5" customHeight="1">
      <c r="A4" s="159"/>
      <c r="B4" s="165"/>
      <c r="C4" s="165"/>
      <c r="D4" s="166"/>
      <c r="E4" s="166"/>
      <c r="F4" s="166"/>
      <c r="G4" s="167"/>
      <c r="H4" s="168" t="s">
        <v>125</v>
      </c>
      <c r="I4" s="168" t="s">
        <v>126</v>
      </c>
      <c r="J4" s="168" t="s">
        <v>127</v>
      </c>
      <c r="K4" s="169" t="s">
        <v>128</v>
      </c>
      <c r="L4" s="165"/>
      <c r="M4" s="159"/>
      <c r="N4" s="162"/>
      <c r="O4" s="162"/>
      <c r="P4" s="162"/>
      <c r="Q4" s="162"/>
    </row>
    <row r="5" spans="1:17" ht="4.5" customHeight="1">
      <c r="A5" s="159"/>
      <c r="B5" s="165"/>
      <c r="C5" s="165"/>
      <c r="D5" s="166"/>
      <c r="E5" s="166"/>
      <c r="F5" s="166"/>
      <c r="G5" s="167"/>
      <c r="H5" s="168"/>
      <c r="I5" s="168"/>
      <c r="J5" s="168"/>
      <c r="K5" s="169"/>
      <c r="L5" s="165"/>
      <c r="M5" s="159"/>
      <c r="N5" s="162"/>
      <c r="O5" s="162"/>
      <c r="P5" s="162"/>
      <c r="Q5" s="162"/>
    </row>
    <row r="6" spans="1:17" ht="17.100000000000001" customHeight="1">
      <c r="A6" s="159"/>
      <c r="B6" s="165"/>
      <c r="C6" s="170" t="s">
        <v>129</v>
      </c>
      <c r="D6" s="171" t="s">
        <v>234</v>
      </c>
      <c r="E6" s="166"/>
      <c r="F6" s="167"/>
      <c r="G6" s="172" t="s">
        <v>167</v>
      </c>
      <c r="H6" s="171">
        <v>16.399999999999999</v>
      </c>
      <c r="I6" s="316">
        <v>25.6</v>
      </c>
      <c r="J6" s="316">
        <v>15.2</v>
      </c>
      <c r="K6" s="316">
        <v>5.7</v>
      </c>
      <c r="L6" s="166"/>
      <c r="M6" s="159"/>
      <c r="N6" s="162"/>
      <c r="O6" s="162"/>
      <c r="P6" s="162"/>
      <c r="Q6" s="162"/>
    </row>
    <row r="7" spans="1:17" ht="5.0999999999999996" customHeight="1">
      <c r="A7" s="159"/>
      <c r="B7" s="165"/>
      <c r="C7" s="165"/>
      <c r="D7" s="166"/>
      <c r="E7" s="166"/>
      <c r="F7" s="167"/>
      <c r="G7" s="172"/>
      <c r="H7" s="168"/>
      <c r="I7" s="168"/>
      <c r="J7" s="168"/>
      <c r="K7" s="168"/>
      <c r="L7" s="166"/>
      <c r="M7" s="159"/>
      <c r="N7" s="162"/>
      <c r="O7" s="162"/>
      <c r="P7" s="162"/>
      <c r="Q7" s="162"/>
    </row>
    <row r="8" spans="1:17">
      <c r="A8" s="159"/>
      <c r="B8" s="165"/>
      <c r="C8" s="165"/>
      <c r="D8" s="165"/>
      <c r="E8" s="165"/>
      <c r="F8" s="170"/>
      <c r="G8" s="173" t="s">
        <v>166</v>
      </c>
      <c r="H8" s="171">
        <v>67</v>
      </c>
      <c r="I8" s="316">
        <v>75</v>
      </c>
      <c r="J8" s="316">
        <v>72</v>
      </c>
      <c r="K8" s="316">
        <v>65.8</v>
      </c>
      <c r="L8" s="165"/>
      <c r="M8" s="159"/>
      <c r="N8" s="162"/>
      <c r="O8" s="162"/>
      <c r="P8" s="162"/>
      <c r="Q8" s="162"/>
    </row>
    <row r="9" spans="1:17" ht="5.0999999999999996" customHeight="1">
      <c r="A9" s="159"/>
      <c r="B9" s="165"/>
      <c r="C9" s="165"/>
      <c r="D9" s="165"/>
      <c r="E9" s="165"/>
      <c r="F9" s="165"/>
      <c r="G9" s="173"/>
      <c r="H9" s="169"/>
      <c r="I9" s="169"/>
      <c r="J9" s="169"/>
      <c r="K9" s="169"/>
      <c r="L9" s="165"/>
      <c r="M9" s="159"/>
      <c r="N9" s="162"/>
      <c r="O9" s="162"/>
      <c r="P9" s="162"/>
      <c r="Q9" s="162"/>
    </row>
    <row r="10" spans="1:17">
      <c r="A10" s="159"/>
      <c r="B10" s="165"/>
      <c r="C10" s="165"/>
      <c r="D10" s="165"/>
      <c r="E10" s="165"/>
      <c r="F10" s="170"/>
      <c r="G10" s="173" t="s">
        <v>165</v>
      </c>
      <c r="H10" s="171">
        <v>61</v>
      </c>
      <c r="I10" s="171">
        <v>122</v>
      </c>
      <c r="J10" s="171">
        <v>61</v>
      </c>
      <c r="K10" s="171">
        <v>121</v>
      </c>
      <c r="L10" s="165"/>
      <c r="M10" s="159"/>
      <c r="N10" s="162"/>
      <c r="O10" s="162"/>
      <c r="P10" s="162"/>
      <c r="Q10" s="162"/>
    </row>
    <row r="11" spans="1:17" ht="6.75" customHeight="1">
      <c r="A11" s="159"/>
      <c r="B11" s="165"/>
      <c r="C11" s="165"/>
      <c r="D11" s="165"/>
      <c r="E11" s="165"/>
      <c r="F11" s="165"/>
      <c r="G11" s="170"/>
      <c r="H11" s="169"/>
      <c r="I11" s="169"/>
      <c r="J11" s="169"/>
      <c r="K11" s="169"/>
      <c r="L11" s="165"/>
      <c r="M11" s="159"/>
      <c r="N11" s="162"/>
      <c r="O11" s="162"/>
      <c r="P11" s="162"/>
      <c r="Q11" s="162"/>
    </row>
    <row r="12" spans="1:17" ht="4.5" customHeight="1">
      <c r="A12" s="159"/>
      <c r="B12" s="165"/>
      <c r="C12" s="165"/>
      <c r="D12" s="165"/>
      <c r="E12" s="165"/>
      <c r="F12" s="165"/>
      <c r="G12" s="170"/>
      <c r="H12" s="169"/>
      <c r="I12" s="169"/>
      <c r="J12" s="169"/>
      <c r="K12" s="169"/>
      <c r="L12" s="165"/>
      <c r="M12" s="159"/>
      <c r="N12" s="162"/>
      <c r="O12" s="162"/>
      <c r="P12" s="162"/>
      <c r="Q12" s="162"/>
    </row>
    <row r="13" spans="1:17" ht="5.0999999999999996" customHeight="1">
      <c r="A13" s="159"/>
      <c r="B13" s="159"/>
      <c r="C13" s="159"/>
      <c r="D13" s="159"/>
      <c r="E13" s="159"/>
      <c r="F13" s="159"/>
      <c r="G13" s="160"/>
      <c r="H13" s="161"/>
      <c r="I13" s="161"/>
      <c r="J13" s="161"/>
      <c r="K13" s="161"/>
      <c r="L13" s="159"/>
      <c r="M13" s="159"/>
      <c r="N13" s="162"/>
      <c r="O13" s="162"/>
      <c r="P13" s="162"/>
      <c r="Q13" s="162"/>
    </row>
    <row r="14" spans="1:17" ht="14.25" customHeight="1">
      <c r="A14" s="159"/>
      <c r="B14" s="164" t="s">
        <v>146</v>
      </c>
      <c r="C14" s="165"/>
      <c r="D14" s="165"/>
      <c r="E14" s="165"/>
      <c r="F14" s="165"/>
      <c r="G14" s="170"/>
      <c r="H14" s="169"/>
      <c r="I14" s="169"/>
      <c r="J14" s="169"/>
      <c r="K14" s="169"/>
      <c r="L14" s="165"/>
      <c r="M14" s="159"/>
      <c r="N14" s="162"/>
      <c r="O14" s="162"/>
      <c r="P14" s="162"/>
      <c r="Q14" s="162"/>
    </row>
    <row r="15" spans="1:17" ht="2.25" customHeight="1">
      <c r="A15" s="159"/>
      <c r="B15" s="174"/>
      <c r="C15" s="165"/>
      <c r="D15" s="165"/>
      <c r="E15" s="165"/>
      <c r="F15" s="165"/>
      <c r="G15" s="170"/>
      <c r="H15" s="169"/>
      <c r="I15" s="169"/>
      <c r="J15" s="169"/>
      <c r="K15" s="169"/>
      <c r="L15" s="165"/>
      <c r="M15" s="159"/>
      <c r="N15" s="162"/>
      <c r="O15" s="162"/>
      <c r="P15" s="162"/>
      <c r="Q15" s="162"/>
    </row>
    <row r="16" spans="1:17" ht="17.25" customHeight="1">
      <c r="A16" s="159"/>
      <c r="B16" s="175"/>
      <c r="C16" s="176" t="s">
        <v>148</v>
      </c>
      <c r="D16" s="177" t="s">
        <v>147</v>
      </c>
      <c r="E16" s="178"/>
      <c r="F16" s="178"/>
      <c r="G16" s="179"/>
      <c r="H16" s="180"/>
      <c r="I16" s="180"/>
      <c r="J16" s="180"/>
      <c r="K16" s="180"/>
      <c r="L16" s="165"/>
      <c r="M16" s="159"/>
      <c r="N16" s="162"/>
      <c r="O16" s="162"/>
      <c r="P16" s="162"/>
      <c r="Q16" s="162"/>
    </row>
    <row r="17" spans="1:17" ht="12.75" customHeight="1">
      <c r="A17" s="159"/>
      <c r="B17" s="175"/>
      <c r="C17" s="181"/>
      <c r="D17" s="181"/>
      <c r="E17" s="182"/>
      <c r="F17" s="182"/>
      <c r="G17" s="183"/>
      <c r="H17" s="184"/>
      <c r="I17" s="184"/>
      <c r="J17" s="184"/>
      <c r="K17" s="184"/>
      <c r="L17" s="165"/>
      <c r="M17" s="159"/>
      <c r="N17" s="162"/>
      <c r="O17" s="162"/>
      <c r="P17" s="162"/>
      <c r="Q17" s="162"/>
    </row>
    <row r="18" spans="1:17" ht="14.25" customHeight="1">
      <c r="A18" s="159"/>
      <c r="B18" s="165"/>
      <c r="C18" s="165"/>
      <c r="D18" s="169"/>
      <c r="E18" s="169"/>
      <c r="F18" s="169"/>
      <c r="G18" s="170"/>
      <c r="H18" s="352" t="s">
        <v>192</v>
      </c>
      <c r="I18" s="353"/>
      <c r="J18" s="353"/>
      <c r="K18" s="353"/>
      <c r="L18" s="165"/>
      <c r="M18" s="159"/>
      <c r="N18" s="162"/>
      <c r="O18" s="162"/>
      <c r="P18" s="162"/>
      <c r="Q18" s="162"/>
    </row>
    <row r="19" spans="1:17" s="190" customFormat="1" ht="17.25" customHeight="1">
      <c r="A19" s="185"/>
      <c r="B19" s="186"/>
      <c r="C19" s="186"/>
      <c r="D19" s="187" t="s">
        <v>130</v>
      </c>
      <c r="E19" s="187"/>
      <c r="F19" s="187" t="s">
        <v>131</v>
      </c>
      <c r="G19" s="188"/>
      <c r="H19" s="168" t="s">
        <v>125</v>
      </c>
      <c r="I19" s="168" t="s">
        <v>126</v>
      </c>
      <c r="J19" s="168" t="s">
        <v>127</v>
      </c>
      <c r="K19" s="169" t="s">
        <v>128</v>
      </c>
      <c r="L19" s="186"/>
      <c r="M19" s="185"/>
      <c r="N19" s="189"/>
      <c r="O19" s="189"/>
      <c r="P19" s="189"/>
      <c r="Q19" s="189"/>
    </row>
    <row r="20" spans="1:17" ht="17.100000000000001" customHeight="1">
      <c r="A20" s="159"/>
      <c r="B20" s="166"/>
      <c r="C20" s="167" t="s">
        <v>163</v>
      </c>
      <c r="D20" s="171">
        <v>0.8</v>
      </c>
      <c r="E20" s="168"/>
      <c r="F20" s="171">
        <v>180</v>
      </c>
      <c r="G20" s="167"/>
      <c r="H20" s="424">
        <v>6.4493193831397511</v>
      </c>
      <c r="I20" s="424">
        <v>12.898638766279502</v>
      </c>
      <c r="J20" s="424">
        <v>6.4493193831397511</v>
      </c>
      <c r="K20" s="424">
        <v>12.898638766279502</v>
      </c>
      <c r="L20" s="166"/>
      <c r="M20" s="159"/>
      <c r="N20" s="162"/>
      <c r="O20" s="162"/>
      <c r="P20" s="162"/>
      <c r="Q20" s="162"/>
    </row>
    <row r="21" spans="1:17" s="162" customFormat="1" ht="22.5" customHeight="1">
      <c r="A21" s="191"/>
      <c r="B21" s="166"/>
      <c r="C21" s="183"/>
      <c r="D21" s="192" t="s">
        <v>149</v>
      </c>
      <c r="E21" s="184"/>
      <c r="F21" s="184"/>
      <c r="G21" s="183"/>
      <c r="H21" s="184"/>
      <c r="I21" s="184"/>
      <c r="J21" s="184"/>
      <c r="K21" s="184"/>
      <c r="L21" s="166"/>
      <c r="M21" s="191"/>
    </row>
    <row r="22" spans="1:17" ht="21.75" customHeight="1">
      <c r="A22" s="159"/>
      <c r="B22" s="165"/>
      <c r="C22" s="167"/>
      <c r="D22" s="168"/>
      <c r="E22" s="168"/>
      <c r="F22" s="168"/>
      <c r="G22" s="360" t="s">
        <v>154</v>
      </c>
      <c r="H22" s="360"/>
      <c r="I22" s="360"/>
      <c r="J22" s="360"/>
      <c r="K22" s="360"/>
      <c r="L22" s="165"/>
      <c r="M22" s="159"/>
      <c r="N22" s="162"/>
      <c r="O22" s="162"/>
      <c r="P22" s="162"/>
      <c r="Q22" s="162"/>
    </row>
    <row r="23" spans="1:17" s="162" customFormat="1" ht="17.25" customHeight="1">
      <c r="A23" s="191"/>
      <c r="B23" s="166"/>
      <c r="C23" s="167"/>
      <c r="D23" s="168"/>
      <c r="E23" s="168"/>
      <c r="F23" s="168"/>
      <c r="G23" s="167"/>
      <c r="H23" s="168" t="s">
        <v>125</v>
      </c>
      <c r="I23" s="168" t="s">
        <v>126</v>
      </c>
      <c r="J23" s="168" t="s">
        <v>127</v>
      </c>
      <c r="K23" s="169" t="s">
        <v>128</v>
      </c>
      <c r="L23" s="166"/>
      <c r="M23" s="191"/>
    </row>
    <row r="24" spans="1:17" s="194" customFormat="1" ht="17.100000000000001" customHeight="1">
      <c r="A24" s="161"/>
      <c r="B24" s="169"/>
      <c r="C24" s="167"/>
      <c r="D24" s="168" t="s">
        <v>204</v>
      </c>
      <c r="E24" s="168"/>
      <c r="F24" s="316">
        <v>480</v>
      </c>
      <c r="G24" s="170">
        <v>1</v>
      </c>
      <c r="H24" s="171">
        <v>150</v>
      </c>
      <c r="I24" s="171">
        <v>180</v>
      </c>
      <c r="J24" s="171">
        <v>170</v>
      </c>
      <c r="K24" s="302">
        <v>180</v>
      </c>
      <c r="L24" s="308" t="s">
        <v>191</v>
      </c>
      <c r="M24" s="161"/>
      <c r="N24" s="193"/>
      <c r="O24" s="193"/>
      <c r="P24" s="193"/>
      <c r="Q24" s="193"/>
    </row>
    <row r="25" spans="1:17" s="194" customFormat="1" ht="4.5" customHeight="1">
      <c r="A25" s="161"/>
      <c r="B25" s="169"/>
      <c r="C25" s="167"/>
      <c r="D25" s="168"/>
      <c r="E25" s="168"/>
      <c r="F25" s="168"/>
      <c r="G25" s="167"/>
      <c r="H25" s="168"/>
      <c r="I25" s="168"/>
      <c r="J25" s="168"/>
      <c r="K25" s="304"/>
      <c r="L25" s="303"/>
      <c r="M25" s="161"/>
      <c r="N25" s="193"/>
      <c r="O25" s="193"/>
      <c r="P25" s="193"/>
      <c r="Q25" s="193"/>
    </row>
    <row r="26" spans="1:17" s="194" customFormat="1" ht="17.100000000000001" customHeight="1">
      <c r="A26" s="161"/>
      <c r="B26" s="169"/>
      <c r="C26" s="167"/>
      <c r="D26" s="187" t="s">
        <v>130</v>
      </c>
      <c r="E26" s="187"/>
      <c r="F26" s="187" t="s">
        <v>131</v>
      </c>
      <c r="G26" s="170">
        <v>2</v>
      </c>
      <c r="H26" s="171">
        <v>0</v>
      </c>
      <c r="I26" s="171">
        <v>0</v>
      </c>
      <c r="J26" s="171">
        <v>0</v>
      </c>
      <c r="K26" s="302">
        <v>0</v>
      </c>
      <c r="L26" s="308" t="s">
        <v>136</v>
      </c>
      <c r="M26" s="161"/>
      <c r="N26" s="193"/>
      <c r="O26" s="193"/>
      <c r="P26" s="193"/>
      <c r="Q26" s="193"/>
    </row>
    <row r="27" spans="1:17" s="162" customFormat="1" ht="17.25" customHeight="1">
      <c r="A27" s="191"/>
      <c r="B27" s="166"/>
      <c r="C27" s="170" t="s">
        <v>164</v>
      </c>
      <c r="D27" s="171">
        <v>1</v>
      </c>
      <c r="E27" s="169"/>
      <c r="F27" s="171">
        <v>300</v>
      </c>
      <c r="G27" s="167"/>
      <c r="H27" s="168" t="s">
        <v>137</v>
      </c>
      <c r="I27" s="168" t="s">
        <v>138</v>
      </c>
      <c r="J27" s="168" t="s">
        <v>139</v>
      </c>
      <c r="K27" s="304"/>
      <c r="L27" s="305"/>
      <c r="M27" s="191"/>
    </row>
    <row r="28" spans="1:17" s="162" customFormat="1" ht="3" customHeight="1">
      <c r="A28" s="191"/>
      <c r="B28" s="166"/>
      <c r="C28" s="167"/>
      <c r="D28" s="166"/>
      <c r="E28" s="166"/>
      <c r="F28" s="166"/>
      <c r="G28" s="167"/>
      <c r="H28" s="168"/>
      <c r="I28" s="168"/>
      <c r="J28" s="168"/>
      <c r="K28" s="304"/>
      <c r="L28" s="305"/>
      <c r="M28" s="191"/>
    </row>
    <row r="29" spans="1:17" ht="17.100000000000001" customHeight="1">
      <c r="A29" s="159"/>
      <c r="B29" s="165"/>
      <c r="C29" s="170" t="s">
        <v>140</v>
      </c>
      <c r="D29" s="171">
        <v>1.8</v>
      </c>
      <c r="E29" s="169"/>
      <c r="F29" s="171">
        <v>200</v>
      </c>
      <c r="G29" s="170">
        <v>1</v>
      </c>
      <c r="H29" s="171">
        <v>40</v>
      </c>
      <c r="I29" s="171">
        <v>75</v>
      </c>
      <c r="J29" s="171">
        <v>10</v>
      </c>
      <c r="K29" s="308" t="s">
        <v>136</v>
      </c>
      <c r="L29" s="306"/>
      <c r="M29" s="159"/>
      <c r="N29" s="162"/>
      <c r="O29" s="162"/>
      <c r="P29" s="162"/>
      <c r="Q29" s="162"/>
    </row>
    <row r="30" spans="1:17" s="162" customFormat="1" ht="5.0999999999999996" customHeight="1">
      <c r="A30" s="191"/>
      <c r="B30" s="166"/>
      <c r="C30" s="166"/>
      <c r="D30" s="166"/>
      <c r="E30" s="166"/>
      <c r="F30" s="166"/>
      <c r="G30" s="167"/>
      <c r="H30" s="168"/>
      <c r="I30" s="168"/>
      <c r="J30" s="168"/>
      <c r="K30" s="303"/>
      <c r="L30" s="305"/>
      <c r="M30" s="191"/>
    </row>
    <row r="31" spans="1:17" s="194" customFormat="1" ht="17.100000000000001" customHeight="1">
      <c r="A31" s="161"/>
      <c r="B31" s="169"/>
      <c r="C31" s="169"/>
      <c r="D31" s="169"/>
      <c r="E31" s="169"/>
      <c r="F31" s="169"/>
      <c r="G31" s="170">
        <v>2</v>
      </c>
      <c r="H31" s="171">
        <v>0</v>
      </c>
      <c r="I31" s="171">
        <v>0</v>
      </c>
      <c r="J31" s="171">
        <v>0</v>
      </c>
      <c r="K31" s="308" t="s">
        <v>136</v>
      </c>
      <c r="L31" s="307"/>
      <c r="M31" s="161"/>
      <c r="N31" s="193"/>
      <c r="O31" s="193"/>
      <c r="P31" s="193"/>
      <c r="Q31" s="193"/>
    </row>
    <row r="32" spans="1:17" s="162" customFormat="1" ht="10.5" customHeight="1">
      <c r="A32" s="191"/>
      <c r="B32" s="166"/>
      <c r="C32" s="166"/>
      <c r="D32" s="166"/>
      <c r="E32" s="166"/>
      <c r="F32" s="166"/>
      <c r="G32" s="167"/>
      <c r="H32" s="168"/>
      <c r="I32" s="168"/>
      <c r="J32" s="168"/>
      <c r="K32" s="168"/>
      <c r="L32" s="166"/>
      <c r="M32" s="191"/>
    </row>
    <row r="33" spans="1:17" ht="14.25" hidden="1" customHeight="1">
      <c r="A33" s="159"/>
      <c r="B33" s="165"/>
      <c r="C33" s="169" t="s">
        <v>9</v>
      </c>
      <c r="D33" s="173"/>
      <c r="E33" s="173"/>
      <c r="F33" s="173"/>
      <c r="G33" s="170"/>
      <c r="H33" s="171">
        <v>0</v>
      </c>
      <c r="I33" s="171">
        <v>0</v>
      </c>
      <c r="J33" s="171">
        <v>0</v>
      </c>
      <c r="K33" s="171">
        <v>0</v>
      </c>
      <c r="L33" s="165" t="s">
        <v>10</v>
      </c>
      <c r="M33" s="159"/>
      <c r="N33" s="162"/>
      <c r="O33" s="162"/>
      <c r="P33" s="162"/>
      <c r="Q33" s="162"/>
    </row>
    <row r="34" spans="1:17" ht="3.75" customHeight="1">
      <c r="A34" s="159"/>
      <c r="B34" s="159"/>
      <c r="C34" s="159"/>
      <c r="D34" s="159"/>
      <c r="E34" s="159"/>
      <c r="F34" s="159"/>
      <c r="G34" s="160"/>
      <c r="H34" s="161"/>
      <c r="I34" s="161"/>
      <c r="J34" s="161"/>
      <c r="K34" s="161"/>
      <c r="L34" s="159"/>
      <c r="M34" s="159"/>
      <c r="N34" s="162"/>
      <c r="O34" s="162"/>
      <c r="P34" s="162"/>
      <c r="Q34" s="162"/>
    </row>
    <row r="35" spans="1:17" ht="17.25" customHeight="1">
      <c r="A35" s="159"/>
      <c r="B35" s="195" t="s">
        <v>150</v>
      </c>
      <c r="C35" s="165"/>
      <c r="D35" s="166"/>
      <c r="E35" s="166"/>
      <c r="F35" s="166"/>
      <c r="G35" s="167"/>
      <c r="H35" s="168"/>
      <c r="I35" s="168"/>
      <c r="J35" s="168"/>
      <c r="K35" s="168"/>
      <c r="L35" s="165"/>
      <c r="M35" s="159"/>
      <c r="N35" s="162"/>
      <c r="O35" s="162"/>
      <c r="P35" s="162"/>
      <c r="Q35" s="162"/>
    </row>
    <row r="36" spans="1:17" ht="17.25" customHeight="1">
      <c r="A36" s="159"/>
      <c r="B36" s="359" t="s">
        <v>153</v>
      </c>
      <c r="C36" s="359"/>
      <c r="D36" s="359"/>
      <c r="E36" s="166"/>
      <c r="F36" s="359" t="s">
        <v>151</v>
      </c>
      <c r="G36" s="359"/>
      <c r="H36" s="359"/>
      <c r="I36" s="168"/>
      <c r="J36" s="358" t="s">
        <v>152</v>
      </c>
      <c r="K36" s="358"/>
      <c r="L36" s="165"/>
      <c r="M36" s="159"/>
      <c r="N36" s="162"/>
      <c r="O36" s="162"/>
      <c r="P36" s="162"/>
      <c r="Q36" s="162"/>
    </row>
    <row r="37" spans="1:17" ht="17.100000000000001" customHeight="1">
      <c r="A37" s="159"/>
      <c r="B37" s="351" t="s">
        <v>233</v>
      </c>
      <c r="C37" s="351"/>
      <c r="D37" s="171">
        <v>180000000</v>
      </c>
      <c r="E37" s="196"/>
      <c r="F37" s="196"/>
      <c r="G37" s="197" t="s">
        <v>141</v>
      </c>
      <c r="H37" s="171">
        <v>0.9</v>
      </c>
      <c r="I37" s="168"/>
      <c r="J37" s="167" t="s">
        <v>142</v>
      </c>
      <c r="K37" s="171">
        <v>3.3</v>
      </c>
      <c r="L37" s="165"/>
      <c r="M37" s="159"/>
      <c r="N37" s="162"/>
      <c r="O37" s="162"/>
      <c r="P37" s="162"/>
      <c r="Q37" s="162"/>
    </row>
    <row r="38" spans="1:17" ht="5.0999999999999996" customHeight="1">
      <c r="A38" s="159"/>
      <c r="B38" s="198"/>
      <c r="C38" s="170"/>
      <c r="D38" s="168"/>
      <c r="E38" s="166"/>
      <c r="F38" s="166"/>
      <c r="G38" s="167"/>
      <c r="H38" s="168"/>
      <c r="I38" s="168"/>
      <c r="J38" s="167"/>
      <c r="K38" s="168"/>
      <c r="L38" s="165"/>
      <c r="M38" s="159"/>
      <c r="N38" s="162"/>
      <c r="O38" s="162"/>
      <c r="P38" s="162"/>
      <c r="Q38" s="162"/>
    </row>
    <row r="39" spans="1:17" ht="17.100000000000001" customHeight="1">
      <c r="A39" s="159"/>
      <c r="B39" s="356" t="s">
        <v>193</v>
      </c>
      <c r="C39" s="357"/>
      <c r="D39" s="171">
        <v>23000000</v>
      </c>
      <c r="E39" s="196"/>
      <c r="F39" s="196"/>
      <c r="G39" s="170" t="s">
        <v>226</v>
      </c>
      <c r="H39" s="171">
        <v>80</v>
      </c>
      <c r="I39" s="168"/>
      <c r="J39" s="167" t="s">
        <v>143</v>
      </c>
      <c r="K39" s="171">
        <v>1.3</v>
      </c>
      <c r="L39" s="165"/>
      <c r="M39" s="159"/>
      <c r="N39" s="162"/>
      <c r="O39" s="162"/>
      <c r="P39" s="162"/>
      <c r="Q39" s="162"/>
    </row>
    <row r="40" spans="1:17" ht="5.0999999999999996" customHeight="1">
      <c r="A40" s="159"/>
      <c r="B40" s="165"/>
      <c r="C40" s="170"/>
      <c r="D40" s="166"/>
      <c r="E40" s="167"/>
      <c r="F40" s="170"/>
      <c r="G40" s="170"/>
      <c r="H40" s="168"/>
      <c r="I40" s="168"/>
      <c r="J40" s="168"/>
      <c r="K40" s="168"/>
      <c r="L40" s="165"/>
      <c r="M40" s="159"/>
      <c r="N40" s="162"/>
      <c r="O40" s="162"/>
      <c r="P40" s="162"/>
      <c r="Q40" s="162"/>
    </row>
    <row r="41" spans="1:17" ht="17.100000000000001" customHeight="1">
      <c r="A41" s="159"/>
      <c r="B41" s="351" t="s">
        <v>144</v>
      </c>
      <c r="C41" s="351"/>
      <c r="D41" s="171">
        <v>10000000</v>
      </c>
      <c r="E41" s="167"/>
      <c r="F41" s="168"/>
      <c r="G41" s="167"/>
      <c r="H41" s="168"/>
      <c r="I41" s="168"/>
      <c r="J41" s="168"/>
      <c r="K41" s="168"/>
      <c r="L41" s="165"/>
      <c r="M41" s="159"/>
      <c r="N41" s="162"/>
      <c r="O41" s="162"/>
      <c r="P41" s="162"/>
      <c r="Q41" s="162"/>
    </row>
    <row r="42" spans="1:17" ht="5.0999999999999996" customHeight="1">
      <c r="A42" s="159"/>
      <c r="B42" s="198"/>
      <c r="C42" s="170"/>
      <c r="D42" s="168"/>
      <c r="E42" s="167"/>
      <c r="F42" s="169"/>
      <c r="G42" s="170"/>
      <c r="H42" s="168"/>
      <c r="I42" s="168"/>
      <c r="J42" s="168"/>
      <c r="K42" s="168"/>
      <c r="L42" s="165"/>
      <c r="M42" s="159"/>
      <c r="N42" s="162"/>
      <c r="O42" s="162"/>
      <c r="P42" s="162"/>
      <c r="Q42" s="162"/>
    </row>
    <row r="43" spans="1:17" ht="17.100000000000001" customHeight="1">
      <c r="A43" s="159"/>
      <c r="B43" s="351"/>
      <c r="C43" s="351"/>
      <c r="D43" s="168"/>
      <c r="E43" s="167"/>
      <c r="F43" s="169"/>
      <c r="G43" s="170"/>
      <c r="H43" s="168"/>
      <c r="I43" s="168"/>
      <c r="J43" s="168"/>
      <c r="K43" s="168"/>
      <c r="L43" s="165"/>
      <c r="M43" s="159"/>
      <c r="N43" s="162"/>
      <c r="O43" s="162"/>
      <c r="P43" s="162"/>
      <c r="Q43" s="162"/>
    </row>
    <row r="44" spans="1:17" ht="17.100000000000001" customHeight="1">
      <c r="A44" s="159"/>
      <c r="B44" s="159"/>
      <c r="C44" s="159"/>
      <c r="D44" s="159"/>
      <c r="E44" s="159"/>
      <c r="F44" s="161"/>
      <c r="G44" s="160"/>
      <c r="H44" s="199"/>
      <c r="I44" s="199"/>
      <c r="J44" s="199"/>
      <c r="K44" s="199"/>
      <c r="L44" s="159"/>
      <c r="M44" s="159"/>
      <c r="N44" s="162"/>
      <c r="O44" s="162"/>
      <c r="P44" s="162"/>
      <c r="Q44" s="162"/>
    </row>
    <row r="45" spans="1:17" ht="17.100000000000001" customHeight="1">
      <c r="A45" s="159"/>
      <c r="B45" s="159"/>
      <c r="C45" s="159"/>
      <c r="D45" s="159"/>
      <c r="E45" s="159"/>
      <c r="F45" s="161"/>
      <c r="G45" s="160"/>
      <c r="H45" s="199"/>
      <c r="I45" s="199"/>
      <c r="J45" s="199"/>
      <c r="K45" s="199"/>
      <c r="L45" s="159"/>
      <c r="M45" s="159"/>
      <c r="N45" s="162"/>
      <c r="O45" s="162"/>
      <c r="P45" s="162"/>
      <c r="Q45" s="162"/>
    </row>
    <row r="46" spans="1:17" ht="5.0999999999999996" customHeight="1">
      <c r="A46" s="159"/>
      <c r="B46" s="159"/>
      <c r="C46" s="159"/>
      <c r="D46" s="159"/>
      <c r="E46" s="159"/>
      <c r="F46" s="200"/>
      <c r="G46" s="160"/>
      <c r="H46" s="161"/>
      <c r="I46" s="200"/>
      <c r="J46" s="200"/>
      <c r="K46" s="200"/>
      <c r="L46" s="200"/>
      <c r="M46" s="159"/>
      <c r="N46" s="162"/>
      <c r="O46" s="162"/>
      <c r="P46" s="162"/>
      <c r="Q46" s="162"/>
    </row>
    <row r="47" spans="1:17" ht="17.100000000000001" customHeight="1">
      <c r="A47" s="159"/>
      <c r="B47" s="159"/>
      <c r="C47" s="159"/>
      <c r="D47" s="159"/>
      <c r="E47" s="159"/>
      <c r="F47" s="200"/>
      <c r="G47" s="160"/>
      <c r="H47" s="199"/>
      <c r="I47" s="199"/>
      <c r="J47" s="199"/>
      <c r="K47" s="199"/>
      <c r="L47" s="159"/>
      <c r="M47" s="159"/>
      <c r="N47" s="162"/>
      <c r="O47" s="162"/>
      <c r="P47" s="162"/>
      <c r="Q47" s="162"/>
    </row>
    <row r="48" spans="1:17" ht="5.0999999999999996" customHeight="1">
      <c r="A48" s="159"/>
      <c r="B48" s="159"/>
      <c r="C48" s="159"/>
      <c r="D48" s="159"/>
      <c r="E48" s="159"/>
      <c r="F48" s="161"/>
      <c r="G48" s="160"/>
      <c r="H48" s="199"/>
      <c r="I48" s="199"/>
      <c r="J48" s="199"/>
      <c r="K48" s="199"/>
      <c r="L48" s="159"/>
      <c r="M48" s="159"/>
      <c r="N48" s="162"/>
      <c r="O48" s="162"/>
      <c r="P48" s="162"/>
      <c r="Q48" s="162"/>
    </row>
    <row r="49" spans="1:17" ht="14.25" customHeight="1">
      <c r="A49" s="159"/>
      <c r="B49" s="159"/>
      <c r="C49" s="159"/>
      <c r="D49" s="159"/>
      <c r="E49" s="159"/>
      <c r="F49" s="161"/>
      <c r="G49" s="160"/>
      <c r="H49" s="199"/>
      <c r="I49" s="199"/>
      <c r="J49" s="199"/>
      <c r="K49" s="199"/>
      <c r="L49" s="159"/>
      <c r="M49" s="159"/>
      <c r="N49" s="162"/>
      <c r="O49" s="162"/>
      <c r="P49" s="162"/>
      <c r="Q49" s="162"/>
    </row>
    <row r="50" spans="1:17" ht="15" customHeight="1">
      <c r="A50" s="159"/>
      <c r="B50" s="159"/>
      <c r="C50" s="159"/>
      <c r="D50" s="159"/>
      <c r="E50" s="159"/>
      <c r="F50" s="161"/>
      <c r="G50" s="160"/>
      <c r="H50" s="199"/>
      <c r="I50" s="199"/>
      <c r="J50" s="199"/>
      <c r="K50" s="199"/>
      <c r="L50" s="159"/>
      <c r="M50" s="159"/>
      <c r="N50" s="162"/>
      <c r="O50" s="162"/>
      <c r="P50" s="162"/>
      <c r="Q50" s="162"/>
    </row>
    <row r="51" spans="1:17" ht="15" hidden="1" customHeight="1">
      <c r="A51" s="159"/>
      <c r="B51" s="159"/>
      <c r="C51" s="159"/>
      <c r="D51" s="159"/>
      <c r="E51" s="159"/>
      <c r="F51" s="161"/>
      <c r="G51" s="160"/>
      <c r="H51" s="199"/>
      <c r="I51" s="199"/>
      <c r="J51" s="199"/>
      <c r="K51" s="199"/>
      <c r="L51" s="159"/>
      <c r="M51" s="159"/>
      <c r="N51" s="162"/>
      <c r="O51" s="162"/>
      <c r="P51" s="162"/>
      <c r="Q51" s="162"/>
    </row>
    <row r="52" spans="1:17" ht="15" hidden="1" customHeight="1">
      <c r="A52" s="159"/>
      <c r="B52" s="159"/>
      <c r="C52" s="159"/>
      <c r="D52" s="159"/>
      <c r="E52" s="159"/>
      <c r="F52" s="161"/>
      <c r="G52" s="160"/>
      <c r="H52" s="199"/>
      <c r="I52" s="199"/>
      <c r="J52" s="199"/>
      <c r="K52" s="199"/>
      <c r="L52" s="159"/>
      <c r="M52" s="159"/>
      <c r="N52" s="162"/>
      <c r="O52" s="162"/>
      <c r="P52" s="162"/>
      <c r="Q52" s="162"/>
    </row>
    <row r="53" spans="1:17" ht="15" hidden="1" customHeight="1">
      <c r="A53" s="159"/>
      <c r="B53" s="159"/>
      <c r="C53" s="159"/>
      <c r="D53" s="159"/>
      <c r="E53" s="159"/>
      <c r="F53" s="161"/>
      <c r="G53" s="160"/>
      <c r="H53" s="199"/>
      <c r="I53" s="199"/>
      <c r="J53" s="199"/>
      <c r="K53" s="199"/>
      <c r="L53" s="159"/>
      <c r="M53" s="159"/>
      <c r="N53" s="162"/>
      <c r="O53" s="162"/>
      <c r="P53" s="162"/>
      <c r="Q53" s="162"/>
    </row>
    <row r="54" spans="1:17" ht="15" hidden="1" customHeight="1">
      <c r="A54" s="159"/>
      <c r="B54" s="159"/>
      <c r="C54" s="159"/>
      <c r="D54" s="159"/>
      <c r="E54" s="159"/>
      <c r="F54" s="161"/>
      <c r="G54" s="160"/>
      <c r="H54" s="199"/>
      <c r="I54" s="199"/>
      <c r="J54" s="199"/>
      <c r="K54" s="199"/>
      <c r="L54" s="159"/>
      <c r="M54" s="159"/>
      <c r="N54" s="162"/>
      <c r="O54" s="162"/>
      <c r="P54" s="162"/>
      <c r="Q54" s="162"/>
    </row>
    <row r="55" spans="1:17" ht="15" hidden="1" customHeight="1">
      <c r="A55" s="159"/>
      <c r="B55" s="159"/>
      <c r="C55" s="159"/>
      <c r="D55" s="159"/>
      <c r="E55" s="159"/>
      <c r="F55" s="161"/>
      <c r="G55" s="160"/>
      <c r="H55" s="199"/>
      <c r="I55" s="199"/>
      <c r="J55" s="199"/>
      <c r="K55" s="199"/>
      <c r="L55" s="159"/>
      <c r="M55" s="159"/>
      <c r="N55" s="162"/>
      <c r="O55" s="162"/>
      <c r="P55" s="162"/>
      <c r="Q55" s="162"/>
    </row>
    <row r="56" spans="1:17" ht="12" hidden="1" customHeight="1">
      <c r="A56" s="159"/>
      <c r="B56" s="159"/>
      <c r="C56" s="159"/>
      <c r="D56" s="159"/>
      <c r="E56" s="159"/>
      <c r="F56" s="161"/>
      <c r="G56" s="160"/>
      <c r="H56" s="199"/>
      <c r="I56" s="199"/>
      <c r="J56" s="199"/>
      <c r="K56" s="199"/>
      <c r="L56" s="159"/>
      <c r="M56" s="159"/>
      <c r="N56" s="162"/>
      <c r="O56" s="162"/>
      <c r="P56" s="162"/>
      <c r="Q56" s="162"/>
    </row>
    <row r="57" spans="1:17" ht="16.5" hidden="1" customHeight="1">
      <c r="A57" s="159"/>
      <c r="B57" s="159"/>
      <c r="C57" s="159"/>
      <c r="D57" s="159"/>
      <c r="E57" s="159"/>
      <c r="F57" s="161"/>
      <c r="G57" s="160"/>
      <c r="H57" s="199"/>
      <c r="I57" s="199"/>
      <c r="J57" s="199"/>
      <c r="K57" s="199"/>
      <c r="L57" s="159"/>
      <c r="M57" s="159"/>
      <c r="N57" s="162"/>
      <c r="O57" s="162"/>
      <c r="P57" s="162"/>
      <c r="Q57" s="162"/>
    </row>
    <row r="58" spans="1:17" ht="15" hidden="1" customHeight="1">
      <c r="A58" s="159"/>
      <c r="B58" s="159"/>
      <c r="C58" s="159"/>
      <c r="D58" s="159"/>
      <c r="E58" s="159"/>
      <c r="F58" s="161"/>
      <c r="G58" s="160"/>
      <c r="H58" s="199"/>
      <c r="I58" s="199"/>
      <c r="J58" s="199"/>
      <c r="K58" s="199"/>
      <c r="L58" s="159"/>
      <c r="M58" s="159"/>
      <c r="N58" s="162"/>
      <c r="O58" s="162"/>
      <c r="P58" s="162"/>
      <c r="Q58" s="162"/>
    </row>
    <row r="59" spans="1:17" ht="15.75" hidden="1" customHeight="1">
      <c r="A59" s="159"/>
      <c r="B59" s="159"/>
      <c r="C59" s="159"/>
      <c r="D59" s="159"/>
      <c r="E59" s="159"/>
      <c r="F59" s="161"/>
      <c r="G59" s="160"/>
      <c r="H59" s="199"/>
      <c r="I59" s="199"/>
      <c r="J59" s="199"/>
      <c r="K59" s="199"/>
      <c r="L59" s="159"/>
      <c r="M59" s="159"/>
      <c r="N59" s="162"/>
      <c r="O59" s="162"/>
      <c r="P59" s="162"/>
      <c r="Q59" s="162"/>
    </row>
    <row r="60" spans="1:17" hidden="1">
      <c r="A60" s="159">
        <v>56</v>
      </c>
      <c r="B60" s="159"/>
      <c r="C60" s="159"/>
      <c r="D60" s="159"/>
      <c r="E60" s="159"/>
      <c r="F60" s="161"/>
      <c r="G60" s="160"/>
      <c r="H60" s="199"/>
      <c r="I60" s="199"/>
      <c r="J60" s="199"/>
      <c r="K60" s="199"/>
      <c r="L60" s="159"/>
      <c r="M60" s="159"/>
      <c r="N60" s="162"/>
      <c r="O60" s="162"/>
      <c r="P60" s="162"/>
      <c r="Q60" s="162"/>
    </row>
    <row r="61" spans="1:17">
      <c r="A61" s="159"/>
      <c r="B61" s="159"/>
      <c r="C61" s="159"/>
      <c r="D61" s="159"/>
      <c r="E61" s="159"/>
      <c r="F61" s="161"/>
      <c r="G61" s="160"/>
      <c r="H61" s="199"/>
      <c r="I61" s="199"/>
      <c r="J61" s="199"/>
      <c r="K61" s="199"/>
      <c r="L61" s="159"/>
      <c r="M61" s="159"/>
      <c r="O61" s="162"/>
    </row>
    <row r="62" spans="1:17">
      <c r="A62" s="159"/>
      <c r="B62" s="159"/>
      <c r="C62" s="159"/>
      <c r="D62" s="159"/>
      <c r="E62" s="159"/>
      <c r="F62" s="161"/>
      <c r="G62" s="160"/>
      <c r="H62" s="199"/>
      <c r="I62" s="199"/>
      <c r="J62" s="199"/>
      <c r="K62" s="199"/>
      <c r="L62" s="159"/>
      <c r="M62" s="159"/>
    </row>
    <row r="64" spans="1:17">
      <c r="A64" s="194"/>
      <c r="B64" s="194"/>
      <c r="C64" s="194"/>
      <c r="D64" s="194"/>
      <c r="E64" s="194"/>
      <c r="F64" s="194"/>
    </row>
    <row r="65" spans="1:6">
      <c r="A65" s="194"/>
      <c r="B65" s="194"/>
      <c r="C65" s="194"/>
      <c r="D65" s="194"/>
      <c r="E65" s="194"/>
      <c r="F65" s="194"/>
    </row>
    <row r="66" spans="1:6">
      <c r="A66" s="194"/>
      <c r="B66" s="194"/>
      <c r="C66" s="194"/>
      <c r="D66" s="194"/>
      <c r="E66" s="194"/>
      <c r="F66" s="194"/>
    </row>
    <row r="67" spans="1:6">
      <c r="A67" s="202">
        <v>0</v>
      </c>
      <c r="B67" s="194"/>
      <c r="C67" s="194"/>
      <c r="D67" s="194"/>
      <c r="E67" s="194"/>
      <c r="F67" s="194"/>
    </row>
    <row r="68" spans="1:6">
      <c r="A68" s="194"/>
      <c r="B68" s="194"/>
      <c r="C68" s="194"/>
      <c r="D68" s="194"/>
      <c r="E68" s="194"/>
      <c r="F68" s="194"/>
    </row>
    <row r="101" spans="1:4">
      <c r="A101" s="163">
        <v>86.522766671052452</v>
      </c>
      <c r="B101" s="163">
        <v>87.421961393583473</v>
      </c>
      <c r="C101" s="163">
        <v>86.522766671052452</v>
      </c>
      <c r="D101" s="163">
        <v>87.421961393583473</v>
      </c>
    </row>
    <row r="102" spans="1:4">
      <c r="A102" s="163">
        <v>91.965980727999991</v>
      </c>
      <c r="B102" s="163">
        <v>91.965980727999991</v>
      </c>
      <c r="C102" s="163">
        <v>91.965980727999991</v>
      </c>
      <c r="D102" s="163">
        <v>91.965980727999991</v>
      </c>
    </row>
    <row r="111" spans="1:4">
      <c r="A111" s="163">
        <v>70893.087171487932</v>
      </c>
      <c r="B111" s="163">
        <v>70429.644616551435</v>
      </c>
      <c r="C111" s="163">
        <v>70893.087171487932</v>
      </c>
      <c r="D111" s="163">
        <v>70429.644616551435</v>
      </c>
    </row>
    <row r="112" spans="1:4">
      <c r="A112" s="163">
        <v>70052.74691989999</v>
      </c>
      <c r="B112" s="163">
        <v>70052.74691989999</v>
      </c>
      <c r="C112" s="163">
        <v>70052.74691989999</v>
      </c>
      <c r="D112" s="163">
        <v>70052.74691989999</v>
      </c>
    </row>
  </sheetData>
  <mergeCells count="10">
    <mergeCell ref="B41:C41"/>
    <mergeCell ref="B43:C43"/>
    <mergeCell ref="H18:K18"/>
    <mergeCell ref="A1:M1"/>
    <mergeCell ref="B39:C39"/>
    <mergeCell ref="B37:C37"/>
    <mergeCell ref="J36:K36"/>
    <mergeCell ref="B36:D36"/>
    <mergeCell ref="F36:H36"/>
    <mergeCell ref="G22:K22"/>
  </mergeCells>
  <phoneticPr fontId="5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" r:id="rId4" name="btn26FA">
          <controlPr defaultSize="0" autoLine="0" r:id="rId5">
            <anchor moveWithCells="1">
              <from>
                <xdr:col>9</xdr:col>
                <xdr:colOff>542925</xdr:colOff>
                <xdr:row>49</xdr:row>
                <xdr:rowOff>9525</xdr:rowOff>
              </from>
              <to>
                <xdr:col>10</xdr:col>
                <xdr:colOff>390525</xdr:colOff>
                <xdr:row>60</xdr:row>
                <xdr:rowOff>123825</xdr:rowOff>
              </to>
            </anchor>
          </controlPr>
        </control>
      </mc:Choice>
      <mc:Fallback>
        <control shapeId="1044" r:id="rId4" name="btn26FA"/>
      </mc:Fallback>
    </mc:AlternateContent>
    <mc:AlternateContent xmlns:mc="http://schemas.openxmlformats.org/markup-compatibility/2006">
      <mc:Choice Requires="x14">
        <control shapeId="1042" r:id="rId6" name="btnCal_6FA">
          <controlPr defaultSize="0" autoLine="0" r:id="rId7">
            <anchor moveWithCells="1">
              <from>
                <xdr:col>2</xdr:col>
                <xdr:colOff>1781175</xdr:colOff>
                <xdr:row>49</xdr:row>
                <xdr:rowOff>47625</xdr:rowOff>
              </from>
              <to>
                <xdr:col>3</xdr:col>
                <xdr:colOff>723900</xdr:colOff>
                <xdr:row>60</xdr:row>
                <xdr:rowOff>180975</xdr:rowOff>
              </to>
            </anchor>
          </controlPr>
        </control>
      </mc:Choice>
      <mc:Fallback>
        <control shapeId="1042" r:id="rId6" name="btnCal_6FA"/>
      </mc:Fallback>
    </mc:AlternateContent>
    <mc:AlternateContent xmlns:mc="http://schemas.openxmlformats.org/markup-compatibility/2006">
      <mc:Choice Requires="x14">
        <control shapeId="1041" r:id="rId8" name="CommandButton1">
          <controlPr defaultSize="0" autoLine="0" r:id="rId9">
            <anchor moveWithCells="1">
              <from>
                <xdr:col>10</xdr:col>
                <xdr:colOff>152400</xdr:colOff>
                <xdr:row>0</xdr:row>
                <xdr:rowOff>57150</xdr:rowOff>
              </from>
              <to>
                <xdr:col>12</xdr:col>
                <xdr:colOff>161925</xdr:colOff>
                <xdr:row>1</xdr:row>
                <xdr:rowOff>104775</xdr:rowOff>
              </to>
            </anchor>
          </controlPr>
        </control>
      </mc:Choice>
      <mc:Fallback>
        <control shapeId="1041" r:id="rId8" name="CommandButton1"/>
      </mc:Fallback>
    </mc:AlternateContent>
    <mc:AlternateContent xmlns:mc="http://schemas.openxmlformats.org/markup-compatibility/2006">
      <mc:Choice Requires="x14">
        <control shapeId="1050" r:id="rId10" name="optSeason">
          <controlPr locked="0" defaultSize="0" autoLine="0" r:id="rId11">
            <anchor moveWithCells="1">
              <from>
                <xdr:col>6</xdr:col>
                <xdr:colOff>295275</xdr:colOff>
                <xdr:row>23</xdr:row>
                <xdr:rowOff>76200</xdr:rowOff>
              </from>
              <to>
                <xdr:col>6</xdr:col>
                <xdr:colOff>1190625</xdr:colOff>
                <xdr:row>25</xdr:row>
                <xdr:rowOff>123825</xdr:rowOff>
              </to>
            </anchor>
          </controlPr>
        </control>
      </mc:Choice>
      <mc:Fallback>
        <control shapeId="1050" r:id="rId10" name="optSeason"/>
      </mc:Fallback>
    </mc:AlternateContent>
    <mc:AlternateContent xmlns:mc="http://schemas.openxmlformats.org/markup-compatibility/2006">
      <mc:Choice Requires="x14">
        <control shapeId="1051" r:id="rId12" name="optRange">
          <controlPr defaultSize="0" autoLine="0" r:id="rId13">
            <anchor moveWithCells="1">
              <from>
                <xdr:col>6</xdr:col>
                <xdr:colOff>285750</xdr:colOff>
                <xdr:row>28</xdr:row>
                <xdr:rowOff>38100</xdr:rowOff>
              </from>
              <to>
                <xdr:col>6</xdr:col>
                <xdr:colOff>1314450</xdr:colOff>
                <xdr:row>30</xdr:row>
                <xdr:rowOff>104775</xdr:rowOff>
              </to>
            </anchor>
          </controlPr>
        </control>
      </mc:Choice>
      <mc:Fallback>
        <control shapeId="1051" r:id="rId12" name="optRang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G64"/>
  <sheetViews>
    <sheetView zoomScale="55" zoomScaleNormal="55" workbookViewId="0">
      <selection activeCell="N4" sqref="N4"/>
    </sheetView>
  </sheetViews>
  <sheetFormatPr defaultColWidth="5.28515625" defaultRowHeight="18.75"/>
  <cols>
    <col min="1" max="4" width="9.7109375" style="210" customWidth="1"/>
    <col min="5" max="8" width="34.28515625" style="210" customWidth="1"/>
    <col min="9" max="9" width="6.5703125" style="210" customWidth="1"/>
    <col min="10" max="10" width="3.140625" style="210" customWidth="1"/>
    <col min="11" max="11" width="22.28515625" style="210" customWidth="1"/>
    <col min="12" max="12" width="7.28515625" style="322" customWidth="1"/>
    <col min="13" max="13" width="6.85546875" style="322" customWidth="1"/>
    <col min="14" max="14" width="7.28515625" style="322" customWidth="1"/>
    <col min="15" max="15" width="7" style="322" customWidth="1"/>
    <col min="16" max="16" width="7.28515625" style="322" customWidth="1"/>
    <col min="17" max="20" width="8.5703125" style="206" customWidth="1"/>
    <col min="21" max="21" width="6.28515625" style="206" customWidth="1"/>
    <col min="22" max="22" width="3.85546875" style="206" customWidth="1"/>
    <col min="23" max="26" width="5.28515625" style="209"/>
    <col min="27" max="27" width="11.140625" style="227" hidden="1" customWidth="1"/>
    <col min="28" max="28" width="10.85546875" style="227" hidden="1" customWidth="1"/>
    <col min="29" max="29" width="23" style="227" hidden="1" customWidth="1"/>
    <col min="30" max="30" width="20.140625" style="227" hidden="1" customWidth="1"/>
    <col min="31" max="31" width="6.7109375" style="208" customWidth="1"/>
    <col min="32" max="32" width="14.140625" style="208" customWidth="1"/>
    <col min="33" max="33" width="5.28515625" style="206" customWidth="1"/>
    <col min="34" max="16384" width="5.28515625" style="209"/>
  </cols>
  <sheetData>
    <row r="1" spans="1:33" ht="50.1" customHeight="1">
      <c r="A1" s="203"/>
      <c r="B1" s="380" t="s">
        <v>218</v>
      </c>
      <c r="C1" s="381"/>
      <c r="D1" s="381"/>
      <c r="E1" s="381"/>
      <c r="F1" s="381"/>
      <c r="G1" s="381"/>
      <c r="H1" s="381"/>
      <c r="I1" s="381"/>
      <c r="J1" s="340"/>
      <c r="K1" s="340"/>
      <c r="L1" s="341"/>
      <c r="M1" s="341"/>
      <c r="N1" s="341"/>
      <c r="O1" s="341"/>
      <c r="P1" s="341"/>
      <c r="Q1" s="341"/>
      <c r="R1" s="341"/>
      <c r="S1" s="341"/>
      <c r="T1" s="341"/>
      <c r="U1" s="341"/>
      <c r="AA1" s="207"/>
      <c r="AB1" s="207"/>
      <c r="AC1" s="207"/>
      <c r="AD1" s="207"/>
    </row>
    <row r="2" spans="1:33" ht="50.1" customHeight="1">
      <c r="A2" s="203"/>
      <c r="C2" s="340"/>
      <c r="D2" s="340"/>
      <c r="E2" s="382" t="s">
        <v>210</v>
      </c>
      <c r="F2" s="382"/>
      <c r="G2" s="382" t="s">
        <v>212</v>
      </c>
      <c r="H2" s="382"/>
      <c r="I2" s="340"/>
      <c r="J2" s="340"/>
      <c r="K2" s="340"/>
      <c r="S2" s="341"/>
      <c r="T2" s="341"/>
      <c r="U2" s="341"/>
      <c r="AA2" s="207"/>
      <c r="AB2" s="211"/>
      <c r="AC2" s="211" t="s">
        <v>8</v>
      </c>
      <c r="AD2" s="211" t="s">
        <v>11</v>
      </c>
      <c r="AE2" s="212"/>
      <c r="AG2" s="209"/>
    </row>
    <row r="3" spans="1:33" ht="17.100000000000001" customHeight="1">
      <c r="A3" s="203"/>
      <c r="B3" s="369" t="s">
        <v>171</v>
      </c>
      <c r="C3" s="370"/>
      <c r="D3" s="370"/>
      <c r="E3" s="340"/>
      <c r="F3" s="340"/>
      <c r="G3" s="340"/>
      <c r="H3" s="340"/>
      <c r="I3" s="340"/>
      <c r="J3" s="340"/>
      <c r="K3" s="340"/>
      <c r="S3" s="341"/>
      <c r="T3" s="341"/>
      <c r="U3" s="341"/>
      <c r="AA3" s="207" t="s">
        <v>23</v>
      </c>
      <c r="AB3" s="211">
        <v>0</v>
      </c>
      <c r="AC3" s="213">
        <v>40</v>
      </c>
      <c r="AD3" s="213">
        <v>20</v>
      </c>
      <c r="AE3" s="212"/>
      <c r="AG3" s="209"/>
    </row>
    <row r="4" spans="1:33" s="218" customFormat="1" ht="17.100000000000001" customHeight="1">
      <c r="A4" s="203"/>
      <c r="B4" s="370"/>
      <c r="C4" s="370"/>
      <c r="D4" s="370"/>
      <c r="E4" s="342"/>
      <c r="F4" s="342"/>
      <c r="G4" s="203"/>
      <c r="H4" s="203"/>
      <c r="I4" s="203"/>
      <c r="J4" s="203"/>
      <c r="K4" s="215"/>
      <c r="L4" s="322"/>
      <c r="M4" s="322"/>
      <c r="N4" s="322"/>
      <c r="O4" s="322"/>
      <c r="P4" s="322"/>
      <c r="Q4" s="206"/>
      <c r="R4" s="206"/>
      <c r="S4" s="216"/>
      <c r="T4" s="216"/>
      <c r="U4" s="217"/>
      <c r="V4" s="216"/>
      <c r="AA4" s="207" t="s">
        <v>4</v>
      </c>
      <c r="AB4" s="207">
        <f>AB3</f>
        <v>0</v>
      </c>
      <c r="AC4" s="213">
        <v>40</v>
      </c>
      <c r="AD4" s="213">
        <v>20</v>
      </c>
      <c r="AE4" s="219"/>
      <c r="AF4" s="208"/>
    </row>
    <row r="5" spans="1:33" s="221" customFormat="1" ht="17.100000000000001" customHeight="1">
      <c r="A5" s="220"/>
      <c r="B5" s="370"/>
      <c r="C5" s="370"/>
      <c r="D5" s="370"/>
      <c r="E5" s="342"/>
      <c r="F5" s="342"/>
      <c r="G5" s="220"/>
      <c r="H5" s="220"/>
      <c r="I5" s="220"/>
      <c r="J5" s="220"/>
      <c r="K5" s="215"/>
      <c r="L5" s="322"/>
      <c r="M5" s="322"/>
      <c r="N5" s="322"/>
      <c r="O5" s="322"/>
      <c r="P5" s="322"/>
      <c r="Q5" s="206"/>
      <c r="R5" s="206"/>
      <c r="S5" s="217"/>
      <c r="T5" s="217"/>
      <c r="U5" s="217"/>
      <c r="V5" s="217"/>
      <c r="AA5" s="207" t="s">
        <v>3</v>
      </c>
      <c r="AB5" s="207">
        <f>AB4</f>
        <v>0</v>
      </c>
      <c r="AC5" s="213">
        <v>40</v>
      </c>
      <c r="AD5" s="213">
        <v>20</v>
      </c>
      <c r="AE5" s="219"/>
      <c r="AF5" s="208"/>
    </row>
    <row r="6" spans="1:33" s="221" customFormat="1" ht="17.100000000000001" customHeight="1">
      <c r="A6" s="220"/>
      <c r="B6" s="370"/>
      <c r="C6" s="370"/>
      <c r="D6" s="370"/>
      <c r="E6" s="342"/>
      <c r="F6" s="342"/>
      <c r="G6" s="220"/>
      <c r="H6" s="220"/>
      <c r="I6" s="220"/>
      <c r="J6" s="220"/>
      <c r="K6" s="215"/>
      <c r="L6" s="322"/>
      <c r="M6" s="322"/>
      <c r="N6" s="322"/>
      <c r="O6" s="322"/>
      <c r="P6" s="322"/>
      <c r="Q6" s="206"/>
      <c r="R6" s="206"/>
      <c r="S6" s="217"/>
      <c r="T6" s="217"/>
      <c r="U6" s="217"/>
      <c r="V6" s="217"/>
      <c r="AA6" s="207"/>
      <c r="AB6" s="207"/>
      <c r="AC6" s="207"/>
      <c r="AD6" s="207"/>
      <c r="AE6" s="219"/>
      <c r="AF6" s="208"/>
    </row>
    <row r="7" spans="1:33" s="221" customFormat="1" ht="17.100000000000001" customHeight="1">
      <c r="A7" s="220"/>
      <c r="B7" s="222"/>
      <c r="C7" s="223"/>
      <c r="D7" s="222"/>
      <c r="E7" s="342"/>
      <c r="F7" s="342"/>
      <c r="G7" s="220"/>
      <c r="H7" s="220"/>
      <c r="I7" s="220"/>
      <c r="J7" s="220"/>
      <c r="K7" s="215"/>
      <c r="L7" s="322"/>
      <c r="M7" s="322"/>
      <c r="N7" s="322"/>
      <c r="O7" s="322"/>
      <c r="P7" s="322"/>
      <c r="Q7" s="206"/>
      <c r="R7" s="206"/>
      <c r="S7" s="217"/>
      <c r="T7" s="217"/>
      <c r="U7" s="217"/>
      <c r="V7" s="217"/>
      <c r="AA7" s="207"/>
      <c r="AB7" s="207"/>
      <c r="AC7" s="207"/>
      <c r="AD7" s="207"/>
      <c r="AE7" s="219"/>
      <c r="AF7" s="208"/>
    </row>
    <row r="8" spans="1:33" s="221" customFormat="1" ht="17.100000000000001" customHeight="1">
      <c r="A8" s="220"/>
      <c r="B8" s="222"/>
      <c r="C8" s="223"/>
      <c r="D8" s="222"/>
      <c r="E8" s="342"/>
      <c r="F8" s="342"/>
      <c r="G8" s="220"/>
      <c r="H8" s="220"/>
      <c r="I8" s="220"/>
      <c r="J8" s="220"/>
      <c r="K8" s="215"/>
      <c r="L8" s="322"/>
      <c r="M8" s="322"/>
      <c r="N8" s="322"/>
      <c r="O8" s="322"/>
      <c r="P8" s="322"/>
      <c r="Q8" s="206"/>
      <c r="R8" s="206"/>
      <c r="S8" s="217"/>
      <c r="T8" s="217"/>
      <c r="U8" s="217"/>
      <c r="V8" s="217"/>
      <c r="AA8" s="207"/>
      <c r="AB8" s="207"/>
      <c r="AC8" s="207"/>
      <c r="AD8" s="207"/>
      <c r="AE8" s="219"/>
      <c r="AF8" s="208"/>
    </row>
    <row r="9" spans="1:33" s="221" customFormat="1" ht="17.100000000000001" customHeight="1">
      <c r="A9" s="220"/>
      <c r="B9" s="222"/>
      <c r="C9" s="223"/>
      <c r="D9" s="222"/>
      <c r="E9" s="343"/>
      <c r="F9" s="343"/>
      <c r="G9" s="220"/>
      <c r="H9" s="220"/>
      <c r="I9" s="220"/>
      <c r="J9" s="220"/>
      <c r="K9" s="215"/>
      <c r="L9" s="322"/>
      <c r="M9" s="322"/>
      <c r="N9" s="322"/>
      <c r="O9" s="322"/>
      <c r="P9" s="322"/>
      <c r="Q9" s="206"/>
      <c r="R9" s="206"/>
      <c r="S9" s="217"/>
      <c r="T9" s="217"/>
      <c r="U9" s="217"/>
      <c r="V9" s="217"/>
      <c r="AA9" s="207"/>
      <c r="AB9" s="207"/>
      <c r="AC9" s="207"/>
      <c r="AD9" s="207"/>
      <c r="AE9" s="224"/>
      <c r="AF9" s="208"/>
      <c r="AG9" s="217"/>
    </row>
    <row r="10" spans="1:33" s="221" customFormat="1" ht="17.100000000000001" customHeight="1">
      <c r="A10" s="220"/>
      <c r="B10" s="222"/>
      <c r="C10" s="223"/>
      <c r="D10" s="222"/>
      <c r="E10" s="342"/>
      <c r="F10" s="342"/>
      <c r="G10" s="220"/>
      <c r="H10" s="220"/>
      <c r="I10" s="220"/>
      <c r="J10" s="220"/>
      <c r="K10" s="215"/>
      <c r="L10" s="322"/>
      <c r="M10" s="322"/>
      <c r="N10" s="322"/>
      <c r="O10" s="322"/>
      <c r="P10" s="322"/>
      <c r="Q10" s="206"/>
      <c r="R10" s="206"/>
      <c r="S10" s="217"/>
      <c r="T10" s="217"/>
      <c r="U10" s="217"/>
      <c r="V10" s="217"/>
      <c r="AA10" s="207"/>
      <c r="AB10" s="207"/>
      <c r="AC10" s="207"/>
      <c r="AD10" s="207"/>
      <c r="AE10" s="224"/>
      <c r="AF10" s="208"/>
      <c r="AG10" s="217"/>
    </row>
    <row r="11" spans="1:33" s="221" customFormat="1" ht="17.100000000000001" customHeight="1">
      <c r="A11" s="220"/>
      <c r="B11" s="222"/>
      <c r="C11" s="223"/>
      <c r="D11" s="222"/>
      <c r="E11" s="342"/>
      <c r="F11" s="342"/>
      <c r="G11" s="220"/>
      <c r="H11" s="220"/>
      <c r="I11" s="220"/>
      <c r="J11" s="220"/>
      <c r="K11" s="215"/>
      <c r="L11" s="322"/>
      <c r="M11" s="322"/>
      <c r="N11" s="322"/>
      <c r="O11" s="322"/>
      <c r="P11" s="322"/>
      <c r="Q11" s="206"/>
      <c r="R11" s="206"/>
      <c r="S11" s="217"/>
      <c r="T11" s="217"/>
      <c r="U11" s="217"/>
      <c r="V11" s="217"/>
      <c r="AA11" s="207"/>
      <c r="AB11" s="207"/>
      <c r="AC11" s="211" t="s">
        <v>24</v>
      </c>
      <c r="AD11" s="211" t="s">
        <v>11</v>
      </c>
      <c r="AE11" s="212"/>
      <c r="AF11" s="208"/>
      <c r="AG11" s="217"/>
    </row>
    <row r="12" spans="1:33" s="221" customFormat="1" ht="17.100000000000001" customHeight="1">
      <c r="A12" s="220"/>
      <c r="B12" s="222"/>
      <c r="C12" s="222"/>
      <c r="D12" s="222"/>
      <c r="E12" s="342"/>
      <c r="F12" s="342"/>
      <c r="G12" s="220"/>
      <c r="H12" s="220"/>
      <c r="I12" s="220"/>
      <c r="J12" s="220"/>
      <c r="K12" s="215"/>
      <c r="L12" s="322"/>
      <c r="M12" s="322"/>
      <c r="N12" s="322"/>
      <c r="O12" s="322"/>
      <c r="P12" s="322"/>
      <c r="Q12" s="206"/>
      <c r="R12" s="206"/>
      <c r="S12" s="217"/>
      <c r="T12" s="217"/>
      <c r="U12" s="217"/>
      <c r="V12" s="217"/>
      <c r="AA12" s="207" t="s">
        <v>12</v>
      </c>
      <c r="AB12" s="207">
        <v>0.5</v>
      </c>
      <c r="AC12" s="207" t="e">
        <f>E58+E59</f>
        <v>#VALUE!</v>
      </c>
      <c r="AD12" s="225">
        <f>AD3</f>
        <v>20</v>
      </c>
      <c r="AE12" s="219"/>
      <c r="AF12" s="208"/>
      <c r="AG12" s="217"/>
    </row>
    <row r="13" spans="1:33" s="221" customFormat="1" ht="17.100000000000001" customHeight="1">
      <c r="A13" s="220"/>
      <c r="B13" s="222"/>
      <c r="C13" s="222"/>
      <c r="D13" s="222"/>
      <c r="E13" s="342"/>
      <c r="F13" s="342"/>
      <c r="G13" s="220"/>
      <c r="H13" s="220"/>
      <c r="I13" s="220"/>
      <c r="J13" s="220"/>
      <c r="K13" s="215"/>
      <c r="L13" s="322"/>
      <c r="M13" s="322"/>
      <c r="N13" s="322"/>
      <c r="O13" s="322"/>
      <c r="P13" s="322"/>
      <c r="Q13" s="206"/>
      <c r="R13" s="206"/>
      <c r="S13" s="217"/>
      <c r="T13" s="217"/>
      <c r="U13" s="217"/>
      <c r="V13" s="217"/>
      <c r="AA13" s="207" t="s">
        <v>12</v>
      </c>
      <c r="AB13" s="207">
        <v>1.5</v>
      </c>
      <c r="AC13" s="207" t="e">
        <f>AC12</f>
        <v>#VALUE!</v>
      </c>
      <c r="AD13" s="225">
        <f>AD12</f>
        <v>20</v>
      </c>
      <c r="AE13" s="219"/>
      <c r="AF13" s="208"/>
      <c r="AG13" s="217"/>
    </row>
    <row r="14" spans="1:33" s="221" customFormat="1" ht="17.100000000000001" customHeight="1">
      <c r="A14" s="220"/>
      <c r="B14" s="222"/>
      <c r="C14" s="222"/>
      <c r="D14" s="222"/>
      <c r="E14" s="325" t="s">
        <v>205</v>
      </c>
      <c r="F14" s="210"/>
      <c r="G14" s="325" t="s">
        <v>208</v>
      </c>
      <c r="H14" s="220"/>
      <c r="I14" s="220"/>
      <c r="J14" s="220"/>
      <c r="K14" s="215"/>
      <c r="L14" s="322"/>
      <c r="M14" s="322"/>
      <c r="N14" s="322"/>
      <c r="O14" s="322"/>
      <c r="P14" s="322"/>
      <c r="Q14" s="206"/>
      <c r="R14" s="206"/>
      <c r="S14" s="206"/>
      <c r="T14" s="206"/>
      <c r="U14" s="217"/>
      <c r="V14" s="217"/>
      <c r="AA14" s="207" t="s">
        <v>4</v>
      </c>
      <c r="AB14" s="207">
        <v>1.5</v>
      </c>
      <c r="AC14" s="207" t="e">
        <f>F58+F59</f>
        <v>#VALUE!</v>
      </c>
      <c r="AD14" s="225">
        <f>AD4</f>
        <v>20</v>
      </c>
      <c r="AE14" s="219"/>
      <c r="AF14" s="208"/>
      <c r="AG14" s="217"/>
    </row>
    <row r="15" spans="1:33" s="221" customFormat="1" ht="17.100000000000001" customHeight="1">
      <c r="A15" s="220"/>
      <c r="B15" s="222"/>
      <c r="C15" s="222"/>
      <c r="D15" s="222"/>
      <c r="E15" s="325" t="s">
        <v>206</v>
      </c>
      <c r="F15" s="210"/>
      <c r="G15" s="325" t="s">
        <v>209</v>
      </c>
      <c r="H15" s="220"/>
      <c r="I15" s="220"/>
      <c r="J15" s="220"/>
      <c r="K15" s="215"/>
      <c r="L15" s="322"/>
      <c r="M15" s="322"/>
      <c r="N15" s="322"/>
      <c r="O15" s="322"/>
      <c r="P15" s="322"/>
      <c r="Q15" s="206"/>
      <c r="R15" s="206"/>
      <c r="S15" s="217"/>
      <c r="T15" s="217"/>
      <c r="U15" s="217"/>
      <c r="V15" s="217"/>
      <c r="AA15" s="207" t="s">
        <v>4</v>
      </c>
      <c r="AB15" s="207">
        <v>2.5</v>
      </c>
      <c r="AC15" s="207" t="e">
        <f>AC14</f>
        <v>#VALUE!</v>
      </c>
      <c r="AD15" s="225">
        <f>AD14</f>
        <v>20</v>
      </c>
      <c r="AE15" s="219"/>
      <c r="AF15" s="208"/>
      <c r="AG15" s="217"/>
    </row>
    <row r="16" spans="1:33" ht="17.100000000000001" customHeight="1">
      <c r="B16" s="369" t="s">
        <v>172</v>
      </c>
      <c r="C16" s="370"/>
      <c r="D16" s="370"/>
      <c r="S16" s="217"/>
      <c r="T16" s="217"/>
      <c r="AA16" s="207" t="s">
        <v>3</v>
      </c>
      <c r="AB16" s="207">
        <v>2.5</v>
      </c>
      <c r="AC16" s="207" t="e">
        <f>G58+G59</f>
        <v>#VALUE!</v>
      </c>
      <c r="AD16" s="225">
        <f>AD5</f>
        <v>20</v>
      </c>
      <c r="AE16" s="219"/>
    </row>
    <row r="17" spans="1:33" ht="17.100000000000001" customHeight="1">
      <c r="A17" s="203"/>
      <c r="B17" s="226"/>
      <c r="C17" s="344"/>
      <c r="D17" s="344"/>
      <c r="E17" s="340"/>
      <c r="F17" s="340"/>
      <c r="G17" s="340"/>
      <c r="H17" s="340"/>
      <c r="I17" s="340"/>
      <c r="J17" s="340"/>
      <c r="K17" s="340"/>
      <c r="U17" s="341"/>
      <c r="AA17" s="207" t="s">
        <v>3</v>
      </c>
      <c r="AB17" s="207">
        <v>3.5</v>
      </c>
      <c r="AC17" s="207" t="e">
        <f>AC16</f>
        <v>#VALUE!</v>
      </c>
      <c r="AD17" s="225">
        <f>AD16</f>
        <v>20</v>
      </c>
      <c r="AE17" s="219"/>
    </row>
    <row r="18" spans="1:33" s="221" customFormat="1" ht="17.100000000000001" customHeight="1">
      <c r="A18" s="220"/>
      <c r="B18" s="222"/>
      <c r="C18" s="222"/>
      <c r="D18" s="222"/>
      <c r="E18" s="220"/>
      <c r="F18" s="220"/>
      <c r="G18" s="220"/>
      <c r="H18" s="220"/>
      <c r="I18" s="220"/>
      <c r="J18" s="220"/>
      <c r="K18" s="220"/>
      <c r="L18" s="322"/>
      <c r="M18" s="322"/>
      <c r="N18" s="322"/>
      <c r="O18" s="322"/>
      <c r="P18" s="322"/>
      <c r="Q18" s="206"/>
      <c r="R18" s="206"/>
      <c r="S18" s="206"/>
      <c r="T18" s="206"/>
      <c r="U18" s="217"/>
      <c r="V18" s="217"/>
      <c r="AA18" s="227"/>
      <c r="AB18" s="227"/>
      <c r="AC18" s="227"/>
      <c r="AD18" s="227"/>
      <c r="AE18" s="219"/>
      <c r="AF18" s="208"/>
      <c r="AG18" s="217"/>
    </row>
    <row r="19" spans="1:33" s="221" customFormat="1" ht="17.100000000000001" customHeight="1">
      <c r="A19" s="220"/>
      <c r="B19" s="222"/>
      <c r="C19" s="222"/>
      <c r="D19" s="222"/>
      <c r="E19" s="220"/>
      <c r="F19" s="220"/>
      <c r="G19" s="220"/>
      <c r="H19" s="220"/>
      <c r="I19" s="220"/>
      <c r="J19" s="220"/>
      <c r="K19" s="220"/>
      <c r="L19" s="322"/>
      <c r="M19" s="322"/>
      <c r="N19" s="322"/>
      <c r="O19" s="322"/>
      <c r="P19" s="322"/>
      <c r="Q19" s="206"/>
      <c r="R19" s="206"/>
      <c r="S19" s="206"/>
      <c r="T19" s="206"/>
      <c r="U19" s="217"/>
      <c r="V19" s="217"/>
      <c r="AA19" s="227"/>
      <c r="AB19" s="227"/>
      <c r="AC19" s="227"/>
      <c r="AD19" s="227"/>
      <c r="AE19" s="219"/>
      <c r="AF19" s="208"/>
      <c r="AG19" s="217"/>
    </row>
    <row r="20" spans="1:33" ht="159.94999999999999" customHeight="1">
      <c r="B20" s="228"/>
      <c r="C20" s="226"/>
      <c r="D20" s="226"/>
    </row>
    <row r="21" spans="1:33" ht="17.100000000000001" customHeight="1">
      <c r="B21" s="226"/>
      <c r="C21" s="226"/>
      <c r="D21" s="226"/>
    </row>
    <row r="22" spans="1:33" ht="17.100000000000001" customHeight="1">
      <c r="B22" s="226"/>
      <c r="C22" s="226"/>
      <c r="D22" s="226"/>
    </row>
    <row r="23" spans="1:33" ht="17.100000000000001" customHeight="1">
      <c r="B23" s="226"/>
      <c r="C23" s="226"/>
      <c r="D23" s="226"/>
      <c r="AA23" s="325"/>
      <c r="AB23" s="325" t="s">
        <v>205</v>
      </c>
      <c r="AC23" s="325"/>
    </row>
    <row r="24" spans="1:33" ht="17.100000000000001" customHeight="1">
      <c r="B24" s="226"/>
      <c r="C24" s="226"/>
      <c r="D24" s="226"/>
      <c r="AA24" s="325"/>
      <c r="AB24" s="325" t="s">
        <v>206</v>
      </c>
      <c r="AC24" s="325"/>
    </row>
    <row r="25" spans="1:33" ht="17.100000000000001" customHeight="1">
      <c r="C25" s="335"/>
      <c r="D25" s="335"/>
      <c r="AA25" s="325"/>
      <c r="AB25" s="325" t="s">
        <v>215</v>
      </c>
      <c r="AC25" s="325"/>
    </row>
    <row r="26" spans="1:33" ht="17.100000000000001" customHeight="1">
      <c r="B26" s="226"/>
      <c r="C26" s="226"/>
      <c r="D26" s="226"/>
      <c r="AB26" s="325" t="s">
        <v>216</v>
      </c>
    </row>
    <row r="27" spans="1:33" ht="17.100000000000001" customHeight="1">
      <c r="B27" s="226"/>
      <c r="C27" s="226"/>
      <c r="D27" s="226"/>
      <c r="AB27" s="325" t="s">
        <v>217</v>
      </c>
    </row>
    <row r="28" spans="1:33" ht="17.100000000000001" customHeight="1">
      <c r="B28" s="334" t="s">
        <v>207</v>
      </c>
      <c r="C28" s="226"/>
      <c r="D28" s="226"/>
      <c r="E28" s="325" t="e">
        <f>IF(AC3&gt;AC12,"",AB25)</f>
        <v>#VALUE!</v>
      </c>
      <c r="G28" s="325" t="e">
        <f>IF(AD3&gt;AC12,"",AB25)</f>
        <v>#VALUE!</v>
      </c>
    </row>
    <row r="29" spans="1:33" ht="17.100000000000001" customHeight="1">
      <c r="B29" s="226"/>
      <c r="C29" s="226"/>
      <c r="D29" s="226"/>
      <c r="E29" s="325" t="e">
        <f>IF(AC4&gt;AC14,"",AB26)</f>
        <v>#VALUE!</v>
      </c>
      <c r="G29" s="325" t="e">
        <f>IF(AD4&gt;AC14,"",AB26)</f>
        <v>#VALUE!</v>
      </c>
    </row>
    <row r="30" spans="1:33" ht="17.100000000000001" customHeight="1">
      <c r="B30" s="226"/>
      <c r="C30" s="226"/>
      <c r="D30" s="226"/>
      <c r="E30" s="325" t="e">
        <f>IF(AC5&gt;AC16,"",AB27)</f>
        <v>#VALUE!</v>
      </c>
      <c r="G30" s="325" t="e">
        <f>IF(AD5&gt;AC16,"",AB27)</f>
        <v>#VALUE!</v>
      </c>
    </row>
    <row r="31" spans="1:33" ht="17.100000000000001" customHeight="1">
      <c r="B31" s="226"/>
      <c r="C31" s="226"/>
      <c r="D31" s="226"/>
    </row>
    <row r="32" spans="1:33" ht="17.100000000000001" customHeight="1">
      <c r="B32" s="369" t="s">
        <v>170</v>
      </c>
      <c r="C32" s="370"/>
      <c r="D32" s="370"/>
      <c r="E32" s="345"/>
    </row>
    <row r="33" spans="2:8" ht="17.100000000000001" customHeight="1">
      <c r="C33" s="229"/>
    </row>
    <row r="34" spans="2:8" ht="1.5" customHeight="1">
      <c r="B34" s="383"/>
      <c r="C34" s="383"/>
      <c r="D34" s="383"/>
      <c r="E34" s="383"/>
      <c r="F34" s="383"/>
      <c r="G34" s="383"/>
      <c r="H34" s="383"/>
    </row>
    <row r="35" spans="2:8" ht="21.95" customHeight="1">
      <c r="B35" s="372" t="s">
        <v>175</v>
      </c>
      <c r="C35" s="373"/>
      <c r="D35" s="373"/>
      <c r="E35" s="374"/>
      <c r="F35" s="374"/>
      <c r="G35" s="374"/>
      <c r="H35" s="374"/>
    </row>
    <row r="36" spans="2:8" ht="21.95" customHeight="1">
      <c r="B36" s="372" t="s">
        <v>156</v>
      </c>
      <c r="C36" s="373"/>
      <c r="D36" s="373"/>
      <c r="E36" s="374"/>
      <c r="F36" s="374"/>
      <c r="G36" s="374"/>
      <c r="H36" s="374"/>
    </row>
    <row r="37" spans="2:8" ht="21.95" customHeight="1">
      <c r="B37" s="376" t="s">
        <v>184</v>
      </c>
      <c r="C37" s="362"/>
      <c r="D37" s="363"/>
      <c r="E37" s="377"/>
      <c r="F37" s="378"/>
      <c r="G37" s="375"/>
      <c r="H37" s="375"/>
    </row>
    <row r="38" spans="2:8" ht="21.95" customHeight="1">
      <c r="B38" s="361" t="s">
        <v>157</v>
      </c>
      <c r="C38" s="362"/>
      <c r="D38" s="363"/>
      <c r="E38" s="364"/>
      <c r="F38" s="365"/>
      <c r="G38" s="374"/>
      <c r="H38" s="374"/>
    </row>
    <row r="39" spans="2:8" ht="21.95" customHeight="1">
      <c r="B39" s="361" t="s">
        <v>176</v>
      </c>
      <c r="C39" s="362"/>
      <c r="D39" s="363"/>
      <c r="E39" s="364"/>
      <c r="F39" s="365"/>
      <c r="G39" s="374"/>
      <c r="H39" s="374"/>
    </row>
    <row r="40" spans="2:8" ht="21.95" customHeight="1">
      <c r="B40" s="361" t="s">
        <v>181</v>
      </c>
      <c r="C40" s="362"/>
      <c r="D40" s="363"/>
      <c r="E40" s="377"/>
      <c r="F40" s="378"/>
      <c r="G40" s="377"/>
      <c r="H40" s="378"/>
    </row>
    <row r="41" spans="2:8" ht="21">
      <c r="B41" s="361" t="s">
        <v>177</v>
      </c>
      <c r="C41" s="362"/>
      <c r="D41" s="363"/>
      <c r="E41" s="364"/>
      <c r="F41" s="365"/>
      <c r="G41" s="364"/>
      <c r="H41" s="365"/>
    </row>
    <row r="42" spans="2:8" ht="21">
      <c r="B42" s="361" t="s">
        <v>227</v>
      </c>
      <c r="C42" s="362"/>
      <c r="D42" s="363"/>
      <c r="E42" s="364"/>
      <c r="F42" s="365"/>
      <c r="G42" s="364"/>
      <c r="H42" s="365"/>
    </row>
    <row r="43" spans="2:8" ht="21">
      <c r="B43" s="361" t="s">
        <v>228</v>
      </c>
      <c r="C43" s="362"/>
      <c r="D43" s="363"/>
      <c r="E43" s="364"/>
      <c r="F43" s="365"/>
      <c r="G43" s="364"/>
      <c r="H43" s="365"/>
    </row>
    <row r="44" spans="2:8" ht="21">
      <c r="B44" s="361" t="s">
        <v>229</v>
      </c>
      <c r="C44" s="362"/>
      <c r="D44" s="363"/>
      <c r="E44" s="364"/>
      <c r="F44" s="365"/>
      <c r="G44" s="364"/>
      <c r="H44" s="365"/>
    </row>
    <row r="45" spans="2:8">
      <c r="C45" s="242"/>
    </row>
    <row r="46" spans="2:8" ht="21">
      <c r="B46" s="336" t="s">
        <v>169</v>
      </c>
      <c r="C46" s="337"/>
      <c r="D46" s="337"/>
      <c r="E46" s="333"/>
      <c r="F46" s="333"/>
      <c r="G46" s="333"/>
      <c r="H46" s="333"/>
    </row>
    <row r="47" spans="2:8" ht="21" customHeight="1">
      <c r="B47" s="373"/>
      <c r="C47" s="373"/>
      <c r="D47" s="373"/>
      <c r="E47" s="279" t="s">
        <v>132</v>
      </c>
      <c r="F47" s="279" t="s">
        <v>133</v>
      </c>
      <c r="G47" s="279" t="s">
        <v>134</v>
      </c>
      <c r="H47" s="279" t="s">
        <v>135</v>
      </c>
    </row>
    <row r="48" spans="2:8" ht="21" customHeight="1">
      <c r="B48" s="361" t="s">
        <v>174</v>
      </c>
      <c r="C48" s="362"/>
      <c r="D48" s="363"/>
      <c r="E48" s="366" t="s">
        <v>223</v>
      </c>
      <c r="F48" s="367"/>
      <c r="G48" s="367"/>
      <c r="H48" s="368"/>
    </row>
    <row r="49" spans="1:32" ht="21" customHeight="1">
      <c r="B49" s="373" t="s">
        <v>185</v>
      </c>
      <c r="C49" s="373"/>
      <c r="D49" s="373"/>
      <c r="E49" s="279" t="s">
        <v>223</v>
      </c>
      <c r="F49" s="279" t="s">
        <v>223</v>
      </c>
      <c r="G49" s="279" t="s">
        <v>223</v>
      </c>
      <c r="H49" s="279" t="s">
        <v>223</v>
      </c>
    </row>
    <row r="50" spans="1:32" ht="21" customHeight="1">
      <c r="B50" s="373" t="s">
        <v>186</v>
      </c>
      <c r="C50" s="373"/>
      <c r="D50" s="373"/>
      <c r="E50" s="279" t="s">
        <v>223</v>
      </c>
      <c r="F50" s="279" t="s">
        <v>223</v>
      </c>
      <c r="G50" s="279" t="s">
        <v>223</v>
      </c>
      <c r="H50" s="279" t="s">
        <v>223</v>
      </c>
    </row>
    <row r="51" spans="1:32" ht="21" customHeight="1">
      <c r="B51" s="373" t="s">
        <v>187</v>
      </c>
      <c r="C51" s="373"/>
      <c r="D51" s="373"/>
      <c r="E51" s="279" t="s">
        <v>223</v>
      </c>
      <c r="F51" s="279" t="s">
        <v>223</v>
      </c>
      <c r="G51" s="279" t="s">
        <v>223</v>
      </c>
      <c r="H51" s="279" t="s">
        <v>223</v>
      </c>
    </row>
    <row r="52" spans="1:32" ht="21" customHeight="1">
      <c r="B52" s="373" t="s">
        <v>188</v>
      </c>
      <c r="C52" s="373"/>
      <c r="D52" s="373"/>
      <c r="E52" s="279" t="s">
        <v>223</v>
      </c>
      <c r="F52" s="279" t="s">
        <v>223</v>
      </c>
      <c r="G52" s="279" t="s">
        <v>223</v>
      </c>
      <c r="H52" s="279" t="s">
        <v>223</v>
      </c>
    </row>
    <row r="53" spans="1:32" ht="21" customHeight="1">
      <c r="B53" s="373" t="s">
        <v>189</v>
      </c>
      <c r="C53" s="373"/>
      <c r="D53" s="373"/>
      <c r="E53" s="279" t="s">
        <v>223</v>
      </c>
      <c r="F53" s="279" t="s">
        <v>223</v>
      </c>
      <c r="G53" s="279" t="s">
        <v>223</v>
      </c>
      <c r="H53" s="279" t="s">
        <v>223</v>
      </c>
    </row>
    <row r="54" spans="1:32" ht="21" customHeight="1">
      <c r="B54" s="373" t="s">
        <v>190</v>
      </c>
      <c r="C54" s="373"/>
      <c r="D54" s="373"/>
      <c r="E54" s="279" t="s">
        <v>223</v>
      </c>
      <c r="F54" s="279" t="s">
        <v>223</v>
      </c>
      <c r="G54" s="279" t="s">
        <v>223</v>
      </c>
      <c r="H54" s="279" t="s">
        <v>223</v>
      </c>
    </row>
    <row r="55" spans="1:32" s="206" customFormat="1">
      <c r="A55" s="210"/>
      <c r="B55" s="379"/>
      <c r="C55" s="379"/>
      <c r="D55" s="379"/>
      <c r="E55" s="210"/>
      <c r="F55" s="210"/>
      <c r="G55" s="210"/>
      <c r="H55" s="210"/>
      <c r="I55" s="210"/>
      <c r="J55" s="210"/>
      <c r="K55" s="210"/>
      <c r="L55" s="322"/>
      <c r="M55" s="322"/>
      <c r="N55" s="322"/>
      <c r="O55" s="322"/>
      <c r="P55" s="322"/>
      <c r="AA55" s="227"/>
      <c r="AB55" s="227"/>
      <c r="AC55" s="227"/>
      <c r="AD55" s="227"/>
      <c r="AE55" s="208"/>
      <c r="AF55" s="208"/>
    </row>
    <row r="56" spans="1:32">
      <c r="B56" s="366"/>
      <c r="C56" s="367"/>
      <c r="D56" s="368"/>
      <c r="E56" s="279" t="s">
        <v>158</v>
      </c>
      <c r="F56" s="279" t="s">
        <v>159</v>
      </c>
      <c r="G56" s="279" t="s">
        <v>160</v>
      </c>
      <c r="H56" s="279"/>
    </row>
    <row r="57" spans="1:32">
      <c r="B57" s="373" t="s">
        <v>188</v>
      </c>
      <c r="C57" s="373"/>
      <c r="D57" s="373"/>
      <c r="E57" s="279" t="s">
        <v>223</v>
      </c>
      <c r="F57" s="279" t="s">
        <v>223</v>
      </c>
      <c r="G57" s="279" t="s">
        <v>223</v>
      </c>
      <c r="H57" s="279"/>
    </row>
    <row r="58" spans="1:32">
      <c r="B58" s="373" t="s">
        <v>189</v>
      </c>
      <c r="C58" s="373"/>
      <c r="D58" s="373"/>
      <c r="E58" s="279" t="s">
        <v>223</v>
      </c>
      <c r="F58" s="279" t="s">
        <v>223</v>
      </c>
      <c r="G58" s="279" t="s">
        <v>223</v>
      </c>
      <c r="H58" s="279"/>
    </row>
    <row r="59" spans="1:32">
      <c r="B59" s="373" t="s">
        <v>190</v>
      </c>
      <c r="C59" s="373"/>
      <c r="D59" s="373"/>
      <c r="E59" s="279" t="s">
        <v>223</v>
      </c>
      <c r="F59" s="279" t="s">
        <v>223</v>
      </c>
      <c r="G59" s="279" t="s">
        <v>223</v>
      </c>
      <c r="H59" s="279"/>
    </row>
    <row r="61" spans="1:32">
      <c r="B61" s="371"/>
      <c r="C61" s="371"/>
      <c r="D61" s="371"/>
      <c r="E61" s="279" t="s">
        <v>161</v>
      </c>
      <c r="F61" s="279" t="s">
        <v>162</v>
      </c>
      <c r="G61" s="279"/>
      <c r="H61" s="279"/>
    </row>
    <row r="62" spans="1:32">
      <c r="B62" s="372" t="s">
        <v>178</v>
      </c>
      <c r="C62" s="373"/>
      <c r="D62" s="373"/>
      <c r="E62" s="279" t="s">
        <v>223</v>
      </c>
      <c r="F62" s="279" t="s">
        <v>223</v>
      </c>
      <c r="G62" s="279"/>
      <c r="H62" s="279"/>
    </row>
    <row r="63" spans="1:32">
      <c r="B63" s="372" t="s">
        <v>179</v>
      </c>
      <c r="C63" s="373"/>
      <c r="D63" s="373"/>
      <c r="E63" s="279" t="s">
        <v>223</v>
      </c>
      <c r="F63" s="279" t="s">
        <v>223</v>
      </c>
      <c r="G63" s="279"/>
      <c r="H63" s="279"/>
    </row>
    <row r="64" spans="1:32">
      <c r="B64" s="372" t="s">
        <v>180</v>
      </c>
      <c r="C64" s="373"/>
      <c r="D64" s="373"/>
      <c r="E64" s="279" t="s">
        <v>223</v>
      </c>
      <c r="F64" s="279" t="s">
        <v>223</v>
      </c>
      <c r="G64" s="279"/>
      <c r="H64" s="279"/>
    </row>
  </sheetData>
  <sheetProtection selectLockedCells="1" selectUnlockedCells="1"/>
  <dataConsolidate function="max"/>
  <mergeCells count="60">
    <mergeCell ref="G40:H40"/>
    <mergeCell ref="B38:D38"/>
    <mergeCell ref="E38:F38"/>
    <mergeCell ref="G38:H38"/>
    <mergeCell ref="B39:D39"/>
    <mergeCell ref="E39:F39"/>
    <mergeCell ref="G39:H39"/>
    <mergeCell ref="B48:D48"/>
    <mergeCell ref="B1:I1"/>
    <mergeCell ref="B3:D3"/>
    <mergeCell ref="B4:D4"/>
    <mergeCell ref="B5:D5"/>
    <mergeCell ref="B6:D6"/>
    <mergeCell ref="B16:D16"/>
    <mergeCell ref="B35:D35"/>
    <mergeCell ref="E35:F35"/>
    <mergeCell ref="E2:F2"/>
    <mergeCell ref="G2:H2"/>
    <mergeCell ref="B34:D34"/>
    <mergeCell ref="E34:F34"/>
    <mergeCell ref="G34:H34"/>
    <mergeCell ref="B40:D40"/>
    <mergeCell ref="E40:F40"/>
    <mergeCell ref="B51:D51"/>
    <mergeCell ref="B52:D52"/>
    <mergeCell ref="B53:D53"/>
    <mergeCell ref="B50:D50"/>
    <mergeCell ref="B55:D55"/>
    <mergeCell ref="B63:D63"/>
    <mergeCell ref="B64:D64"/>
    <mergeCell ref="B58:D58"/>
    <mergeCell ref="B59:D59"/>
    <mergeCell ref="B54:D54"/>
    <mergeCell ref="B56:D56"/>
    <mergeCell ref="B57:D57"/>
    <mergeCell ref="E48:H48"/>
    <mergeCell ref="B32:D32"/>
    <mergeCell ref="B61:D61"/>
    <mergeCell ref="B62:D62"/>
    <mergeCell ref="G36:H36"/>
    <mergeCell ref="G37:H37"/>
    <mergeCell ref="G41:H41"/>
    <mergeCell ref="B37:D37"/>
    <mergeCell ref="B41:D41"/>
    <mergeCell ref="E36:F36"/>
    <mergeCell ref="E37:F37"/>
    <mergeCell ref="E41:F41"/>
    <mergeCell ref="B36:D36"/>
    <mergeCell ref="G35:H35"/>
    <mergeCell ref="B47:D47"/>
    <mergeCell ref="B49:D49"/>
    <mergeCell ref="B44:D44"/>
    <mergeCell ref="E44:F44"/>
    <mergeCell ref="G44:H44"/>
    <mergeCell ref="B42:D42"/>
    <mergeCell ref="E42:F42"/>
    <mergeCell ref="G42:H42"/>
    <mergeCell ref="B43:D43"/>
    <mergeCell ref="E43:F43"/>
    <mergeCell ref="G43:H43"/>
  </mergeCells>
  <phoneticPr fontId="55" type="noConversion"/>
  <conditionalFormatting sqref="E46 G46">
    <cfRule type="cellIs" dxfId="91" priority="29" operator="equal">
      <formula>"0 %"</formula>
    </cfRule>
    <cfRule type="cellIs" dxfId="90" priority="30" operator="equal">
      <formula>"0 MW"</formula>
    </cfRule>
    <cfRule type="cellIs" dxfId="89" priority="31" operator="equal">
      <formula>"0 %"</formula>
    </cfRule>
    <cfRule type="cellIs" dxfId="88" priority="32" operator="equal">
      <formula>"0 MW"</formula>
    </cfRule>
  </conditionalFormatting>
  <conditionalFormatting sqref="E47:E48">
    <cfRule type="cellIs" dxfId="87" priority="13" operator="equal">
      <formula>"0 %"</formula>
    </cfRule>
    <cfRule type="cellIs" dxfId="86" priority="14" operator="equal">
      <formula>"0 MW"</formula>
    </cfRule>
    <cfRule type="cellIs" dxfId="85" priority="15" operator="equal">
      <formula>"0 %"</formula>
    </cfRule>
    <cfRule type="cellIs" dxfId="84" priority="16" operator="equal">
      <formula>"0 MW"</formula>
    </cfRule>
  </conditionalFormatting>
  <conditionalFormatting sqref="B56 E56:H56">
    <cfRule type="cellIs" dxfId="83" priority="9" operator="equal">
      <formula>"0 %"</formula>
    </cfRule>
    <cfRule type="cellIs" dxfId="82" priority="10" operator="equal">
      <formula>"0 MW"</formula>
    </cfRule>
    <cfRule type="cellIs" dxfId="81" priority="11" operator="equal">
      <formula>"0 %"</formula>
    </cfRule>
    <cfRule type="cellIs" dxfId="80" priority="12" operator="equal">
      <formula>"0 MW"</formula>
    </cfRule>
  </conditionalFormatting>
  <conditionalFormatting sqref="G61:H64">
    <cfRule type="cellIs" dxfId="79" priority="5" operator="equal">
      <formula>"0 %"</formula>
    </cfRule>
    <cfRule type="cellIs" dxfId="78" priority="6" operator="equal">
      <formula>"0 MW"</formula>
    </cfRule>
    <cfRule type="cellIs" dxfId="77" priority="7" operator="equal">
      <formula>"0 %"</formula>
    </cfRule>
    <cfRule type="cellIs" dxfId="76" priority="8" operator="equal">
      <formula>"0 MW"</formula>
    </cfRule>
  </conditionalFormatting>
  <conditionalFormatting sqref="E61:F61">
    <cfRule type="cellIs" dxfId="75" priority="1" operator="equal">
      <formula>"0 %"</formula>
    </cfRule>
    <cfRule type="cellIs" dxfId="74" priority="2" operator="equal">
      <formula>"0 MW"</formula>
    </cfRule>
    <cfRule type="cellIs" dxfId="73" priority="3" operator="equal">
      <formula>"0 %"</formula>
    </cfRule>
    <cfRule type="cellIs" dxfId="72" priority="4" operator="equal">
      <formula>"0 MW"</formula>
    </cfRule>
  </conditionalFormatting>
  <pageMargins left="0.75" right="0.75" top="1" bottom="1" header="0.5" footer="0.5"/>
  <pageSetup paperSize="9" scale="47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autoPict="0" r:id="rId5">
            <anchor moveWithCells="1">
              <from>
                <xdr:col>10</xdr:col>
                <xdr:colOff>47625</xdr:colOff>
                <xdr:row>0</xdr:row>
                <xdr:rowOff>333375</xdr:rowOff>
              </from>
              <to>
                <xdr:col>10</xdr:col>
                <xdr:colOff>1247775</xdr:colOff>
                <xdr:row>1</xdr:row>
                <xdr:rowOff>190500</xdr:rowOff>
              </to>
            </anchor>
          </controlPr>
        </control>
      </mc:Choice>
      <mc:Fallback>
        <control shapeId="205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G64"/>
  <sheetViews>
    <sheetView topLeftCell="A25" zoomScale="55" zoomScaleNormal="55" workbookViewId="0">
      <selection activeCell="E52" sqref="E52:H52"/>
    </sheetView>
  </sheetViews>
  <sheetFormatPr defaultColWidth="5.28515625" defaultRowHeight="18.75"/>
  <cols>
    <col min="1" max="4" width="9.7109375" style="210" customWidth="1"/>
    <col min="5" max="8" width="34.28515625" style="210" customWidth="1"/>
    <col min="9" max="9" width="10.85546875" style="210" customWidth="1"/>
    <col min="10" max="10" width="24.140625" style="210" customWidth="1"/>
    <col min="11" max="11" width="1.85546875" style="210" customWidth="1"/>
    <col min="12" max="12" width="7.28515625" style="322" bestFit="1" customWidth="1"/>
    <col min="13" max="13" width="6.85546875" style="322" customWidth="1"/>
    <col min="14" max="14" width="7.28515625" style="322" bestFit="1" customWidth="1"/>
    <col min="15" max="15" width="7" style="322" bestFit="1" customWidth="1"/>
    <col min="16" max="16" width="7.28515625" style="322" bestFit="1" customWidth="1"/>
    <col min="17" max="20" width="8.5703125" style="206" customWidth="1"/>
    <col min="21" max="21" width="6.28515625" style="206" bestFit="1" customWidth="1"/>
    <col min="22" max="22" width="3.85546875" style="206" customWidth="1"/>
    <col min="23" max="23" width="6.85546875" style="322" customWidth="1"/>
    <col min="24" max="24" width="6.140625" style="322" customWidth="1"/>
    <col min="25" max="26" width="7" style="322" customWidth="1"/>
    <col min="27" max="27" width="10.5703125" style="227" hidden="1" customWidth="1"/>
    <col min="28" max="28" width="12.7109375" style="227" hidden="1" customWidth="1"/>
    <col min="29" max="29" width="14.28515625" style="227" hidden="1" customWidth="1"/>
    <col min="30" max="30" width="12.7109375" style="227" hidden="1" customWidth="1"/>
    <col min="31" max="31" width="10.7109375" style="293" bestFit="1" customWidth="1"/>
    <col min="32" max="32" width="10.85546875" style="293" bestFit="1" customWidth="1"/>
    <col min="33" max="33" width="12.7109375" style="293" bestFit="1" customWidth="1"/>
    <col min="34" max="16384" width="5.28515625" style="209"/>
  </cols>
  <sheetData>
    <row r="1" spans="1:33" ht="50.1" customHeight="1">
      <c r="A1" s="203"/>
      <c r="B1" s="387" t="s">
        <v>218</v>
      </c>
      <c r="C1" s="388"/>
      <c r="D1" s="388"/>
      <c r="E1" s="388"/>
      <c r="F1" s="388"/>
      <c r="G1" s="388"/>
      <c r="H1" s="388"/>
      <c r="I1" s="388"/>
      <c r="J1" s="204"/>
      <c r="K1" s="204"/>
      <c r="L1" s="205"/>
      <c r="M1" s="205"/>
      <c r="N1" s="205"/>
      <c r="O1" s="205"/>
      <c r="P1" s="205"/>
      <c r="Q1" s="205"/>
      <c r="R1" s="205"/>
      <c r="S1" s="205"/>
      <c r="T1" s="205"/>
      <c r="U1" s="205"/>
    </row>
    <row r="2" spans="1:33" ht="50.1" customHeight="1">
      <c r="A2" s="203"/>
      <c r="C2" s="204"/>
      <c r="D2" s="204"/>
      <c r="E2" s="382" t="s">
        <v>210</v>
      </c>
      <c r="F2" s="382"/>
      <c r="G2" s="382" t="s">
        <v>211</v>
      </c>
      <c r="H2" s="382"/>
      <c r="I2" s="204"/>
      <c r="J2" s="204"/>
      <c r="K2" s="204"/>
      <c r="L2" s="205"/>
      <c r="M2" s="205"/>
      <c r="N2" s="205"/>
      <c r="O2" s="205"/>
      <c r="P2" s="205"/>
      <c r="Q2" s="205"/>
      <c r="R2" s="205"/>
      <c r="S2" s="205"/>
      <c r="T2" s="205"/>
      <c r="U2" s="205"/>
      <c r="AB2" s="294" t="s">
        <v>14</v>
      </c>
      <c r="AC2" s="294"/>
      <c r="AD2" s="294" t="s">
        <v>15</v>
      </c>
      <c r="AE2" s="295"/>
      <c r="AF2" s="295"/>
      <c r="AG2" s="295"/>
    </row>
    <row r="3" spans="1:33" ht="17.100000000000001" customHeight="1">
      <c r="A3" s="203"/>
      <c r="B3" s="389" t="s">
        <v>155</v>
      </c>
      <c r="C3" s="390"/>
      <c r="D3" s="390"/>
      <c r="E3" s="204"/>
      <c r="F3" s="204"/>
      <c r="G3" s="204"/>
      <c r="H3" s="204"/>
      <c r="I3" s="204"/>
      <c r="J3" s="204"/>
      <c r="K3" s="204"/>
      <c r="L3" s="205"/>
      <c r="M3" s="205"/>
      <c r="N3" s="205"/>
      <c r="O3" s="205"/>
      <c r="P3" s="205"/>
      <c r="Q3" s="205"/>
      <c r="R3" s="205"/>
      <c r="S3" s="205"/>
      <c r="T3" s="205"/>
      <c r="U3" s="205"/>
      <c r="AB3" s="296"/>
      <c r="AC3" s="296"/>
      <c r="AD3" s="294"/>
      <c r="AE3" s="295"/>
      <c r="AF3" s="295"/>
      <c r="AG3" s="295"/>
    </row>
    <row r="4" spans="1:33" s="218" customFormat="1" ht="17.100000000000001" customHeight="1">
      <c r="A4" s="203"/>
      <c r="B4" s="391"/>
      <c r="C4" s="391"/>
      <c r="D4" s="391"/>
      <c r="E4" s="214"/>
      <c r="F4" s="214"/>
      <c r="G4" s="203"/>
      <c r="H4" s="203"/>
      <c r="I4" s="203"/>
      <c r="J4" s="203"/>
      <c r="K4" s="215"/>
      <c r="L4" s="205"/>
      <c r="M4" s="205"/>
      <c r="N4" s="205"/>
      <c r="O4" s="205"/>
      <c r="P4" s="205"/>
      <c r="U4" s="217"/>
      <c r="V4" s="216"/>
      <c r="AA4" s="227"/>
      <c r="AB4" s="227" t="s">
        <v>3</v>
      </c>
      <c r="AC4" s="227" t="s">
        <v>4</v>
      </c>
      <c r="AD4" s="294"/>
      <c r="AE4" s="295"/>
      <c r="AF4" s="295"/>
      <c r="AG4" s="295"/>
    </row>
    <row r="5" spans="1:33" s="221" customFormat="1" ht="17.100000000000001" customHeight="1">
      <c r="A5" s="220"/>
      <c r="B5" s="391"/>
      <c r="C5" s="391"/>
      <c r="D5" s="391"/>
      <c r="E5" s="214"/>
      <c r="F5" s="214"/>
      <c r="G5" s="220"/>
      <c r="H5" s="220"/>
      <c r="I5" s="220"/>
      <c r="J5" s="220"/>
      <c r="K5" s="215"/>
      <c r="L5" s="205"/>
      <c r="M5" s="205"/>
      <c r="N5" s="205"/>
      <c r="O5" s="205"/>
      <c r="P5" s="205"/>
      <c r="Q5" s="217"/>
      <c r="R5" s="217"/>
      <c r="S5" s="217"/>
      <c r="T5" s="217"/>
      <c r="U5" s="217"/>
      <c r="V5" s="217"/>
      <c r="AA5" s="227" t="s">
        <v>0</v>
      </c>
      <c r="AB5" s="227">
        <v>0</v>
      </c>
      <c r="AC5" s="297">
        <v>43.86</v>
      </c>
      <c r="AD5" s="297">
        <v>54.76</v>
      </c>
      <c r="AE5" s="295"/>
      <c r="AF5" s="295"/>
      <c r="AG5" s="295"/>
    </row>
    <row r="6" spans="1:33" s="221" customFormat="1" ht="17.100000000000001" customHeight="1">
      <c r="A6" s="220"/>
      <c r="B6" s="391"/>
      <c r="C6" s="391"/>
      <c r="D6" s="391"/>
      <c r="E6" s="214"/>
      <c r="F6" s="214"/>
      <c r="G6" s="220"/>
      <c r="H6" s="220"/>
      <c r="I6" s="220"/>
      <c r="J6" s="220"/>
      <c r="K6" s="215"/>
      <c r="L6" s="205"/>
      <c r="M6" s="205"/>
      <c r="N6" s="205"/>
      <c r="O6" s="205"/>
      <c r="P6" s="205"/>
      <c r="Q6" s="217"/>
      <c r="R6" s="217"/>
      <c r="S6" s="217"/>
      <c r="T6" s="217"/>
      <c r="U6" s="217"/>
      <c r="V6" s="217"/>
      <c r="AA6" s="227" t="s">
        <v>1</v>
      </c>
      <c r="AB6" s="227">
        <v>0</v>
      </c>
      <c r="AC6" s="297">
        <v>38.799999999999997</v>
      </c>
      <c r="AD6" s="297">
        <v>49.2</v>
      </c>
      <c r="AE6" s="295"/>
      <c r="AF6" s="295"/>
      <c r="AG6" s="295"/>
    </row>
    <row r="7" spans="1:33" s="221" customFormat="1" ht="17.100000000000001" customHeight="1">
      <c r="A7" s="220"/>
      <c r="B7" s="298"/>
      <c r="C7" s="299"/>
      <c r="D7" s="298"/>
      <c r="E7" s="214"/>
      <c r="F7" s="214"/>
      <c r="G7" s="220"/>
      <c r="H7" s="220"/>
      <c r="I7" s="220"/>
      <c r="J7" s="220"/>
      <c r="K7" s="215"/>
      <c r="L7" s="205"/>
      <c r="M7" s="205"/>
      <c r="N7" s="205"/>
      <c r="O7" s="205"/>
      <c r="P7" s="205"/>
      <c r="Q7" s="217"/>
      <c r="R7" s="217"/>
      <c r="S7" s="217"/>
      <c r="T7" s="217"/>
      <c r="U7" s="217"/>
      <c r="V7" s="217"/>
      <c r="AA7" s="227" t="s">
        <v>16</v>
      </c>
      <c r="AB7" s="227">
        <v>0</v>
      </c>
      <c r="AC7" s="297">
        <v>43.86</v>
      </c>
      <c r="AD7" s="297">
        <v>54.76</v>
      </c>
      <c r="AE7" s="295"/>
      <c r="AF7" s="295"/>
      <c r="AG7" s="295"/>
    </row>
    <row r="8" spans="1:33" s="221" customFormat="1" ht="17.100000000000001" customHeight="1">
      <c r="A8" s="220"/>
      <c r="B8" s="298"/>
      <c r="C8" s="299"/>
      <c r="D8" s="298"/>
      <c r="E8" s="214"/>
      <c r="F8" s="214"/>
      <c r="G8" s="220"/>
      <c r="H8" s="220"/>
      <c r="I8" s="220"/>
      <c r="J8" s="220"/>
      <c r="K8" s="215"/>
      <c r="L8" s="205"/>
      <c r="M8" s="205"/>
      <c r="N8" s="205"/>
      <c r="O8" s="205"/>
      <c r="P8" s="205"/>
      <c r="Q8" s="217"/>
      <c r="R8" s="217"/>
      <c r="S8" s="217"/>
      <c r="T8" s="217"/>
      <c r="U8" s="217"/>
      <c r="V8" s="217"/>
      <c r="AA8" s="227" t="s">
        <v>2</v>
      </c>
      <c r="AB8" s="227">
        <v>0</v>
      </c>
      <c r="AC8" s="297">
        <v>46.7</v>
      </c>
      <c r="AD8" s="297">
        <v>57.8</v>
      </c>
      <c r="AE8" s="295"/>
      <c r="AF8" s="295"/>
      <c r="AG8" s="295"/>
    </row>
    <row r="9" spans="1:33" s="221" customFormat="1" ht="17.100000000000001" customHeight="1">
      <c r="A9" s="220"/>
      <c r="B9" s="298"/>
      <c r="C9" s="299"/>
      <c r="D9" s="298"/>
      <c r="E9" s="321"/>
      <c r="F9" s="321"/>
      <c r="G9" s="220"/>
      <c r="H9" s="220"/>
      <c r="I9" s="220"/>
      <c r="J9" s="220"/>
      <c r="K9" s="215"/>
      <c r="L9" s="205"/>
      <c r="M9" s="205"/>
      <c r="N9" s="205"/>
      <c r="O9" s="205"/>
      <c r="P9" s="205"/>
      <c r="Q9" s="217"/>
      <c r="R9" s="217"/>
      <c r="S9" s="217"/>
      <c r="T9" s="217"/>
      <c r="U9" s="217"/>
      <c r="V9" s="217"/>
      <c r="AA9" s="227"/>
      <c r="AB9" s="227"/>
      <c r="AC9" s="227"/>
      <c r="AD9" s="227"/>
      <c r="AE9" s="295"/>
      <c r="AF9" s="295"/>
      <c r="AG9" s="295"/>
    </row>
    <row r="10" spans="1:33" s="221" customFormat="1" ht="17.100000000000001" customHeight="1">
      <c r="A10" s="220"/>
      <c r="B10" s="298"/>
      <c r="C10" s="299"/>
      <c r="D10" s="298"/>
      <c r="E10" s="214"/>
      <c r="F10" s="214"/>
      <c r="G10" s="220"/>
      <c r="H10" s="220"/>
      <c r="I10" s="220"/>
      <c r="J10" s="220"/>
      <c r="K10" s="215"/>
      <c r="L10" s="205"/>
      <c r="M10" s="205"/>
      <c r="N10" s="205"/>
      <c r="O10" s="205"/>
      <c r="P10" s="205"/>
      <c r="Q10" s="217"/>
      <c r="R10" s="217"/>
      <c r="S10" s="217"/>
      <c r="T10" s="217"/>
      <c r="U10" s="217"/>
      <c r="V10" s="217"/>
      <c r="AA10" s="227"/>
      <c r="AB10" s="227"/>
      <c r="AC10" s="227"/>
      <c r="AD10" s="227"/>
      <c r="AE10" s="295"/>
      <c r="AF10" s="295"/>
      <c r="AG10" s="295"/>
    </row>
    <row r="11" spans="1:33" s="221" customFormat="1" ht="17.100000000000001" customHeight="1">
      <c r="A11" s="220"/>
      <c r="B11" s="298"/>
      <c r="C11" s="299"/>
      <c r="D11" s="298"/>
      <c r="E11" s="214"/>
      <c r="F11" s="214"/>
      <c r="G11" s="220"/>
      <c r="H11" s="220"/>
      <c r="I11" s="220"/>
      <c r="J11" s="220"/>
      <c r="K11" s="215"/>
      <c r="L11" s="205"/>
      <c r="M11" s="205"/>
      <c r="N11" s="205"/>
      <c r="O11" s="205"/>
      <c r="P11" s="205"/>
      <c r="Q11" s="217"/>
      <c r="R11" s="217"/>
      <c r="S11" s="217"/>
      <c r="T11" s="217"/>
      <c r="U11" s="217"/>
      <c r="V11" s="217"/>
      <c r="AA11" s="227"/>
      <c r="AB11" s="227"/>
      <c r="AC11" s="227" t="s">
        <v>5</v>
      </c>
      <c r="AD11" s="227" t="s">
        <v>17</v>
      </c>
      <c r="AE11" s="295"/>
      <c r="AF11" s="295"/>
      <c r="AG11" s="295"/>
    </row>
    <row r="12" spans="1:33" s="221" customFormat="1" ht="17.100000000000001" customHeight="1">
      <c r="A12" s="220"/>
      <c r="B12" s="298"/>
      <c r="C12" s="298"/>
      <c r="D12" s="298"/>
      <c r="E12" s="214"/>
      <c r="F12" s="214"/>
      <c r="G12" s="220"/>
      <c r="H12" s="220"/>
      <c r="I12" s="220"/>
      <c r="J12" s="220"/>
      <c r="K12" s="215"/>
      <c r="L12" s="205"/>
      <c r="M12" s="205"/>
      <c r="N12" s="205"/>
      <c r="O12" s="205"/>
      <c r="P12" s="205"/>
      <c r="Q12" s="217"/>
      <c r="R12" s="217"/>
      <c r="S12" s="217"/>
      <c r="T12" s="217"/>
      <c r="U12" s="217"/>
      <c r="V12" s="217"/>
      <c r="AA12" s="227" t="s">
        <v>18</v>
      </c>
      <c r="AB12" s="227">
        <v>0.5</v>
      </c>
      <c r="AC12" s="227" t="e">
        <f>E53+E54</f>
        <v>#VALUE!</v>
      </c>
      <c r="AD12" s="227">
        <f>AD5</f>
        <v>54.76</v>
      </c>
      <c r="AE12" s="295"/>
      <c r="AF12" s="295"/>
      <c r="AG12" s="295"/>
    </row>
    <row r="13" spans="1:33" s="221" customFormat="1" ht="17.100000000000001" customHeight="1">
      <c r="A13" s="220"/>
      <c r="B13" s="298"/>
      <c r="C13" s="298"/>
      <c r="D13" s="298"/>
      <c r="E13" s="214"/>
      <c r="F13" s="214"/>
      <c r="G13" s="220"/>
      <c r="H13" s="220"/>
      <c r="I13" s="220"/>
      <c r="J13" s="220"/>
      <c r="K13" s="215"/>
      <c r="L13" s="205"/>
      <c r="M13" s="205"/>
      <c r="N13" s="205"/>
      <c r="O13" s="205"/>
      <c r="P13" s="205"/>
      <c r="Q13" s="217"/>
      <c r="R13" s="217"/>
      <c r="S13" s="217"/>
      <c r="T13" s="217"/>
      <c r="U13" s="217"/>
      <c r="V13" s="217"/>
      <c r="AA13" s="227" t="s">
        <v>18</v>
      </c>
      <c r="AB13" s="227">
        <v>1.5</v>
      </c>
      <c r="AC13" s="227" t="e">
        <f>AC12</f>
        <v>#VALUE!</v>
      </c>
      <c r="AD13" s="227">
        <f>AD5</f>
        <v>54.76</v>
      </c>
      <c r="AE13" s="295"/>
      <c r="AF13" s="295"/>
      <c r="AG13" s="295"/>
    </row>
    <row r="14" spans="1:33" s="221" customFormat="1" ht="17.100000000000001" customHeight="1">
      <c r="A14" s="220"/>
      <c r="B14" s="298"/>
      <c r="C14" s="299"/>
      <c r="D14" s="298"/>
      <c r="E14" s="325" t="s">
        <v>205</v>
      </c>
      <c r="F14" s="210"/>
      <c r="G14" s="325" t="s">
        <v>208</v>
      </c>
      <c r="H14" s="220"/>
      <c r="I14" s="220"/>
      <c r="J14" s="220"/>
      <c r="K14" s="215"/>
      <c r="L14" s="205"/>
      <c r="M14" s="205"/>
      <c r="N14" s="205"/>
      <c r="O14" s="205"/>
      <c r="P14" s="205"/>
      <c r="Q14" s="206"/>
      <c r="R14" s="206"/>
      <c r="S14" s="206"/>
      <c r="T14" s="206"/>
      <c r="U14" s="217"/>
      <c r="V14" s="217"/>
      <c r="AA14" s="227" t="s">
        <v>19</v>
      </c>
      <c r="AB14" s="227">
        <v>1.5</v>
      </c>
      <c r="AC14" s="227" t="e">
        <f>F53+F54</f>
        <v>#VALUE!</v>
      </c>
      <c r="AD14" s="227">
        <f>AD6</f>
        <v>49.2</v>
      </c>
      <c r="AE14" s="295"/>
      <c r="AF14" s="295"/>
      <c r="AG14" s="295"/>
    </row>
    <row r="15" spans="1:33" s="221" customFormat="1" ht="17.100000000000001" customHeight="1">
      <c r="A15" s="220"/>
      <c r="B15" s="298"/>
      <c r="C15" s="299"/>
      <c r="D15" s="298"/>
      <c r="E15" s="325" t="s">
        <v>206</v>
      </c>
      <c r="F15" s="210"/>
      <c r="G15" s="325" t="s">
        <v>209</v>
      </c>
      <c r="H15" s="220"/>
      <c r="I15" s="220"/>
      <c r="J15" s="220"/>
      <c r="K15" s="215"/>
      <c r="L15" s="205"/>
      <c r="M15" s="205"/>
      <c r="N15" s="205"/>
      <c r="O15" s="205"/>
      <c r="P15" s="205"/>
      <c r="U15" s="217"/>
      <c r="V15" s="217"/>
      <c r="AA15" s="227" t="s">
        <v>19</v>
      </c>
      <c r="AB15" s="227">
        <v>2.5</v>
      </c>
      <c r="AC15" s="227" t="e">
        <f>AC14</f>
        <v>#VALUE!</v>
      </c>
      <c r="AD15" s="227">
        <f>AD6</f>
        <v>49.2</v>
      </c>
      <c r="AE15" s="295"/>
      <c r="AF15" s="295"/>
      <c r="AG15" s="295"/>
    </row>
    <row r="16" spans="1:33" ht="17.100000000000001" customHeight="1">
      <c r="B16" s="300"/>
      <c r="C16" s="300"/>
      <c r="D16" s="300"/>
      <c r="L16" s="205"/>
      <c r="M16" s="205"/>
      <c r="N16" s="205"/>
      <c r="O16" s="205"/>
      <c r="P16" s="205"/>
      <c r="Q16" s="221"/>
      <c r="R16" s="221"/>
      <c r="S16" s="221"/>
      <c r="T16" s="221"/>
      <c r="AA16" s="227" t="s">
        <v>20</v>
      </c>
      <c r="AB16" s="227">
        <v>2.5</v>
      </c>
      <c r="AC16" s="227" t="e">
        <f>G53+G54</f>
        <v>#VALUE!</v>
      </c>
      <c r="AD16" s="227">
        <f>AD7</f>
        <v>54.76</v>
      </c>
      <c r="AE16" s="295"/>
      <c r="AF16" s="295"/>
      <c r="AG16" s="295"/>
    </row>
    <row r="17" spans="1:33" ht="17.100000000000001" customHeight="1">
      <c r="A17" s="203"/>
      <c r="B17" s="389" t="s">
        <v>173</v>
      </c>
      <c r="C17" s="390"/>
      <c r="D17" s="390"/>
      <c r="E17" s="204"/>
      <c r="F17" s="204"/>
      <c r="G17" s="204"/>
      <c r="H17" s="204"/>
      <c r="I17" s="204"/>
      <c r="J17" s="204"/>
      <c r="K17" s="204"/>
      <c r="L17" s="205"/>
      <c r="M17" s="205"/>
      <c r="N17" s="205"/>
      <c r="O17" s="205"/>
      <c r="P17" s="205"/>
      <c r="U17" s="205"/>
      <c r="AA17" s="227" t="s">
        <v>20</v>
      </c>
      <c r="AB17" s="227">
        <v>3.5</v>
      </c>
      <c r="AC17" s="227" t="e">
        <f>AC16</f>
        <v>#VALUE!</v>
      </c>
      <c r="AD17" s="227">
        <f>AD7</f>
        <v>54.76</v>
      </c>
      <c r="AE17" s="295"/>
    </row>
    <row r="18" spans="1:33" s="221" customFormat="1" ht="17.100000000000001" customHeight="1">
      <c r="A18" s="220"/>
      <c r="B18" s="298"/>
      <c r="C18" s="298"/>
      <c r="D18" s="298"/>
      <c r="E18" s="220"/>
      <c r="F18" s="220"/>
      <c r="G18" s="220"/>
      <c r="H18" s="220"/>
      <c r="I18" s="220"/>
      <c r="J18" s="220"/>
      <c r="K18" s="220"/>
      <c r="L18" s="205"/>
      <c r="M18" s="205"/>
      <c r="N18" s="205"/>
      <c r="O18" s="205"/>
      <c r="P18" s="205"/>
      <c r="Q18" s="322"/>
      <c r="R18" s="322"/>
      <c r="S18" s="322"/>
      <c r="T18" s="206"/>
      <c r="U18" s="206"/>
      <c r="V18" s="217"/>
      <c r="AA18" s="227" t="s">
        <v>6</v>
      </c>
      <c r="AB18" s="227">
        <v>3.5</v>
      </c>
      <c r="AC18" s="227" t="e">
        <f>H53+H54</f>
        <v>#VALUE!</v>
      </c>
      <c r="AD18" s="227">
        <f>AD8</f>
        <v>57.8</v>
      </c>
      <c r="AE18" s="295"/>
      <c r="AF18" s="295"/>
      <c r="AG18" s="295"/>
    </row>
    <row r="19" spans="1:33" s="221" customFormat="1" ht="17.100000000000001" customHeight="1">
      <c r="A19" s="220"/>
      <c r="B19" s="298"/>
      <c r="C19" s="298"/>
      <c r="D19" s="298"/>
      <c r="E19" s="220"/>
      <c r="F19" s="220"/>
      <c r="G19" s="220"/>
      <c r="H19" s="220"/>
      <c r="I19" s="220"/>
      <c r="J19" s="220"/>
      <c r="K19" s="220"/>
      <c r="L19" s="205"/>
      <c r="M19" s="205"/>
      <c r="N19" s="205"/>
      <c r="O19" s="205"/>
      <c r="P19" s="205"/>
      <c r="Q19" s="322"/>
      <c r="R19" s="322"/>
      <c r="S19" s="322"/>
      <c r="T19" s="206"/>
      <c r="U19" s="206"/>
      <c r="V19" s="217"/>
      <c r="AA19" s="227" t="s">
        <v>6</v>
      </c>
      <c r="AB19" s="227">
        <v>4.5</v>
      </c>
      <c r="AC19" s="227" t="e">
        <f>AC18</f>
        <v>#VALUE!</v>
      </c>
      <c r="AD19" s="227">
        <f>AD8</f>
        <v>57.8</v>
      </c>
      <c r="AE19" s="295"/>
      <c r="AF19" s="295"/>
      <c r="AG19" s="295"/>
    </row>
    <row r="20" spans="1:33" ht="159.94999999999999" customHeight="1">
      <c r="B20" s="301"/>
      <c r="C20" s="300"/>
      <c r="D20" s="300"/>
      <c r="L20" s="205"/>
      <c r="M20" s="205"/>
      <c r="N20" s="205"/>
      <c r="O20" s="205"/>
      <c r="P20" s="205"/>
    </row>
    <row r="21" spans="1:33" ht="17.100000000000001" customHeight="1">
      <c r="B21" s="300"/>
      <c r="C21" s="300"/>
      <c r="D21" s="300"/>
      <c r="L21" s="205"/>
      <c r="M21" s="205"/>
      <c r="N21" s="205"/>
      <c r="O21" s="205"/>
      <c r="P21" s="205"/>
    </row>
    <row r="22" spans="1:33" ht="17.100000000000001" customHeight="1">
      <c r="B22" s="300"/>
      <c r="C22" s="300"/>
      <c r="D22" s="300"/>
      <c r="L22" s="205"/>
      <c r="M22" s="205"/>
      <c r="N22" s="205"/>
      <c r="O22" s="205"/>
      <c r="P22" s="205"/>
    </row>
    <row r="23" spans="1:33" ht="17.100000000000001" customHeight="1">
      <c r="B23" s="300"/>
      <c r="C23" s="300"/>
      <c r="D23" s="300"/>
      <c r="L23" s="205"/>
      <c r="M23" s="205"/>
      <c r="N23" s="205"/>
      <c r="O23" s="205"/>
      <c r="P23" s="205"/>
      <c r="AB23" s="325" t="s">
        <v>205</v>
      </c>
    </row>
    <row r="24" spans="1:33" ht="17.100000000000001" customHeight="1">
      <c r="L24" s="205"/>
      <c r="M24" s="205"/>
      <c r="N24" s="205"/>
      <c r="O24" s="205"/>
      <c r="P24" s="205"/>
      <c r="V24" s="209"/>
      <c r="AB24" s="325" t="s">
        <v>206</v>
      </c>
    </row>
    <row r="25" spans="1:33" ht="17.100000000000001" customHeight="1">
      <c r="V25" s="209"/>
      <c r="AB25" s="325" t="s">
        <v>221</v>
      </c>
    </row>
    <row r="26" spans="1:33" ht="17.100000000000001" customHeight="1">
      <c r="B26" s="226"/>
      <c r="C26" s="226"/>
      <c r="D26" s="226"/>
      <c r="AB26" s="325" t="s">
        <v>220</v>
      </c>
    </row>
    <row r="27" spans="1:33" ht="17.100000000000001" customHeight="1">
      <c r="B27" s="226"/>
      <c r="C27" s="226"/>
      <c r="D27" s="226"/>
      <c r="AB27" s="325" t="s">
        <v>222</v>
      </c>
    </row>
    <row r="28" spans="1:33" ht="17.100000000000001" customHeight="1">
      <c r="B28" s="369" t="s">
        <v>207</v>
      </c>
      <c r="C28" s="370"/>
      <c r="D28" s="370"/>
      <c r="E28" s="325" t="e">
        <f>IF(AC5&gt;AC12,"",AB25)</f>
        <v>#VALUE!</v>
      </c>
      <c r="G28" s="325" t="e">
        <f>IF(AD5&gt;AC12,"",AB25)</f>
        <v>#VALUE!</v>
      </c>
    </row>
    <row r="29" spans="1:33" ht="17.100000000000001" customHeight="1">
      <c r="B29" s="226"/>
      <c r="C29" s="226"/>
      <c r="D29" s="226"/>
      <c r="E29" s="325" t="e">
        <f>IF(AC6&gt;AC14,"",AB26)</f>
        <v>#VALUE!</v>
      </c>
      <c r="G29" s="325" t="e">
        <f>IF(AD6&gt;AC14,"",AB26)</f>
        <v>#VALUE!</v>
      </c>
    </row>
    <row r="30" spans="1:33" ht="17.100000000000001" customHeight="1">
      <c r="B30" s="300"/>
      <c r="C30" s="300"/>
      <c r="D30" s="300"/>
      <c r="E30" s="325" t="e">
        <f>IF(AC8&gt;AC18,"",AB27)</f>
        <v>#VALUE!</v>
      </c>
      <c r="G30" s="325" t="e">
        <f>IF(AD8&gt;AC19,"",AB27)</f>
        <v>#VALUE!</v>
      </c>
    </row>
    <row r="31" spans="1:33" ht="17.100000000000001" customHeight="1">
      <c r="B31" s="300"/>
      <c r="C31" s="300"/>
      <c r="D31" s="300"/>
    </row>
    <row r="32" spans="1:33" ht="17.100000000000001" customHeight="1">
      <c r="B32" s="369" t="s">
        <v>170</v>
      </c>
      <c r="C32" s="370"/>
      <c r="D32" s="370"/>
      <c r="E32" s="264"/>
    </row>
    <row r="33" spans="2:8" ht="17.100000000000001" customHeight="1">
      <c r="C33" s="229"/>
    </row>
    <row r="34" spans="2:8" ht="21.95" hidden="1" customHeight="1">
      <c r="B34" s="384"/>
      <c r="C34" s="385"/>
      <c r="D34" s="386"/>
      <c r="E34" s="384"/>
      <c r="F34" s="386"/>
      <c r="G34" s="371"/>
      <c r="H34" s="371"/>
    </row>
    <row r="35" spans="2:8" ht="21.95" customHeight="1">
      <c r="B35" s="372" t="s">
        <v>175</v>
      </c>
      <c r="C35" s="373"/>
      <c r="D35" s="373"/>
      <c r="E35" s="364"/>
      <c r="F35" s="365"/>
      <c r="G35" s="374"/>
      <c r="H35" s="374"/>
    </row>
    <row r="36" spans="2:8" ht="21.95" customHeight="1">
      <c r="B36" s="372" t="s">
        <v>156</v>
      </c>
      <c r="C36" s="373"/>
      <c r="D36" s="373"/>
      <c r="E36" s="364"/>
      <c r="F36" s="365"/>
      <c r="G36" s="374"/>
      <c r="H36" s="374"/>
    </row>
    <row r="37" spans="2:8" ht="21.95" customHeight="1">
      <c r="B37" s="376" t="s">
        <v>184</v>
      </c>
      <c r="C37" s="362"/>
      <c r="D37" s="363"/>
      <c r="E37" s="377"/>
      <c r="F37" s="378"/>
      <c r="G37" s="375"/>
      <c r="H37" s="375"/>
    </row>
    <row r="38" spans="2:8" ht="21.75" customHeight="1">
      <c r="B38" s="361" t="s">
        <v>157</v>
      </c>
      <c r="C38" s="362"/>
      <c r="D38" s="363"/>
      <c r="E38" s="364"/>
      <c r="F38" s="365"/>
      <c r="G38" s="374"/>
      <c r="H38" s="374"/>
    </row>
    <row r="39" spans="2:8" ht="21.75" customHeight="1">
      <c r="B39" s="361" t="s">
        <v>176</v>
      </c>
      <c r="C39" s="362"/>
      <c r="D39" s="363"/>
      <c r="E39" s="364"/>
      <c r="F39" s="365"/>
      <c r="G39" s="374"/>
      <c r="H39" s="374"/>
    </row>
    <row r="40" spans="2:8" ht="21.75" customHeight="1">
      <c r="B40" s="361" t="s">
        <v>181</v>
      </c>
      <c r="C40" s="362"/>
      <c r="D40" s="363"/>
      <c r="E40" s="377"/>
      <c r="F40" s="378"/>
      <c r="G40" s="377"/>
      <c r="H40" s="378"/>
    </row>
    <row r="41" spans="2:8" ht="21">
      <c r="B41" s="361" t="s">
        <v>177</v>
      </c>
      <c r="C41" s="362"/>
      <c r="D41" s="363"/>
      <c r="E41" s="364"/>
      <c r="F41" s="365"/>
      <c r="G41" s="364"/>
      <c r="H41" s="365"/>
    </row>
    <row r="42" spans="2:8" ht="21">
      <c r="B42" s="361" t="s">
        <v>227</v>
      </c>
      <c r="C42" s="362"/>
      <c r="D42" s="363"/>
      <c r="E42" s="364"/>
      <c r="F42" s="365"/>
      <c r="G42" s="364"/>
      <c r="H42" s="365"/>
    </row>
    <row r="43" spans="2:8" ht="21">
      <c r="B43" s="361" t="s">
        <v>228</v>
      </c>
      <c r="C43" s="362"/>
      <c r="D43" s="363"/>
      <c r="E43" s="364"/>
      <c r="F43" s="365"/>
      <c r="G43" s="364"/>
      <c r="H43" s="365"/>
    </row>
    <row r="44" spans="2:8" ht="21">
      <c r="B44" s="361" t="s">
        <v>229</v>
      </c>
      <c r="C44" s="362"/>
      <c r="D44" s="363"/>
      <c r="E44" s="364"/>
      <c r="F44" s="365"/>
      <c r="G44" s="364"/>
      <c r="H44" s="365"/>
    </row>
    <row r="45" spans="2:8">
      <c r="C45" s="242"/>
    </row>
    <row r="46" spans="2:8" ht="21">
      <c r="B46" s="278" t="s">
        <v>169</v>
      </c>
      <c r="C46" s="320"/>
      <c r="D46" s="320"/>
      <c r="E46" s="230"/>
      <c r="F46" s="230"/>
      <c r="G46" s="230"/>
      <c r="H46" s="230"/>
    </row>
    <row r="47" spans="2:8">
      <c r="B47" s="373"/>
      <c r="C47" s="373"/>
      <c r="D47" s="373"/>
      <c r="E47" s="279" t="s">
        <v>132</v>
      </c>
      <c r="F47" s="279" t="s">
        <v>133</v>
      </c>
      <c r="G47" s="279" t="s">
        <v>134</v>
      </c>
      <c r="H47" s="279" t="s">
        <v>135</v>
      </c>
    </row>
    <row r="48" spans="2:8">
      <c r="B48" s="361" t="s">
        <v>174</v>
      </c>
      <c r="C48" s="362"/>
      <c r="D48" s="363"/>
      <c r="E48" s="366" t="s">
        <v>223</v>
      </c>
      <c r="F48" s="367"/>
      <c r="G48" s="367"/>
      <c r="H48" s="368"/>
    </row>
    <row r="49" spans="2:8">
      <c r="B49" s="373" t="s">
        <v>185</v>
      </c>
      <c r="C49" s="373"/>
      <c r="D49" s="373"/>
      <c r="E49" s="279" t="s">
        <v>223</v>
      </c>
      <c r="F49" s="279" t="s">
        <v>223</v>
      </c>
      <c r="G49" s="279" t="s">
        <v>223</v>
      </c>
      <c r="H49" s="279" t="s">
        <v>223</v>
      </c>
    </row>
    <row r="50" spans="2:8">
      <c r="B50" s="373" t="s">
        <v>186</v>
      </c>
      <c r="C50" s="373"/>
      <c r="D50" s="373"/>
      <c r="E50" s="279" t="s">
        <v>223</v>
      </c>
      <c r="F50" s="279" t="s">
        <v>223</v>
      </c>
      <c r="G50" s="279" t="s">
        <v>223</v>
      </c>
      <c r="H50" s="279" t="s">
        <v>223</v>
      </c>
    </row>
    <row r="51" spans="2:8">
      <c r="B51" s="373" t="s">
        <v>187</v>
      </c>
      <c r="C51" s="373"/>
      <c r="D51" s="373"/>
      <c r="E51" s="279" t="s">
        <v>223</v>
      </c>
      <c r="F51" s="279" t="s">
        <v>223</v>
      </c>
      <c r="G51" s="279" t="s">
        <v>223</v>
      </c>
      <c r="H51" s="279" t="s">
        <v>223</v>
      </c>
    </row>
    <row r="52" spans="2:8">
      <c r="B52" s="373" t="s">
        <v>188</v>
      </c>
      <c r="C52" s="373"/>
      <c r="D52" s="373"/>
      <c r="E52" s="279" t="s">
        <v>223</v>
      </c>
      <c r="F52" s="279" t="s">
        <v>223</v>
      </c>
      <c r="G52" s="279" t="s">
        <v>223</v>
      </c>
      <c r="H52" s="279" t="s">
        <v>223</v>
      </c>
    </row>
    <row r="53" spans="2:8">
      <c r="B53" s="373" t="s">
        <v>189</v>
      </c>
      <c r="C53" s="373"/>
      <c r="D53" s="373"/>
      <c r="E53" s="279" t="s">
        <v>223</v>
      </c>
      <c r="F53" s="279" t="s">
        <v>223</v>
      </c>
      <c r="G53" s="279" t="s">
        <v>223</v>
      </c>
      <c r="H53" s="279" t="s">
        <v>223</v>
      </c>
    </row>
    <row r="54" spans="2:8">
      <c r="B54" s="373" t="s">
        <v>190</v>
      </c>
      <c r="C54" s="373"/>
      <c r="D54" s="373"/>
      <c r="E54" s="279" t="s">
        <v>223</v>
      </c>
      <c r="F54" s="279" t="s">
        <v>223</v>
      </c>
      <c r="G54" s="279" t="s">
        <v>223</v>
      </c>
      <c r="H54" s="279" t="s">
        <v>223</v>
      </c>
    </row>
    <row r="55" spans="2:8">
      <c r="B55" s="379"/>
      <c r="C55" s="379"/>
      <c r="D55" s="379"/>
    </row>
    <row r="56" spans="2:8">
      <c r="B56" s="366"/>
      <c r="C56" s="367"/>
      <c r="D56" s="368"/>
      <c r="E56" s="279" t="s">
        <v>158</v>
      </c>
      <c r="F56" s="279" t="s">
        <v>159</v>
      </c>
      <c r="G56" s="279" t="s">
        <v>160</v>
      </c>
      <c r="H56" s="279"/>
    </row>
    <row r="57" spans="2:8">
      <c r="B57" s="373" t="s">
        <v>188</v>
      </c>
      <c r="C57" s="373"/>
      <c r="D57" s="373"/>
      <c r="E57" s="279" t="s">
        <v>223</v>
      </c>
      <c r="F57" s="279" t="s">
        <v>223</v>
      </c>
      <c r="G57" s="279" t="s">
        <v>223</v>
      </c>
      <c r="H57" s="279"/>
    </row>
    <row r="58" spans="2:8">
      <c r="B58" s="373" t="s">
        <v>189</v>
      </c>
      <c r="C58" s="373"/>
      <c r="D58" s="373"/>
      <c r="E58" s="279" t="s">
        <v>223</v>
      </c>
      <c r="F58" s="279" t="s">
        <v>223</v>
      </c>
      <c r="G58" s="279" t="s">
        <v>223</v>
      </c>
      <c r="H58" s="279"/>
    </row>
    <row r="59" spans="2:8">
      <c r="B59" s="373" t="s">
        <v>190</v>
      </c>
      <c r="C59" s="373"/>
      <c r="D59" s="373"/>
      <c r="E59" s="279" t="s">
        <v>223</v>
      </c>
      <c r="F59" s="279" t="s">
        <v>223</v>
      </c>
      <c r="G59" s="279" t="s">
        <v>223</v>
      </c>
      <c r="H59" s="279"/>
    </row>
    <row r="61" spans="2:8">
      <c r="B61" s="371"/>
      <c r="C61" s="371"/>
      <c r="D61" s="371"/>
      <c r="E61" s="279" t="s">
        <v>161</v>
      </c>
      <c r="F61" s="279" t="s">
        <v>162</v>
      </c>
      <c r="G61" s="279"/>
      <c r="H61" s="279"/>
    </row>
    <row r="62" spans="2:8">
      <c r="B62" s="372" t="s">
        <v>178</v>
      </c>
      <c r="C62" s="373"/>
      <c r="D62" s="373"/>
      <c r="E62" s="279" t="s">
        <v>223</v>
      </c>
      <c r="F62" s="279" t="s">
        <v>223</v>
      </c>
      <c r="G62" s="279"/>
      <c r="H62" s="279"/>
    </row>
    <row r="63" spans="2:8">
      <c r="B63" s="372" t="s">
        <v>179</v>
      </c>
      <c r="C63" s="373"/>
      <c r="D63" s="373"/>
      <c r="E63" s="279" t="s">
        <v>223</v>
      </c>
      <c r="F63" s="279" t="s">
        <v>223</v>
      </c>
      <c r="G63" s="279"/>
      <c r="H63" s="279"/>
    </row>
    <row r="64" spans="2:8">
      <c r="B64" s="372" t="s">
        <v>180</v>
      </c>
      <c r="C64" s="373"/>
      <c r="D64" s="373"/>
      <c r="E64" s="279" t="s">
        <v>223</v>
      </c>
      <c r="F64" s="279" t="s">
        <v>223</v>
      </c>
      <c r="G64" s="279"/>
      <c r="H64" s="279"/>
    </row>
  </sheetData>
  <dataConsolidate function="max"/>
  <mergeCells count="61">
    <mergeCell ref="B1:I1"/>
    <mergeCell ref="E2:F2"/>
    <mergeCell ref="G2:H2"/>
    <mergeCell ref="B39:D39"/>
    <mergeCell ref="E39:F39"/>
    <mergeCell ref="G39:H39"/>
    <mergeCell ref="E34:F34"/>
    <mergeCell ref="G34:H34"/>
    <mergeCell ref="B17:D17"/>
    <mergeCell ref="B6:D6"/>
    <mergeCell ref="B3:D3"/>
    <mergeCell ref="B4:D4"/>
    <mergeCell ref="B5:D5"/>
    <mergeCell ref="B28:D28"/>
    <mergeCell ref="E37:F37"/>
    <mergeCell ref="G37:H37"/>
    <mergeCell ref="E38:F38"/>
    <mergeCell ref="G38:H38"/>
    <mergeCell ref="B32:D32"/>
    <mergeCell ref="B47:D47"/>
    <mergeCell ref="E35:F35"/>
    <mergeCell ref="G35:H35"/>
    <mergeCell ref="E36:F36"/>
    <mergeCell ref="G36:H36"/>
    <mergeCell ref="E44:F44"/>
    <mergeCell ref="G44:H44"/>
    <mergeCell ref="E40:F40"/>
    <mergeCell ref="G40:H40"/>
    <mergeCell ref="B41:D41"/>
    <mergeCell ref="E41:F41"/>
    <mergeCell ref="G41:H41"/>
    <mergeCell ref="B34:D34"/>
    <mergeCell ref="B35:D35"/>
    <mergeCell ref="B36:D36"/>
    <mergeCell ref="B44:D44"/>
    <mergeCell ref="B38:D38"/>
    <mergeCell ref="B63:D63"/>
    <mergeCell ref="B56:D56"/>
    <mergeCell ref="B42:D42"/>
    <mergeCell ref="B55:D55"/>
    <mergeCell ref="B37:D37"/>
    <mergeCell ref="B40:D40"/>
    <mergeCell ref="B50:D50"/>
    <mergeCell ref="B51:D51"/>
    <mergeCell ref="B64:D64"/>
    <mergeCell ref="B57:D57"/>
    <mergeCell ref="B58:D58"/>
    <mergeCell ref="B59:D59"/>
    <mergeCell ref="B61:D61"/>
    <mergeCell ref="B62:D62"/>
    <mergeCell ref="E42:F42"/>
    <mergeCell ref="G42:H42"/>
    <mergeCell ref="B43:D43"/>
    <mergeCell ref="E43:F43"/>
    <mergeCell ref="G43:H43"/>
    <mergeCell ref="E48:H48"/>
    <mergeCell ref="B49:D49"/>
    <mergeCell ref="B52:D52"/>
    <mergeCell ref="B53:D53"/>
    <mergeCell ref="B54:D54"/>
    <mergeCell ref="B48:D48"/>
  </mergeCells>
  <phoneticPr fontId="55" type="noConversion"/>
  <conditionalFormatting sqref="E46 G46">
    <cfRule type="cellIs" dxfId="71" priority="29" operator="equal">
      <formula>"0 %"</formula>
    </cfRule>
    <cfRule type="cellIs" dxfId="70" priority="30" operator="equal">
      <formula>"0 MW"</formula>
    </cfRule>
    <cfRule type="cellIs" dxfId="69" priority="31" operator="equal">
      <formula>"0 %"</formula>
    </cfRule>
    <cfRule type="cellIs" dxfId="68" priority="32" operator="equal">
      <formula>"0 MW"</formula>
    </cfRule>
  </conditionalFormatting>
  <conditionalFormatting sqref="E47:E48">
    <cfRule type="cellIs" dxfId="67" priority="13" operator="equal">
      <formula>"0 %"</formula>
    </cfRule>
    <cfRule type="cellIs" dxfId="66" priority="14" operator="equal">
      <formula>"0 MW"</formula>
    </cfRule>
    <cfRule type="cellIs" dxfId="65" priority="15" operator="equal">
      <formula>"0 %"</formula>
    </cfRule>
    <cfRule type="cellIs" dxfId="64" priority="16" operator="equal">
      <formula>"0 MW"</formula>
    </cfRule>
  </conditionalFormatting>
  <conditionalFormatting sqref="B56 E56:H56">
    <cfRule type="cellIs" dxfId="63" priority="9" operator="equal">
      <formula>"0 %"</formula>
    </cfRule>
    <cfRule type="cellIs" dxfId="62" priority="10" operator="equal">
      <formula>"0 MW"</formula>
    </cfRule>
    <cfRule type="cellIs" dxfId="61" priority="11" operator="equal">
      <formula>"0 %"</formula>
    </cfRule>
    <cfRule type="cellIs" dxfId="60" priority="12" operator="equal">
      <formula>"0 MW"</formula>
    </cfRule>
  </conditionalFormatting>
  <conditionalFormatting sqref="G61:H64">
    <cfRule type="cellIs" dxfId="59" priority="5" operator="equal">
      <formula>"0 %"</formula>
    </cfRule>
    <cfRule type="cellIs" dxfId="58" priority="6" operator="equal">
      <formula>"0 MW"</formula>
    </cfRule>
    <cfRule type="cellIs" dxfId="57" priority="7" operator="equal">
      <formula>"0 %"</formula>
    </cfRule>
    <cfRule type="cellIs" dxfId="56" priority="8" operator="equal">
      <formula>"0 MW"</formula>
    </cfRule>
  </conditionalFormatting>
  <conditionalFormatting sqref="E61:F61">
    <cfRule type="cellIs" dxfId="55" priority="1" operator="equal">
      <formula>"0 %"</formula>
    </cfRule>
    <cfRule type="cellIs" dxfId="54" priority="2" operator="equal">
      <formula>"0 MW"</formula>
    </cfRule>
    <cfRule type="cellIs" dxfId="53" priority="3" operator="equal">
      <formula>"0 %"</formula>
    </cfRule>
    <cfRule type="cellIs" dxfId="52" priority="4" operator="equal">
      <formula>"0 MW"</formula>
    </cfRule>
  </conditionalFormatting>
  <pageMargins left="0.75" right="0.75" top="1" bottom="1" header="0.5" footer="0.5"/>
  <pageSetup paperSize="9" scale="46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8</xdr:col>
                <xdr:colOff>790575</xdr:colOff>
                <xdr:row>0</xdr:row>
                <xdr:rowOff>104775</xdr:rowOff>
              </from>
              <to>
                <xdr:col>9</xdr:col>
                <xdr:colOff>1228725</xdr:colOff>
                <xdr:row>1</xdr:row>
                <xdr:rowOff>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L64"/>
  <sheetViews>
    <sheetView zoomScale="55" zoomScaleNormal="55" workbookViewId="0">
      <selection activeCell="B42" sqref="B42:H45"/>
    </sheetView>
  </sheetViews>
  <sheetFormatPr defaultColWidth="5.28515625" defaultRowHeight="21"/>
  <cols>
    <col min="1" max="4" width="9.7109375" style="210" customWidth="1"/>
    <col min="5" max="8" width="34.28515625" style="210" customWidth="1"/>
    <col min="9" max="9" width="9" style="210" customWidth="1"/>
    <col min="10" max="10" width="24.5703125" style="210" customWidth="1"/>
    <col min="11" max="11" width="2.140625" style="210" customWidth="1"/>
    <col min="12" max="12" width="18.140625" style="206" customWidth="1"/>
    <col min="13" max="14" width="3.140625" style="206" customWidth="1"/>
    <col min="15" max="15" width="5.7109375" style="206" customWidth="1"/>
    <col min="16" max="16" width="7.28515625" style="322" customWidth="1"/>
    <col min="17" max="17" width="6.85546875" style="322" customWidth="1"/>
    <col min="18" max="18" width="7.28515625" style="322" customWidth="1"/>
    <col min="19" max="19" width="7" style="322" customWidth="1"/>
    <col min="20" max="20" width="7.28515625" style="322" customWidth="1"/>
    <col min="21" max="21" width="0.28515625" style="206" customWidth="1"/>
    <col min="22" max="26" width="8.5703125" style="206" customWidth="1"/>
    <col min="27" max="27" width="12.85546875" style="280" hidden="1" customWidth="1"/>
    <col min="28" max="28" width="15" style="280" hidden="1" customWidth="1"/>
    <col min="29" max="29" width="14" style="280" hidden="1" customWidth="1"/>
    <col min="30" max="30" width="10.140625" style="280" hidden="1" customWidth="1"/>
    <col min="31" max="31" width="13.42578125" style="280" hidden="1" customWidth="1"/>
    <col min="32" max="32" width="10.140625" style="280" hidden="1" customWidth="1"/>
    <col min="33" max="33" width="9.85546875" style="280" hidden="1" customWidth="1"/>
    <col min="34" max="34" width="6.28515625" style="280" hidden="1" customWidth="1"/>
    <col min="35" max="35" width="6.42578125" style="322" customWidth="1"/>
    <col min="36" max="38" width="5.28515625" style="206"/>
    <col min="39" max="16384" width="5.28515625" style="209"/>
  </cols>
  <sheetData>
    <row r="1" spans="1:38" ht="50.1" customHeight="1">
      <c r="B1" s="387" t="s">
        <v>219</v>
      </c>
      <c r="C1" s="388"/>
      <c r="D1" s="388"/>
      <c r="E1" s="388"/>
      <c r="F1" s="388"/>
      <c r="G1" s="388"/>
      <c r="H1" s="388"/>
      <c r="I1" s="388"/>
      <c r="J1" s="243"/>
      <c r="K1" s="243"/>
      <c r="L1" s="244"/>
      <c r="M1" s="244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I1" s="281"/>
      <c r="AJ1" s="282"/>
    </row>
    <row r="2" spans="1:38" ht="50.1" customHeight="1">
      <c r="A2" s="203"/>
      <c r="C2" s="204"/>
      <c r="D2" s="204"/>
      <c r="E2" s="379" t="s">
        <v>182</v>
      </c>
      <c r="F2" s="379"/>
      <c r="G2" s="379" t="s">
        <v>183</v>
      </c>
      <c r="H2" s="379"/>
      <c r="J2" s="264"/>
      <c r="K2" s="264"/>
      <c r="L2" s="249"/>
      <c r="M2" s="205"/>
      <c r="N2" s="205"/>
      <c r="O2" s="205"/>
      <c r="U2" s="205"/>
      <c r="V2" s="205"/>
      <c r="W2" s="205"/>
      <c r="X2" s="205"/>
      <c r="Y2" s="205"/>
      <c r="Z2" s="205"/>
      <c r="AB2" s="283" t="s">
        <v>123</v>
      </c>
      <c r="AC2" s="283" t="s">
        <v>121</v>
      </c>
      <c r="AD2" s="283" t="s">
        <v>124</v>
      </c>
      <c r="AE2" s="283" t="s">
        <v>122</v>
      </c>
      <c r="AF2" s="284" t="s">
        <v>119</v>
      </c>
      <c r="AG2" s="283" t="s">
        <v>120</v>
      </c>
      <c r="AH2" s="283"/>
      <c r="AI2" s="206"/>
    </row>
    <row r="3" spans="1:38" ht="17.100000000000001" customHeight="1">
      <c r="A3" s="203"/>
      <c r="B3" s="389" t="s">
        <v>155</v>
      </c>
      <c r="C3" s="390"/>
      <c r="D3" s="390"/>
      <c r="E3" s="285"/>
      <c r="F3" s="204"/>
      <c r="G3" s="204"/>
      <c r="H3" s="204"/>
      <c r="I3" s="204"/>
      <c r="J3" s="204"/>
      <c r="K3" s="204"/>
      <c r="L3" s="205"/>
      <c r="M3" s="205"/>
      <c r="N3" s="205"/>
      <c r="O3" s="205"/>
      <c r="P3" s="286"/>
      <c r="Q3" s="286"/>
      <c r="R3" s="286"/>
      <c r="S3" s="286"/>
      <c r="T3" s="286"/>
      <c r="U3" s="205"/>
      <c r="V3" s="205"/>
      <c r="W3" s="205"/>
      <c r="X3" s="205"/>
      <c r="Y3" s="205"/>
      <c r="Z3" s="205"/>
      <c r="AA3" s="280" t="s">
        <v>21</v>
      </c>
      <c r="AB3" s="284">
        <f>AC3-AF3</f>
        <v>37</v>
      </c>
      <c r="AC3" s="284">
        <v>50</v>
      </c>
      <c r="AD3" s="284">
        <f>AE3-AG3</f>
        <v>27</v>
      </c>
      <c r="AE3" s="284">
        <v>40</v>
      </c>
      <c r="AF3" s="284">
        <v>13</v>
      </c>
      <c r="AG3" s="284">
        <v>13</v>
      </c>
      <c r="AH3" s="283"/>
      <c r="AI3" s="206"/>
    </row>
    <row r="4" spans="1:38" s="218" customFormat="1" ht="17.100000000000001" customHeight="1">
      <c r="A4" s="203"/>
      <c r="B4" s="319"/>
      <c r="C4" s="317"/>
      <c r="D4" s="317"/>
      <c r="E4" s="287"/>
      <c r="F4" s="214"/>
      <c r="G4" s="214"/>
      <c r="H4" s="214"/>
      <c r="I4" s="214"/>
      <c r="J4" s="220"/>
      <c r="K4" s="203"/>
      <c r="L4" s="216"/>
      <c r="M4" s="216"/>
      <c r="N4" s="216"/>
      <c r="O4" s="288"/>
      <c r="P4" s="286"/>
      <c r="Q4" s="286"/>
      <c r="R4" s="286"/>
      <c r="S4" s="286"/>
      <c r="T4" s="286"/>
      <c r="U4" s="216"/>
      <c r="V4" s="216"/>
      <c r="W4" s="216"/>
      <c r="X4" s="216"/>
      <c r="Y4" s="216"/>
      <c r="Z4" s="216"/>
      <c r="AA4" s="280" t="s">
        <v>13</v>
      </c>
      <c r="AB4" s="284">
        <f t="shared" ref="AB4:AB5" si="0">AC4-AF4</f>
        <v>37</v>
      </c>
      <c r="AC4" s="280">
        <f t="shared" ref="AC4:AE5" si="1">AC3</f>
        <v>50</v>
      </c>
      <c r="AD4" s="284">
        <f t="shared" ref="AD4:AD5" si="2">AE4-AG4</f>
        <v>27</v>
      </c>
      <c r="AE4" s="280">
        <f t="shared" si="1"/>
        <v>40</v>
      </c>
      <c r="AF4" s="280">
        <f>AF3</f>
        <v>13</v>
      </c>
      <c r="AG4" s="280">
        <f>AG3</f>
        <v>13</v>
      </c>
      <c r="AH4" s="283"/>
      <c r="AI4" s="216"/>
      <c r="AJ4" s="216"/>
      <c r="AK4" s="216"/>
      <c r="AL4" s="216"/>
    </row>
    <row r="5" spans="1:38" s="221" customFormat="1" ht="17.100000000000001" customHeight="1">
      <c r="A5" s="220"/>
      <c r="B5" s="319"/>
      <c r="C5" s="317"/>
      <c r="D5" s="317"/>
      <c r="E5" s="287"/>
      <c r="F5" s="392"/>
      <c r="G5" s="392"/>
      <c r="H5" s="392"/>
      <c r="I5" s="392"/>
      <c r="J5" s="220"/>
      <c r="K5" s="220"/>
      <c r="L5" s="217"/>
      <c r="M5" s="217"/>
      <c r="N5" s="217"/>
      <c r="O5" s="288"/>
      <c r="P5" s="322"/>
      <c r="Q5" s="322"/>
      <c r="R5" s="322"/>
      <c r="S5" s="322"/>
      <c r="T5" s="322"/>
      <c r="U5" s="217"/>
      <c r="V5" s="217"/>
      <c r="W5" s="217"/>
      <c r="X5" s="217"/>
      <c r="Y5" s="217"/>
      <c r="Z5" s="217"/>
      <c r="AA5" s="280" t="s">
        <v>22</v>
      </c>
      <c r="AB5" s="284">
        <f t="shared" si="0"/>
        <v>37</v>
      </c>
      <c r="AC5" s="280">
        <f t="shared" si="1"/>
        <v>50</v>
      </c>
      <c r="AD5" s="284">
        <f t="shared" si="2"/>
        <v>27</v>
      </c>
      <c r="AE5" s="280">
        <f t="shared" si="1"/>
        <v>40</v>
      </c>
      <c r="AF5" s="280">
        <f>AF3</f>
        <v>13</v>
      </c>
      <c r="AG5" s="280">
        <f>AG3</f>
        <v>13</v>
      </c>
      <c r="AH5" s="280"/>
      <c r="AI5" s="217"/>
      <c r="AJ5" s="217"/>
      <c r="AK5" s="217"/>
      <c r="AL5" s="217"/>
    </row>
    <row r="6" spans="1:38" s="221" customFormat="1" ht="17.100000000000001" customHeight="1">
      <c r="A6" s="220"/>
      <c r="B6" s="319"/>
      <c r="C6" s="317"/>
      <c r="D6" s="317"/>
      <c r="E6" s="287"/>
      <c r="F6" s="392"/>
      <c r="G6" s="392"/>
      <c r="H6" s="392"/>
      <c r="I6" s="392"/>
      <c r="J6" s="220"/>
      <c r="K6" s="220"/>
      <c r="L6" s="217"/>
      <c r="M6" s="217"/>
      <c r="N6" s="217"/>
      <c r="O6" s="288"/>
      <c r="P6" s="322"/>
      <c r="Q6" s="322"/>
      <c r="R6" s="322"/>
      <c r="S6" s="322"/>
      <c r="T6" s="322"/>
      <c r="U6" s="217"/>
      <c r="V6" s="217"/>
      <c r="W6" s="217"/>
      <c r="X6" s="217"/>
      <c r="Y6" s="217"/>
      <c r="Z6" s="217"/>
      <c r="AA6" s="280"/>
      <c r="AB6" s="280"/>
      <c r="AC6" s="280"/>
      <c r="AD6" s="280"/>
      <c r="AE6" s="280"/>
      <c r="AF6" s="280"/>
      <c r="AG6" s="280"/>
      <c r="AH6" s="280"/>
      <c r="AI6" s="217"/>
      <c r="AJ6" s="217"/>
      <c r="AK6" s="217"/>
      <c r="AL6" s="217"/>
    </row>
    <row r="7" spans="1:38" s="221" customFormat="1" ht="17.100000000000001" customHeight="1">
      <c r="A7" s="220"/>
      <c r="B7" s="222"/>
      <c r="C7" s="223"/>
      <c r="D7" s="222"/>
      <c r="E7" s="287"/>
      <c r="F7" s="392"/>
      <c r="G7" s="392"/>
      <c r="H7" s="392"/>
      <c r="I7" s="392"/>
      <c r="J7" s="220"/>
      <c r="K7" s="220"/>
      <c r="L7" s="217"/>
      <c r="M7" s="217"/>
      <c r="N7" s="217"/>
      <c r="O7" s="288"/>
      <c r="P7" s="322"/>
      <c r="Q7" s="322"/>
      <c r="R7" s="322"/>
      <c r="S7" s="322"/>
      <c r="T7" s="322"/>
      <c r="U7" s="217"/>
      <c r="V7" s="217"/>
      <c r="W7" s="217"/>
      <c r="X7" s="217"/>
      <c r="Y7" s="217"/>
      <c r="Z7" s="217"/>
      <c r="AA7" s="280"/>
      <c r="AB7" s="280"/>
      <c r="AC7" s="280"/>
      <c r="AD7" s="280"/>
      <c r="AE7" s="280"/>
      <c r="AF7" s="280"/>
      <c r="AG7" s="280"/>
      <c r="AH7" s="280"/>
      <c r="AI7" s="217"/>
      <c r="AJ7" s="217"/>
      <c r="AK7" s="217"/>
      <c r="AL7" s="217"/>
    </row>
    <row r="8" spans="1:38" s="221" customFormat="1" ht="17.100000000000001" customHeight="1">
      <c r="A8" s="220"/>
      <c r="B8" s="222"/>
      <c r="C8" s="223"/>
      <c r="D8" s="222"/>
      <c r="E8" s="287"/>
      <c r="F8" s="392"/>
      <c r="G8" s="392"/>
      <c r="H8" s="392"/>
      <c r="I8" s="392"/>
      <c r="J8" s="220"/>
      <c r="K8" s="220"/>
      <c r="L8" s="217"/>
      <c r="M8" s="217"/>
      <c r="N8" s="217"/>
      <c r="O8" s="288"/>
      <c r="P8" s="322"/>
      <c r="Q8" s="322"/>
      <c r="R8" s="322"/>
      <c r="S8" s="322"/>
      <c r="T8" s="322"/>
      <c r="U8" s="217"/>
      <c r="V8" s="217"/>
      <c r="W8" s="217"/>
      <c r="X8" s="217"/>
      <c r="Y8" s="217"/>
      <c r="Z8" s="217"/>
      <c r="AA8" s="280"/>
      <c r="AB8" s="280"/>
      <c r="AC8" s="280"/>
      <c r="AD8" s="280"/>
      <c r="AE8" s="280"/>
      <c r="AF8" s="280"/>
      <c r="AG8" s="280"/>
      <c r="AH8" s="280"/>
      <c r="AI8" s="217"/>
      <c r="AJ8" s="217"/>
      <c r="AK8" s="217"/>
      <c r="AL8" s="217"/>
    </row>
    <row r="9" spans="1:38" s="221" customFormat="1" ht="17.100000000000001" customHeight="1">
      <c r="A9" s="220"/>
      <c r="B9" s="222"/>
      <c r="C9" s="223"/>
      <c r="D9" s="222"/>
      <c r="E9" s="287"/>
      <c r="F9" s="321"/>
      <c r="G9" s="321"/>
      <c r="H9" s="321"/>
      <c r="I9" s="321"/>
      <c r="J9" s="220"/>
      <c r="K9" s="220"/>
      <c r="L9" s="217"/>
      <c r="M9" s="217"/>
      <c r="N9" s="217"/>
      <c r="O9" s="288"/>
      <c r="P9" s="322"/>
      <c r="Q9" s="322"/>
      <c r="R9" s="322"/>
      <c r="S9" s="322"/>
      <c r="T9" s="322"/>
      <c r="U9" s="217"/>
      <c r="V9" s="217"/>
      <c r="W9" s="217"/>
      <c r="X9" s="217"/>
      <c r="Y9" s="217"/>
      <c r="Z9" s="217"/>
      <c r="AA9" s="280"/>
      <c r="AB9" s="280"/>
      <c r="AC9" s="280"/>
      <c r="AD9" s="280"/>
      <c r="AE9" s="280"/>
      <c r="AF9" s="280"/>
      <c r="AG9" s="280"/>
      <c r="AH9" s="280"/>
      <c r="AI9" s="286"/>
      <c r="AJ9" s="217"/>
      <c r="AK9" s="217"/>
      <c r="AL9" s="217"/>
    </row>
    <row r="10" spans="1:38" s="221" customFormat="1" ht="17.100000000000001" customHeight="1">
      <c r="A10" s="220"/>
      <c r="B10" s="222"/>
      <c r="C10" s="222"/>
      <c r="D10" s="222"/>
      <c r="E10" s="287"/>
      <c r="F10" s="392"/>
      <c r="G10" s="392"/>
      <c r="H10" s="392"/>
      <c r="I10" s="392"/>
      <c r="J10" s="220"/>
      <c r="K10" s="220"/>
      <c r="L10" s="217"/>
      <c r="M10" s="217"/>
      <c r="N10" s="217"/>
      <c r="O10" s="288"/>
      <c r="P10" s="322"/>
      <c r="Q10" s="322"/>
      <c r="R10" s="322"/>
      <c r="S10" s="322"/>
      <c r="T10" s="322"/>
      <c r="U10" s="217"/>
      <c r="V10" s="217"/>
      <c r="W10" s="217"/>
      <c r="X10" s="217"/>
      <c r="Y10" s="217"/>
      <c r="Z10" s="217"/>
      <c r="AA10" s="280"/>
      <c r="AB10" s="280"/>
      <c r="AC10" s="280"/>
      <c r="AD10" s="280"/>
      <c r="AE10" s="280"/>
      <c r="AF10" s="280"/>
      <c r="AG10" s="280"/>
      <c r="AH10" s="280"/>
      <c r="AI10" s="286"/>
      <c r="AJ10" s="217"/>
      <c r="AK10" s="217"/>
      <c r="AL10" s="217"/>
    </row>
    <row r="11" spans="1:38" s="221" customFormat="1" ht="17.100000000000001" customHeight="1">
      <c r="A11" s="220"/>
      <c r="B11" s="222"/>
      <c r="C11" s="222"/>
      <c r="D11" s="222"/>
      <c r="E11" s="287"/>
      <c r="F11" s="392"/>
      <c r="G11" s="392"/>
      <c r="H11" s="392"/>
      <c r="I11" s="392"/>
      <c r="J11" s="220"/>
      <c r="K11" s="220"/>
      <c r="L11" s="217"/>
      <c r="M11" s="217"/>
      <c r="N11" s="217"/>
      <c r="O11" s="288"/>
      <c r="P11" s="322"/>
      <c r="Q11" s="322"/>
      <c r="R11" s="322"/>
      <c r="S11" s="322"/>
      <c r="T11" s="322"/>
      <c r="U11" s="217"/>
      <c r="V11" s="217"/>
      <c r="W11" s="217"/>
      <c r="X11" s="217"/>
      <c r="Y11" s="217"/>
      <c r="Z11" s="217"/>
      <c r="AA11" s="280"/>
      <c r="AB11" s="280"/>
      <c r="AC11" s="280" t="s">
        <v>5</v>
      </c>
      <c r="AD11" s="280"/>
      <c r="AE11" s="280"/>
      <c r="AF11" s="280"/>
      <c r="AG11" s="280"/>
      <c r="AH11" s="280"/>
      <c r="AI11" s="286"/>
      <c r="AJ11" s="217"/>
      <c r="AK11" s="217"/>
      <c r="AL11" s="217"/>
    </row>
    <row r="12" spans="1:38" s="221" customFormat="1" ht="17.100000000000001" customHeight="1">
      <c r="A12" s="220"/>
      <c r="B12" s="222"/>
      <c r="C12" s="222"/>
      <c r="D12" s="222"/>
      <c r="E12" s="287"/>
      <c r="F12" s="392"/>
      <c r="G12" s="392"/>
      <c r="H12" s="392"/>
      <c r="I12" s="392"/>
      <c r="J12" s="220"/>
      <c r="K12" s="220"/>
      <c r="L12" s="217"/>
      <c r="M12" s="217"/>
      <c r="N12" s="217"/>
      <c r="O12" s="288"/>
      <c r="P12" s="322"/>
      <c r="Q12" s="322"/>
      <c r="R12" s="322"/>
      <c r="S12" s="322"/>
      <c r="T12" s="322"/>
      <c r="U12" s="217"/>
      <c r="V12" s="217"/>
      <c r="W12" s="217"/>
      <c r="X12" s="217"/>
      <c r="Y12" s="217"/>
      <c r="Z12" s="217"/>
      <c r="AA12" s="280" t="s">
        <v>12</v>
      </c>
      <c r="AB12" s="280">
        <v>0.5</v>
      </c>
      <c r="AC12" s="280" t="e">
        <f>E58+E59</f>
        <v>#VALUE!</v>
      </c>
      <c r="AD12" s="280"/>
      <c r="AE12" s="280"/>
      <c r="AF12" s="280"/>
      <c r="AG12" s="280"/>
      <c r="AH12" s="280"/>
      <c r="AI12" s="286"/>
      <c r="AJ12" s="217"/>
      <c r="AK12" s="217"/>
      <c r="AL12" s="217"/>
    </row>
    <row r="13" spans="1:38" s="221" customFormat="1" ht="17.100000000000001" customHeight="1">
      <c r="A13" s="220"/>
      <c r="B13" s="222"/>
      <c r="C13" s="222"/>
      <c r="D13" s="222"/>
      <c r="E13" s="287"/>
      <c r="F13" s="392"/>
      <c r="G13" s="392"/>
      <c r="H13" s="392"/>
      <c r="I13" s="392"/>
      <c r="J13" s="220"/>
      <c r="K13" s="220"/>
      <c r="L13" s="217"/>
      <c r="M13" s="217"/>
      <c r="N13" s="217"/>
      <c r="O13" s="288"/>
      <c r="P13" s="322"/>
      <c r="Q13" s="322"/>
      <c r="R13" s="322"/>
      <c r="S13" s="322"/>
      <c r="T13" s="322"/>
      <c r="U13" s="217"/>
      <c r="V13" s="217"/>
      <c r="W13" s="217"/>
      <c r="X13" s="217"/>
      <c r="Y13" s="217"/>
      <c r="Z13" s="217"/>
      <c r="AA13" s="280" t="s">
        <v>12</v>
      </c>
      <c r="AB13" s="280">
        <v>1.5</v>
      </c>
      <c r="AC13" s="280" t="e">
        <f>AC12</f>
        <v>#VALUE!</v>
      </c>
      <c r="AD13" s="280"/>
      <c r="AE13" s="280"/>
      <c r="AF13" s="280"/>
      <c r="AG13" s="280"/>
      <c r="AH13" s="280"/>
      <c r="AI13" s="286"/>
      <c r="AJ13" s="217"/>
      <c r="AK13" s="217"/>
      <c r="AL13" s="217"/>
    </row>
    <row r="14" spans="1:38" s="221" customFormat="1" ht="17.100000000000001" customHeight="1">
      <c r="A14" s="220"/>
      <c r="B14" s="222"/>
      <c r="C14" s="222"/>
      <c r="D14" s="222"/>
      <c r="E14" s="325" t="s">
        <v>213</v>
      </c>
      <c r="F14" s="210"/>
      <c r="G14" s="325" t="s">
        <v>208</v>
      </c>
      <c r="H14" s="210"/>
      <c r="I14" s="323"/>
      <c r="J14" s="220"/>
      <c r="K14" s="220"/>
      <c r="L14" s="217"/>
      <c r="M14" s="217"/>
      <c r="N14" s="217"/>
      <c r="O14" s="288"/>
      <c r="P14" s="322"/>
      <c r="Q14" s="322"/>
      <c r="R14" s="322"/>
      <c r="S14" s="322"/>
      <c r="T14" s="322"/>
      <c r="U14" s="206"/>
      <c r="V14" s="206"/>
      <c r="W14" s="206"/>
      <c r="X14" s="206"/>
      <c r="Y14" s="206"/>
      <c r="Z14" s="206"/>
      <c r="AA14" s="280" t="s">
        <v>4</v>
      </c>
      <c r="AB14" s="280">
        <v>1.5</v>
      </c>
      <c r="AC14" s="280" t="e">
        <f>F58+F59</f>
        <v>#VALUE!</v>
      </c>
      <c r="AD14" s="280"/>
      <c r="AE14" s="280"/>
      <c r="AF14" s="280"/>
      <c r="AG14" s="280"/>
      <c r="AH14" s="280"/>
      <c r="AI14" s="286"/>
      <c r="AJ14" s="217"/>
      <c r="AK14" s="217"/>
      <c r="AL14" s="217"/>
    </row>
    <row r="15" spans="1:38" s="221" customFormat="1" ht="17.100000000000001" customHeight="1">
      <c r="A15" s="220"/>
      <c r="B15" s="222"/>
      <c r="C15" s="222"/>
      <c r="D15" s="222"/>
      <c r="E15" s="325" t="s">
        <v>206</v>
      </c>
      <c r="F15" s="210"/>
      <c r="G15" s="325" t="s">
        <v>214</v>
      </c>
      <c r="H15" s="210"/>
      <c r="I15" s="323"/>
      <c r="J15" s="220"/>
      <c r="K15" s="220"/>
      <c r="L15" s="217"/>
      <c r="M15" s="217"/>
      <c r="N15" s="217"/>
      <c r="O15" s="288"/>
      <c r="P15" s="322"/>
      <c r="Q15" s="322"/>
      <c r="R15" s="322"/>
      <c r="S15" s="322"/>
      <c r="T15" s="322"/>
      <c r="U15" s="217"/>
      <c r="V15" s="217"/>
      <c r="W15" s="217"/>
      <c r="X15" s="217"/>
      <c r="Y15" s="217"/>
      <c r="Z15" s="217"/>
      <c r="AA15" s="280" t="s">
        <v>4</v>
      </c>
      <c r="AB15" s="280">
        <v>2.5</v>
      </c>
      <c r="AC15" s="280" t="e">
        <f>AC14</f>
        <v>#VALUE!</v>
      </c>
      <c r="AD15" s="280"/>
      <c r="AE15" s="280"/>
      <c r="AF15" s="280"/>
      <c r="AG15" s="280"/>
      <c r="AH15" s="280"/>
      <c r="AI15" s="286"/>
      <c r="AJ15" s="217"/>
      <c r="AK15" s="217"/>
      <c r="AL15" s="217"/>
    </row>
    <row r="16" spans="1:38" ht="17.100000000000001" customHeight="1">
      <c r="B16" s="226"/>
      <c r="C16" s="226"/>
      <c r="D16" s="226"/>
      <c r="E16" s="289"/>
      <c r="U16" s="217"/>
      <c r="V16" s="217"/>
      <c r="W16" s="217"/>
      <c r="X16" s="217"/>
      <c r="Y16" s="217"/>
      <c r="Z16" s="217"/>
      <c r="AA16" s="280" t="s">
        <v>3</v>
      </c>
      <c r="AB16" s="280">
        <v>2.5</v>
      </c>
      <c r="AC16" s="280" t="e">
        <f>G58+G59</f>
        <v>#VALUE!</v>
      </c>
    </row>
    <row r="17" spans="1:38" ht="17.100000000000001" customHeight="1">
      <c r="A17" s="203"/>
      <c r="B17" s="389" t="s">
        <v>173</v>
      </c>
      <c r="C17" s="390"/>
      <c r="D17" s="390"/>
      <c r="E17" s="289"/>
      <c r="F17" s="204"/>
      <c r="G17" s="204"/>
      <c r="H17" s="204"/>
      <c r="I17" s="204"/>
      <c r="J17" s="204"/>
      <c r="K17" s="204"/>
      <c r="L17" s="205"/>
      <c r="M17" s="205"/>
      <c r="N17" s="205"/>
      <c r="O17" s="205"/>
      <c r="AA17" s="280" t="s">
        <v>3</v>
      </c>
      <c r="AB17" s="280">
        <v>3.5</v>
      </c>
      <c r="AC17" s="280" t="e">
        <f>AC16</f>
        <v>#VALUE!</v>
      </c>
      <c r="AG17" s="290"/>
      <c r="AH17" s="290"/>
    </row>
    <row r="18" spans="1:38" s="221" customFormat="1" ht="17.100000000000001" customHeight="1">
      <c r="A18" s="220"/>
      <c r="B18" s="222"/>
      <c r="C18" s="222"/>
      <c r="D18" s="222"/>
      <c r="E18" s="287"/>
      <c r="F18" s="220"/>
      <c r="G18" s="220"/>
      <c r="H18" s="220"/>
      <c r="I18" s="220"/>
      <c r="J18" s="220"/>
      <c r="K18" s="220"/>
      <c r="L18" s="217"/>
      <c r="M18" s="217"/>
      <c r="N18" s="217"/>
      <c r="O18" s="217"/>
      <c r="P18" s="322"/>
      <c r="Q18" s="322"/>
      <c r="R18" s="322"/>
      <c r="S18" s="322"/>
      <c r="T18" s="322"/>
      <c r="U18" s="206"/>
      <c r="V18" s="206"/>
      <c r="W18" s="206"/>
      <c r="X18" s="206"/>
      <c r="Y18" s="206"/>
      <c r="Z18" s="206"/>
      <c r="AA18" s="280"/>
      <c r="AB18" s="280"/>
      <c r="AC18" s="280"/>
      <c r="AD18" s="280"/>
      <c r="AE18" s="280"/>
      <c r="AF18" s="280"/>
      <c r="AG18" s="280"/>
      <c r="AH18" s="280"/>
      <c r="AI18" s="286"/>
      <c r="AJ18" s="217"/>
      <c r="AK18" s="217"/>
      <c r="AL18" s="217"/>
    </row>
    <row r="19" spans="1:38" s="221" customFormat="1" ht="17.100000000000001" customHeight="1">
      <c r="A19" s="220"/>
      <c r="B19" s="291"/>
      <c r="C19" s="291"/>
      <c r="D19" s="291"/>
      <c r="E19" s="287"/>
      <c r="F19" s="220"/>
      <c r="G19" s="220"/>
      <c r="H19" s="220"/>
      <c r="I19" s="220"/>
      <c r="J19" s="220"/>
      <c r="K19" s="220"/>
      <c r="L19" s="217"/>
      <c r="M19" s="217"/>
      <c r="N19" s="217"/>
      <c r="O19" s="217"/>
      <c r="P19" s="322"/>
      <c r="Q19" s="322"/>
      <c r="R19" s="322"/>
      <c r="S19" s="322"/>
      <c r="T19" s="322"/>
      <c r="U19" s="206"/>
      <c r="V19" s="206"/>
      <c r="W19" s="206"/>
      <c r="X19" s="206"/>
      <c r="Y19" s="206"/>
      <c r="Z19" s="206"/>
      <c r="AA19" s="280"/>
      <c r="AB19" s="280"/>
      <c r="AC19" s="280"/>
      <c r="AD19" s="280"/>
      <c r="AE19" s="280"/>
      <c r="AF19" s="280"/>
      <c r="AG19" s="280"/>
      <c r="AH19" s="280"/>
      <c r="AI19" s="286"/>
      <c r="AJ19" s="217"/>
      <c r="AK19" s="217"/>
      <c r="AL19" s="217"/>
    </row>
    <row r="20" spans="1:38" ht="159.94999999999999" customHeight="1">
      <c r="B20" s="228"/>
      <c r="C20" s="226"/>
      <c r="D20" s="226"/>
      <c r="E20" s="289"/>
    </row>
    <row r="21" spans="1:38" ht="17.100000000000001" customHeight="1">
      <c r="B21" s="226"/>
      <c r="C21" s="226"/>
      <c r="D21" s="226"/>
      <c r="E21" s="289"/>
    </row>
    <row r="22" spans="1:38" ht="17.100000000000001" customHeight="1">
      <c r="B22" s="226"/>
      <c r="C22" s="226"/>
      <c r="D22" s="226"/>
      <c r="E22" s="289"/>
    </row>
    <row r="23" spans="1:38" ht="17.100000000000001" customHeight="1">
      <c r="B23" s="226"/>
      <c r="C23" s="226"/>
      <c r="D23" s="226"/>
      <c r="E23" s="289"/>
      <c r="AB23" s="325"/>
    </row>
    <row r="24" spans="1:38" ht="17.100000000000001" customHeight="1">
      <c r="B24" s="226"/>
      <c r="C24" s="226"/>
      <c r="D24" s="226"/>
      <c r="E24" s="289"/>
      <c r="AB24" s="325"/>
    </row>
    <row r="25" spans="1:38" ht="17.100000000000001" customHeight="1">
      <c r="C25" s="319"/>
      <c r="D25" s="319"/>
      <c r="AB25" s="325" t="s">
        <v>215</v>
      </c>
    </row>
    <row r="26" spans="1:38" ht="17.100000000000001" customHeight="1">
      <c r="B26" s="226"/>
      <c r="C26" s="226"/>
      <c r="D26" s="226"/>
      <c r="AB26" s="325" t="s">
        <v>216</v>
      </c>
    </row>
    <row r="27" spans="1:38" ht="17.100000000000001" customHeight="1">
      <c r="B27" s="226"/>
      <c r="C27" s="226"/>
      <c r="D27" s="226"/>
      <c r="AB27" s="325" t="s">
        <v>217</v>
      </c>
    </row>
    <row r="28" spans="1:38" ht="17.100000000000001" customHeight="1">
      <c r="B28" s="318" t="s">
        <v>207</v>
      </c>
      <c r="C28" s="226"/>
      <c r="D28" s="226"/>
      <c r="E28" s="325" t="e">
        <f>IF(AC3&gt;AC12,"",AB25)</f>
        <v>#VALUE!</v>
      </c>
      <c r="G28" s="325" t="e">
        <f>IF(AE3&gt;AC12,"",AB25)</f>
        <v>#VALUE!</v>
      </c>
    </row>
    <row r="29" spans="1:38" ht="17.100000000000001" customHeight="1">
      <c r="B29" s="226"/>
      <c r="C29" s="226"/>
      <c r="D29" s="226"/>
      <c r="E29" s="325" t="e">
        <f>IF(AC4&gt;AC14,"",AB26)</f>
        <v>#VALUE!</v>
      </c>
      <c r="G29" s="325" t="e">
        <f>IF(AE4&gt;AC14,"",AB26)</f>
        <v>#VALUE!</v>
      </c>
    </row>
    <row r="30" spans="1:38" ht="17.100000000000001" customHeight="1">
      <c r="E30" s="325" t="e">
        <f>IF(AC5&gt;AC16,"",AB27)</f>
        <v>#VALUE!</v>
      </c>
      <c r="G30" s="325" t="e">
        <f>IF(AE5&gt;AC16,"",AB27)</f>
        <v>#VALUE!</v>
      </c>
    </row>
    <row r="31" spans="1:38" ht="17.100000000000001" customHeight="1">
      <c r="B31" s="226"/>
      <c r="C31" s="226"/>
      <c r="D31" s="226"/>
      <c r="E31" s="289"/>
    </row>
    <row r="32" spans="1:38" ht="17.100000000000001" customHeight="1">
      <c r="B32" s="369" t="s">
        <v>170</v>
      </c>
      <c r="C32" s="370"/>
      <c r="D32" s="370"/>
      <c r="E32" s="264"/>
    </row>
    <row r="33" spans="2:11" ht="17.100000000000001" customHeight="1">
      <c r="C33" s="229"/>
      <c r="K33" s="328"/>
    </row>
    <row r="34" spans="2:11" ht="21.75" hidden="1" customHeight="1">
      <c r="B34" s="384"/>
      <c r="C34" s="385"/>
      <c r="D34" s="386"/>
      <c r="E34" s="384"/>
      <c r="F34" s="386"/>
      <c r="G34" s="371"/>
      <c r="H34" s="371"/>
      <c r="I34" s="292"/>
      <c r="J34" s="328"/>
      <c r="K34" s="328"/>
    </row>
    <row r="35" spans="2:11" ht="21.95" customHeight="1">
      <c r="B35" s="372" t="s">
        <v>175</v>
      </c>
      <c r="C35" s="373"/>
      <c r="D35" s="373"/>
      <c r="E35" s="364"/>
      <c r="F35" s="365"/>
      <c r="G35" s="374"/>
      <c r="H35" s="374"/>
      <c r="I35" s="259"/>
      <c r="J35" s="329"/>
      <c r="K35" s="328"/>
    </row>
    <row r="36" spans="2:11" ht="21.95" customHeight="1">
      <c r="B36" s="372" t="s">
        <v>156</v>
      </c>
      <c r="C36" s="373"/>
      <c r="D36" s="373"/>
      <c r="E36" s="364"/>
      <c r="F36" s="365"/>
      <c r="G36" s="374"/>
      <c r="H36" s="374"/>
      <c r="I36" s="259"/>
      <c r="J36" s="329"/>
      <c r="K36" s="328"/>
    </row>
    <row r="37" spans="2:11" ht="21.95" customHeight="1">
      <c r="B37" s="376" t="s">
        <v>184</v>
      </c>
      <c r="C37" s="362"/>
      <c r="D37" s="363"/>
      <c r="E37" s="377"/>
      <c r="F37" s="378"/>
      <c r="G37" s="375"/>
      <c r="H37" s="375"/>
      <c r="I37" s="260"/>
      <c r="J37" s="330"/>
      <c r="K37" s="328"/>
    </row>
    <row r="38" spans="2:11" ht="21.75" customHeight="1">
      <c r="B38" s="361" t="s">
        <v>157</v>
      </c>
      <c r="C38" s="362"/>
      <c r="D38" s="363"/>
      <c r="E38" s="364"/>
      <c r="F38" s="365"/>
      <c r="G38" s="374"/>
      <c r="H38" s="374"/>
      <c r="I38" s="259"/>
      <c r="J38" s="329"/>
      <c r="K38" s="328"/>
    </row>
    <row r="39" spans="2:11" ht="21.75" customHeight="1">
      <c r="B39" s="361" t="s">
        <v>176</v>
      </c>
      <c r="C39" s="362"/>
      <c r="D39" s="363"/>
      <c r="E39" s="364"/>
      <c r="F39" s="365"/>
      <c r="G39" s="374"/>
      <c r="H39" s="374"/>
    </row>
    <row r="40" spans="2:11" ht="21.75" customHeight="1">
      <c r="B40" s="361" t="s">
        <v>181</v>
      </c>
      <c r="C40" s="362"/>
      <c r="D40" s="363"/>
      <c r="E40" s="377"/>
      <c r="F40" s="378"/>
      <c r="G40" s="377"/>
      <c r="H40" s="378"/>
    </row>
    <row r="41" spans="2:11">
      <c r="B41" s="361" t="s">
        <v>177</v>
      </c>
      <c r="C41" s="362"/>
      <c r="D41" s="363"/>
      <c r="E41" s="364"/>
      <c r="F41" s="365"/>
      <c r="G41" s="364"/>
      <c r="H41" s="365"/>
    </row>
    <row r="42" spans="2:11">
      <c r="B42" s="361" t="s">
        <v>227</v>
      </c>
      <c r="C42" s="362"/>
      <c r="D42" s="363"/>
      <c r="E42" s="364"/>
      <c r="F42" s="365"/>
      <c r="G42" s="364"/>
      <c r="H42" s="365"/>
    </row>
    <row r="43" spans="2:11">
      <c r="B43" s="361" t="s">
        <v>228</v>
      </c>
      <c r="C43" s="362"/>
      <c r="D43" s="363"/>
      <c r="E43" s="364"/>
      <c r="F43" s="365"/>
      <c r="G43" s="364"/>
      <c r="H43" s="365"/>
    </row>
    <row r="44" spans="2:11">
      <c r="B44" s="361" t="s">
        <v>229</v>
      </c>
      <c r="C44" s="362"/>
      <c r="D44" s="363"/>
      <c r="E44" s="364"/>
      <c r="F44" s="365"/>
      <c r="G44" s="364"/>
      <c r="H44" s="365"/>
    </row>
    <row r="45" spans="2:11">
      <c r="C45" s="242"/>
    </row>
    <row r="46" spans="2:11">
      <c r="B46" s="326" t="s">
        <v>169</v>
      </c>
      <c r="C46" s="327"/>
      <c r="D46" s="327"/>
      <c r="E46" s="333"/>
      <c r="F46" s="333"/>
      <c r="G46" s="333"/>
      <c r="H46" s="333"/>
    </row>
    <row r="47" spans="2:11">
      <c r="B47" s="373"/>
      <c r="C47" s="373"/>
      <c r="D47" s="373"/>
      <c r="E47" s="279" t="s">
        <v>132</v>
      </c>
      <c r="F47" s="279" t="s">
        <v>133</v>
      </c>
      <c r="G47" s="279" t="s">
        <v>134</v>
      </c>
      <c r="H47" s="279" t="s">
        <v>135</v>
      </c>
    </row>
    <row r="48" spans="2:11">
      <c r="B48" s="361" t="s">
        <v>174</v>
      </c>
      <c r="C48" s="362"/>
      <c r="D48" s="363"/>
      <c r="E48" s="366" t="s">
        <v>223</v>
      </c>
      <c r="F48" s="367"/>
      <c r="G48" s="367"/>
      <c r="H48" s="368"/>
    </row>
    <row r="49" spans="2:8">
      <c r="B49" s="373" t="s">
        <v>185</v>
      </c>
      <c r="C49" s="373"/>
      <c r="D49" s="373"/>
      <c r="E49" s="279" t="s">
        <v>223</v>
      </c>
      <c r="F49" s="279" t="s">
        <v>223</v>
      </c>
      <c r="G49" s="279" t="s">
        <v>223</v>
      </c>
      <c r="H49" s="279" t="s">
        <v>223</v>
      </c>
    </row>
    <row r="50" spans="2:8">
      <c r="B50" s="373" t="s">
        <v>186</v>
      </c>
      <c r="C50" s="373"/>
      <c r="D50" s="373"/>
      <c r="E50" s="279" t="s">
        <v>223</v>
      </c>
      <c r="F50" s="279" t="s">
        <v>223</v>
      </c>
      <c r="G50" s="279" t="s">
        <v>223</v>
      </c>
      <c r="H50" s="279" t="s">
        <v>223</v>
      </c>
    </row>
    <row r="51" spans="2:8">
      <c r="B51" s="373" t="s">
        <v>187</v>
      </c>
      <c r="C51" s="373"/>
      <c r="D51" s="373"/>
      <c r="E51" s="279" t="s">
        <v>223</v>
      </c>
      <c r="F51" s="279" t="s">
        <v>223</v>
      </c>
      <c r="G51" s="279" t="s">
        <v>223</v>
      </c>
      <c r="H51" s="279" t="s">
        <v>223</v>
      </c>
    </row>
    <row r="52" spans="2:8">
      <c r="B52" s="373" t="s">
        <v>188</v>
      </c>
      <c r="C52" s="373"/>
      <c r="D52" s="373"/>
      <c r="E52" s="279" t="s">
        <v>223</v>
      </c>
      <c r="F52" s="279" t="s">
        <v>223</v>
      </c>
      <c r="G52" s="279" t="s">
        <v>223</v>
      </c>
      <c r="H52" s="279" t="s">
        <v>223</v>
      </c>
    </row>
    <row r="53" spans="2:8">
      <c r="B53" s="373" t="s">
        <v>189</v>
      </c>
      <c r="C53" s="373"/>
      <c r="D53" s="373"/>
      <c r="E53" s="279" t="s">
        <v>223</v>
      </c>
      <c r="F53" s="279" t="s">
        <v>223</v>
      </c>
      <c r="G53" s="279" t="s">
        <v>223</v>
      </c>
      <c r="H53" s="279" t="s">
        <v>223</v>
      </c>
    </row>
    <row r="54" spans="2:8">
      <c r="B54" s="373" t="s">
        <v>190</v>
      </c>
      <c r="C54" s="373"/>
      <c r="D54" s="373"/>
      <c r="E54" s="279" t="s">
        <v>223</v>
      </c>
      <c r="F54" s="279" t="s">
        <v>223</v>
      </c>
      <c r="G54" s="279" t="s">
        <v>223</v>
      </c>
      <c r="H54" s="279" t="s">
        <v>223</v>
      </c>
    </row>
    <row r="55" spans="2:8">
      <c r="B55" s="379"/>
      <c r="C55" s="379"/>
      <c r="D55" s="379"/>
    </row>
    <row r="56" spans="2:8">
      <c r="B56" s="366"/>
      <c r="C56" s="367"/>
      <c r="D56" s="368"/>
      <c r="E56" s="279" t="s">
        <v>158</v>
      </c>
      <c r="F56" s="279" t="s">
        <v>159</v>
      </c>
      <c r="G56" s="279" t="s">
        <v>160</v>
      </c>
      <c r="H56" s="279"/>
    </row>
    <row r="57" spans="2:8">
      <c r="B57" s="373" t="s">
        <v>188</v>
      </c>
      <c r="C57" s="373"/>
      <c r="D57" s="373"/>
      <c r="E57" s="279" t="s">
        <v>223</v>
      </c>
      <c r="F57" s="279" t="s">
        <v>223</v>
      </c>
      <c r="G57" s="279" t="s">
        <v>223</v>
      </c>
      <c r="H57" s="279"/>
    </row>
    <row r="58" spans="2:8">
      <c r="B58" s="373" t="s">
        <v>189</v>
      </c>
      <c r="C58" s="373"/>
      <c r="D58" s="373"/>
      <c r="E58" s="279" t="s">
        <v>223</v>
      </c>
      <c r="F58" s="279" t="s">
        <v>223</v>
      </c>
      <c r="G58" s="279" t="s">
        <v>223</v>
      </c>
      <c r="H58" s="279"/>
    </row>
    <row r="59" spans="2:8">
      <c r="B59" s="373" t="s">
        <v>190</v>
      </c>
      <c r="C59" s="373"/>
      <c r="D59" s="373"/>
      <c r="E59" s="279" t="s">
        <v>223</v>
      </c>
      <c r="F59" s="279" t="s">
        <v>223</v>
      </c>
      <c r="G59" s="279" t="s">
        <v>223</v>
      </c>
      <c r="H59" s="279"/>
    </row>
    <row r="61" spans="2:8">
      <c r="B61" s="371"/>
      <c r="C61" s="371"/>
      <c r="D61" s="371"/>
      <c r="E61" s="279" t="s">
        <v>161</v>
      </c>
      <c r="F61" s="279" t="s">
        <v>162</v>
      </c>
      <c r="G61" s="279"/>
      <c r="H61" s="279"/>
    </row>
    <row r="62" spans="2:8">
      <c r="B62" s="372" t="s">
        <v>178</v>
      </c>
      <c r="C62" s="373"/>
      <c r="D62" s="373"/>
      <c r="E62" s="279" t="s">
        <v>223</v>
      </c>
      <c r="F62" s="279" t="s">
        <v>223</v>
      </c>
      <c r="G62" s="279"/>
      <c r="H62" s="279"/>
    </row>
    <row r="63" spans="2:8">
      <c r="B63" s="372" t="s">
        <v>179</v>
      </c>
      <c r="C63" s="373"/>
      <c r="D63" s="373"/>
      <c r="E63" s="279" t="s">
        <v>223</v>
      </c>
      <c r="F63" s="279" t="s">
        <v>223</v>
      </c>
      <c r="G63" s="279"/>
      <c r="H63" s="279"/>
    </row>
    <row r="64" spans="2:8">
      <c r="B64" s="372" t="s">
        <v>180</v>
      </c>
      <c r="C64" s="373"/>
      <c r="D64" s="373"/>
      <c r="E64" s="279" t="s">
        <v>223</v>
      </c>
      <c r="F64" s="279" t="s">
        <v>223</v>
      </c>
      <c r="G64" s="279"/>
      <c r="H64" s="279"/>
    </row>
  </sheetData>
  <dataConsolidate function="max"/>
  <mergeCells count="65">
    <mergeCell ref="B40:D40"/>
    <mergeCell ref="E40:F40"/>
    <mergeCell ref="G40:H40"/>
    <mergeCell ref="B41:D41"/>
    <mergeCell ref="E41:F41"/>
    <mergeCell ref="G41:H41"/>
    <mergeCell ref="F6:I6"/>
    <mergeCell ref="F7:I7"/>
    <mergeCell ref="F8:I8"/>
    <mergeCell ref="F10:I10"/>
    <mergeCell ref="B38:D38"/>
    <mergeCell ref="E38:F38"/>
    <mergeCell ref="G38:H38"/>
    <mergeCell ref="B34:D34"/>
    <mergeCell ref="G39:H39"/>
    <mergeCell ref="B37:D37"/>
    <mergeCell ref="E37:F37"/>
    <mergeCell ref="G37:H37"/>
    <mergeCell ref="B17:D17"/>
    <mergeCell ref="E35:F35"/>
    <mergeCell ref="G35:H35"/>
    <mergeCell ref="B36:D36"/>
    <mergeCell ref="E36:F36"/>
    <mergeCell ref="G36:H36"/>
    <mergeCell ref="E48:H48"/>
    <mergeCell ref="B49:D49"/>
    <mergeCell ref="B50:D50"/>
    <mergeCell ref="E2:F2"/>
    <mergeCell ref="G2:H2"/>
    <mergeCell ref="F5:I5"/>
    <mergeCell ref="B3:D3"/>
    <mergeCell ref="F12:I12"/>
    <mergeCell ref="F13:I13"/>
    <mergeCell ref="F11:I11"/>
    <mergeCell ref="E34:F34"/>
    <mergeCell ref="G34:H34"/>
    <mergeCell ref="B39:D39"/>
    <mergeCell ref="E39:F39"/>
    <mergeCell ref="B32:D32"/>
    <mergeCell ref="B35:D35"/>
    <mergeCell ref="B1:I1"/>
    <mergeCell ref="B62:D62"/>
    <mergeCell ref="B63:D63"/>
    <mergeCell ref="B64:D64"/>
    <mergeCell ref="B56:D56"/>
    <mergeCell ref="B57:D57"/>
    <mergeCell ref="B58:D58"/>
    <mergeCell ref="B59:D59"/>
    <mergeCell ref="B61:D61"/>
    <mergeCell ref="B51:D51"/>
    <mergeCell ref="B52:D52"/>
    <mergeCell ref="B53:D53"/>
    <mergeCell ref="B54:D54"/>
    <mergeCell ref="B55:D55"/>
    <mergeCell ref="B47:D47"/>
    <mergeCell ref="B48:D48"/>
    <mergeCell ref="B44:D44"/>
    <mergeCell ref="E44:F44"/>
    <mergeCell ref="G44:H44"/>
    <mergeCell ref="B42:D42"/>
    <mergeCell ref="E42:F42"/>
    <mergeCell ref="G42:H42"/>
    <mergeCell ref="B43:D43"/>
    <mergeCell ref="E43:F43"/>
    <mergeCell ref="G43:H43"/>
  </mergeCells>
  <phoneticPr fontId="55" type="noConversion"/>
  <conditionalFormatting sqref="E46 G46">
    <cfRule type="cellIs" dxfId="51" priority="29" operator="equal">
      <formula>"0 %"</formula>
    </cfRule>
    <cfRule type="cellIs" dxfId="50" priority="30" operator="equal">
      <formula>"0 MW"</formula>
    </cfRule>
    <cfRule type="cellIs" dxfId="49" priority="31" operator="equal">
      <formula>"0 %"</formula>
    </cfRule>
    <cfRule type="cellIs" dxfId="48" priority="32" operator="equal">
      <formula>"0 MW"</formula>
    </cfRule>
  </conditionalFormatting>
  <conditionalFormatting sqref="E47:E48">
    <cfRule type="cellIs" dxfId="47" priority="13" operator="equal">
      <formula>"0 %"</formula>
    </cfRule>
    <cfRule type="cellIs" dxfId="46" priority="14" operator="equal">
      <formula>"0 MW"</formula>
    </cfRule>
    <cfRule type="cellIs" dxfId="45" priority="15" operator="equal">
      <formula>"0 %"</formula>
    </cfRule>
    <cfRule type="cellIs" dxfId="44" priority="16" operator="equal">
      <formula>"0 MW"</formula>
    </cfRule>
  </conditionalFormatting>
  <conditionalFormatting sqref="B56 E56:H56">
    <cfRule type="cellIs" dxfId="43" priority="9" operator="equal">
      <formula>"0 %"</formula>
    </cfRule>
    <cfRule type="cellIs" dxfId="42" priority="10" operator="equal">
      <formula>"0 MW"</formula>
    </cfRule>
    <cfRule type="cellIs" dxfId="41" priority="11" operator="equal">
      <formula>"0 %"</formula>
    </cfRule>
    <cfRule type="cellIs" dxfId="40" priority="12" operator="equal">
      <formula>"0 MW"</formula>
    </cfRule>
  </conditionalFormatting>
  <conditionalFormatting sqref="G61:H64">
    <cfRule type="cellIs" dxfId="39" priority="5" operator="equal">
      <formula>"0 %"</formula>
    </cfRule>
    <cfRule type="cellIs" dxfId="38" priority="6" operator="equal">
      <formula>"0 MW"</formula>
    </cfRule>
    <cfRule type="cellIs" dxfId="37" priority="7" operator="equal">
      <formula>"0 %"</formula>
    </cfRule>
    <cfRule type="cellIs" dxfId="36" priority="8" operator="equal">
      <formula>"0 MW"</formula>
    </cfRule>
  </conditionalFormatting>
  <conditionalFormatting sqref="E61:F61">
    <cfRule type="cellIs" dxfId="35" priority="1" operator="equal">
      <formula>"0 %"</formula>
    </cfRule>
    <cfRule type="cellIs" dxfId="34" priority="2" operator="equal">
      <formula>"0 MW"</formula>
    </cfRule>
    <cfRule type="cellIs" dxfId="33" priority="3" operator="equal">
      <formula>"0 %"</formula>
    </cfRule>
    <cfRule type="cellIs" dxfId="32" priority="4" operator="equal">
      <formula>"0 MW"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9</xdr:col>
                <xdr:colOff>104775</xdr:colOff>
                <xdr:row>0</xdr:row>
                <xdr:rowOff>95250</xdr:rowOff>
              </from>
              <to>
                <xdr:col>9</xdr:col>
                <xdr:colOff>1371600</xdr:colOff>
                <xdr:row>0</xdr:row>
                <xdr:rowOff>523875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K64"/>
  <sheetViews>
    <sheetView zoomScale="70" zoomScaleNormal="70" workbookViewId="0">
      <selection activeCell="B35" sqref="B35:H44"/>
    </sheetView>
  </sheetViews>
  <sheetFormatPr defaultColWidth="5.28515625" defaultRowHeight="15.75"/>
  <cols>
    <col min="1" max="4" width="9.7109375" style="234" customWidth="1"/>
    <col min="5" max="8" width="34.28515625" style="234" customWidth="1"/>
    <col min="9" max="9" width="7.5703125" style="234" customWidth="1"/>
    <col min="10" max="10" width="14.28515625" style="234" customWidth="1"/>
    <col min="11" max="11" width="1.42578125" style="234" customWidth="1"/>
    <col min="12" max="12" width="2.28515625" style="234" customWidth="1"/>
    <col min="13" max="13" width="3.140625" style="234" customWidth="1"/>
    <col min="14" max="14" width="1.42578125" style="234" customWidth="1"/>
    <col min="15" max="15" width="1.85546875" style="234" customWidth="1"/>
    <col min="16" max="16" width="7.28515625" style="255" bestFit="1" customWidth="1"/>
    <col min="17" max="17" width="6.85546875" style="255" customWidth="1"/>
    <col min="18" max="18" width="7.28515625" style="255" bestFit="1" customWidth="1"/>
    <col min="19" max="19" width="7" style="255" bestFit="1" customWidth="1"/>
    <col min="20" max="20" width="7.28515625" style="255" bestFit="1" customWidth="1"/>
    <col min="21" max="21" width="7.85546875" style="258" customWidth="1"/>
    <col min="22" max="22" width="8.5703125" style="258" customWidth="1"/>
    <col min="23" max="24" width="8.5703125" style="162" customWidth="1"/>
    <col min="25" max="26" width="6" style="248" customWidth="1"/>
    <col min="27" max="27" width="10.28515625" style="262" hidden="1" customWidth="1"/>
    <col min="28" max="28" width="6.140625" style="262" hidden="1" customWidth="1"/>
    <col min="29" max="29" width="12.42578125" style="262" hidden="1" customWidth="1"/>
    <col min="30" max="30" width="7" style="262" hidden="1" customWidth="1"/>
    <col min="31" max="31" width="6.7109375" style="262" hidden="1" customWidth="1"/>
    <col min="32" max="32" width="9.5703125" style="262" hidden="1" customWidth="1"/>
    <col min="33" max="33" width="12.42578125" style="262" hidden="1" customWidth="1"/>
    <col min="34" max="34" width="6.42578125" style="262" hidden="1" customWidth="1"/>
    <col min="35" max="36" width="5.28515625" style="248"/>
    <col min="37" max="37" width="5.28515625" style="162"/>
    <col min="38" max="16384" width="5.28515625" style="163"/>
  </cols>
  <sheetData>
    <row r="1" spans="1:37" ht="50.1" customHeight="1">
      <c r="B1" s="387" t="s">
        <v>219</v>
      </c>
      <c r="C1" s="388"/>
      <c r="D1" s="388"/>
      <c r="E1" s="388"/>
      <c r="F1" s="388"/>
      <c r="G1" s="388"/>
      <c r="H1" s="388"/>
      <c r="I1" s="388"/>
      <c r="J1" s="243"/>
      <c r="K1" s="243"/>
      <c r="L1" s="243"/>
      <c r="M1" s="243"/>
      <c r="N1" s="232"/>
      <c r="O1" s="232"/>
      <c r="P1" s="245"/>
      <c r="Q1" s="245"/>
      <c r="R1" s="245"/>
      <c r="S1" s="245"/>
      <c r="T1" s="245"/>
      <c r="U1" s="245"/>
      <c r="V1" s="245"/>
      <c r="W1" s="233"/>
      <c r="X1" s="233"/>
      <c r="Y1" s="261"/>
      <c r="Z1" s="261"/>
      <c r="AH1" s="263"/>
      <c r="AI1" s="247"/>
    </row>
    <row r="2" spans="1:37" ht="50.1" customHeight="1">
      <c r="A2" s="231"/>
      <c r="B2" s="331"/>
      <c r="C2" s="332"/>
      <c r="D2" s="332"/>
      <c r="E2" s="382" t="s">
        <v>224</v>
      </c>
      <c r="F2" s="382"/>
      <c r="G2" s="382" t="s">
        <v>225</v>
      </c>
      <c r="H2" s="382"/>
      <c r="J2" s="264"/>
      <c r="K2" s="264"/>
      <c r="L2" s="264"/>
      <c r="M2" s="232"/>
      <c r="N2" s="232"/>
      <c r="O2" s="232"/>
      <c r="U2" s="245"/>
      <c r="V2" s="245"/>
      <c r="W2" s="233"/>
      <c r="X2" s="233"/>
      <c r="Y2" s="261"/>
      <c r="Z2" s="261"/>
      <c r="AA2" s="246"/>
      <c r="AB2" s="250" t="s">
        <v>123</v>
      </c>
      <c r="AC2" s="250" t="s">
        <v>121</v>
      </c>
      <c r="AD2" s="250" t="s">
        <v>124</v>
      </c>
      <c r="AE2" s="250" t="s">
        <v>122</v>
      </c>
      <c r="AF2" s="251" t="s">
        <v>119</v>
      </c>
      <c r="AG2" s="250" t="s">
        <v>120</v>
      </c>
      <c r="AH2" s="265"/>
    </row>
    <row r="3" spans="1:37" ht="17.100000000000001" customHeight="1">
      <c r="A3" s="231"/>
      <c r="B3" s="400" t="s">
        <v>155</v>
      </c>
      <c r="C3" s="401"/>
      <c r="D3" s="401"/>
      <c r="E3" s="332"/>
      <c r="F3" s="332"/>
      <c r="G3" s="332"/>
      <c r="H3" s="332"/>
      <c r="I3" s="232"/>
      <c r="J3" s="232"/>
      <c r="K3" s="232"/>
      <c r="L3" s="232"/>
      <c r="M3" s="232"/>
      <c r="N3" s="232"/>
      <c r="O3" s="232"/>
      <c r="P3" s="266"/>
      <c r="Q3" s="267"/>
      <c r="R3" s="267"/>
      <c r="S3" s="267"/>
      <c r="T3" s="267"/>
      <c r="U3" s="245"/>
      <c r="V3" s="245"/>
      <c r="W3" s="233"/>
      <c r="X3" s="233"/>
      <c r="Y3" s="261"/>
      <c r="Z3" s="261"/>
      <c r="AA3" s="246" t="s">
        <v>0</v>
      </c>
      <c r="AB3" s="251">
        <f>AC3-AF3</f>
        <v>103.38992184124098</v>
      </c>
      <c r="AC3" s="251">
        <v>197.76998762204255</v>
      </c>
      <c r="AD3" s="251">
        <f>AE3-AG3</f>
        <v>94.344637880221825</v>
      </c>
      <c r="AE3" s="251">
        <v>216.75242633845579</v>
      </c>
      <c r="AF3" s="251">
        <v>94.380065780801573</v>
      </c>
      <c r="AG3" s="251">
        <v>122.40778845823397</v>
      </c>
      <c r="AH3" s="265"/>
    </row>
    <row r="4" spans="1:37" s="237" customFormat="1" ht="17.100000000000001" customHeight="1">
      <c r="A4" s="231"/>
      <c r="B4" s="402"/>
      <c r="C4" s="402"/>
      <c r="D4" s="402"/>
      <c r="E4" s="239"/>
      <c r="F4" s="235"/>
      <c r="G4" s="235"/>
      <c r="H4" s="235"/>
      <c r="I4" s="235"/>
      <c r="J4" s="239"/>
      <c r="K4" s="231"/>
      <c r="L4" s="231"/>
      <c r="M4" s="231"/>
      <c r="N4" s="231"/>
      <c r="O4" s="236"/>
      <c r="P4" s="266"/>
      <c r="Q4" s="267"/>
      <c r="R4" s="267"/>
      <c r="S4" s="267"/>
      <c r="T4" s="267"/>
      <c r="U4" s="268"/>
      <c r="V4" s="268"/>
      <c r="Y4" s="254"/>
      <c r="Z4" s="254"/>
      <c r="AA4" s="246" t="s">
        <v>1</v>
      </c>
      <c r="AB4" s="251">
        <f t="shared" ref="AB4:AB6" si="0">AC4-AF4</f>
        <v>89.126077300301333</v>
      </c>
      <c r="AC4" s="246">
        <v>183.10897163613106</v>
      </c>
      <c r="AD4" s="251">
        <f t="shared" ref="AD4:AD6" si="1">AE4-AG4</f>
        <v>85.804826864790215</v>
      </c>
      <c r="AE4" s="246">
        <v>207.42267067392618</v>
      </c>
      <c r="AF4" s="246">
        <v>93.982894335829727</v>
      </c>
      <c r="AG4" s="246">
        <v>121.61784380913596</v>
      </c>
      <c r="AH4" s="269"/>
      <c r="AI4" s="253"/>
      <c r="AJ4" s="253"/>
      <c r="AK4" s="252"/>
    </row>
    <row r="5" spans="1:37" s="240" customFormat="1" ht="17.100000000000001" customHeight="1">
      <c r="A5" s="239"/>
      <c r="B5" s="402"/>
      <c r="C5" s="402"/>
      <c r="D5" s="402"/>
      <c r="E5" s="239"/>
      <c r="F5" s="399"/>
      <c r="G5" s="399"/>
      <c r="H5" s="399"/>
      <c r="I5" s="399"/>
      <c r="J5" s="239"/>
      <c r="K5" s="239"/>
      <c r="L5" s="239"/>
      <c r="M5" s="239"/>
      <c r="N5" s="239"/>
      <c r="O5" s="236"/>
      <c r="P5" s="255"/>
      <c r="Q5" s="255"/>
      <c r="R5" s="255"/>
      <c r="S5" s="255"/>
      <c r="T5" s="255"/>
      <c r="U5" s="238"/>
      <c r="V5" s="238"/>
      <c r="W5" s="238"/>
      <c r="X5" s="238"/>
      <c r="Y5" s="254"/>
      <c r="Z5" s="254"/>
      <c r="AA5" s="246" t="s">
        <v>7</v>
      </c>
      <c r="AB5" s="251">
        <f t="shared" si="0"/>
        <v>101.69344166048445</v>
      </c>
      <c r="AC5" s="246">
        <v>196.19529876410226</v>
      </c>
      <c r="AD5" s="251">
        <f t="shared" si="1"/>
        <v>94.687297053558069</v>
      </c>
      <c r="AE5" s="246">
        <v>217.19812177037002</v>
      </c>
      <c r="AF5" s="246">
        <v>94.501857103617809</v>
      </c>
      <c r="AG5" s="246">
        <v>122.51082471681195</v>
      </c>
      <c r="AH5" s="265"/>
      <c r="AI5" s="254"/>
      <c r="AJ5" s="254"/>
      <c r="AK5" s="238"/>
    </row>
    <row r="6" spans="1:37" s="240" customFormat="1" ht="17.100000000000001" customHeight="1">
      <c r="A6" s="239"/>
      <c r="B6" s="402"/>
      <c r="C6" s="402"/>
      <c r="D6" s="402"/>
      <c r="E6" s="239"/>
      <c r="F6" s="399"/>
      <c r="G6" s="399"/>
      <c r="H6" s="399"/>
      <c r="I6" s="399"/>
      <c r="J6" s="239"/>
      <c r="K6" s="239"/>
      <c r="L6" s="239"/>
      <c r="M6" s="239"/>
      <c r="N6" s="239"/>
      <c r="O6" s="236"/>
      <c r="P6" s="255"/>
      <c r="Q6" s="255"/>
      <c r="R6" s="255"/>
      <c r="S6" s="255"/>
      <c r="T6" s="255"/>
      <c r="U6" s="238"/>
      <c r="V6" s="238"/>
      <c r="W6" s="238"/>
      <c r="X6" s="238"/>
      <c r="Y6" s="254"/>
      <c r="Z6" s="254"/>
      <c r="AA6" s="246" t="s">
        <v>2</v>
      </c>
      <c r="AB6" s="251">
        <f t="shared" si="0"/>
        <v>97.974822658526762</v>
      </c>
      <c r="AC6" s="246">
        <v>192.96043886449417</v>
      </c>
      <c r="AD6" s="251">
        <f t="shared" si="1"/>
        <v>90.470273922717908</v>
      </c>
      <c r="AE6" s="246">
        <v>213.79680235327237</v>
      </c>
      <c r="AF6" s="246">
        <v>94.985616205967403</v>
      </c>
      <c r="AG6" s="246">
        <v>123.32652843055446</v>
      </c>
      <c r="AH6" s="265"/>
      <c r="AI6" s="254"/>
      <c r="AJ6" s="254"/>
      <c r="AK6" s="238"/>
    </row>
    <row r="7" spans="1:37" s="240" customFormat="1" ht="17.100000000000001" customHeight="1">
      <c r="A7" s="239"/>
      <c r="B7" s="270"/>
      <c r="C7" s="256"/>
      <c r="D7" s="270"/>
      <c r="E7" s="239"/>
      <c r="F7" s="399"/>
      <c r="G7" s="399"/>
      <c r="H7" s="399"/>
      <c r="I7" s="399"/>
      <c r="J7" s="239"/>
      <c r="K7" s="239"/>
      <c r="L7" s="239"/>
      <c r="M7" s="239"/>
      <c r="N7" s="239"/>
      <c r="O7" s="236"/>
      <c r="P7" s="255"/>
      <c r="Q7" s="255"/>
      <c r="R7" s="255"/>
      <c r="S7" s="255"/>
      <c r="T7" s="255"/>
      <c r="U7" s="238"/>
      <c r="V7" s="238"/>
      <c r="W7" s="238"/>
      <c r="X7" s="238"/>
      <c r="Y7" s="254"/>
      <c r="Z7" s="254"/>
      <c r="AA7" s="262"/>
      <c r="AB7" s="262"/>
      <c r="AC7" s="262"/>
      <c r="AD7" s="262"/>
      <c r="AE7" s="262"/>
      <c r="AF7" s="262"/>
      <c r="AG7" s="262"/>
      <c r="AH7" s="265"/>
      <c r="AI7" s="254"/>
      <c r="AJ7" s="254"/>
      <c r="AK7" s="238"/>
    </row>
    <row r="8" spans="1:37" s="240" customFormat="1" ht="17.100000000000001" customHeight="1">
      <c r="A8" s="239"/>
      <c r="B8" s="270"/>
      <c r="C8" s="256"/>
      <c r="D8" s="270"/>
      <c r="E8" s="239"/>
      <c r="F8" s="399"/>
      <c r="G8" s="399"/>
      <c r="H8" s="399"/>
      <c r="I8" s="399"/>
      <c r="J8" s="239"/>
      <c r="K8" s="239"/>
      <c r="L8" s="239"/>
      <c r="M8" s="239"/>
      <c r="N8" s="239"/>
      <c r="O8" s="236"/>
      <c r="P8" s="255"/>
      <c r="Q8" s="255"/>
      <c r="R8" s="255"/>
      <c r="S8" s="255"/>
      <c r="T8" s="255"/>
      <c r="U8" s="238"/>
      <c r="V8" s="238"/>
      <c r="W8" s="238"/>
      <c r="X8" s="238"/>
      <c r="Y8" s="254"/>
      <c r="Z8" s="254"/>
      <c r="AA8" s="262"/>
      <c r="AB8" s="262"/>
      <c r="AC8" s="262"/>
      <c r="AD8" s="262"/>
      <c r="AE8" s="262"/>
      <c r="AF8" s="262"/>
      <c r="AG8" s="262"/>
      <c r="AH8" s="265"/>
      <c r="AI8" s="254"/>
      <c r="AJ8" s="254"/>
      <c r="AK8" s="238"/>
    </row>
    <row r="9" spans="1:37" s="240" customFormat="1" ht="17.100000000000001" customHeight="1">
      <c r="A9" s="239"/>
      <c r="B9" s="270"/>
      <c r="C9" s="256"/>
      <c r="D9" s="270"/>
      <c r="E9" s="239"/>
      <c r="F9" s="350"/>
      <c r="G9" s="350"/>
      <c r="H9" s="350"/>
      <c r="I9" s="350"/>
      <c r="J9" s="239"/>
      <c r="K9" s="239"/>
      <c r="L9" s="239"/>
      <c r="M9" s="239"/>
      <c r="N9" s="239"/>
      <c r="O9" s="236"/>
      <c r="P9" s="255"/>
      <c r="Q9" s="255"/>
      <c r="R9" s="255"/>
      <c r="S9" s="255"/>
      <c r="T9" s="255"/>
      <c r="U9" s="238"/>
      <c r="V9" s="238"/>
      <c r="W9" s="238"/>
      <c r="X9" s="238"/>
      <c r="Y9" s="254"/>
      <c r="Z9" s="254"/>
      <c r="AA9" s="262"/>
      <c r="AB9" s="262"/>
      <c r="AC9" s="262"/>
      <c r="AD9" s="262"/>
      <c r="AE9" s="262"/>
      <c r="AF9" s="262"/>
      <c r="AG9" s="262"/>
      <c r="AH9" s="262"/>
      <c r="AI9" s="254"/>
      <c r="AJ9" s="254"/>
      <c r="AK9" s="238"/>
    </row>
    <row r="10" spans="1:37" s="240" customFormat="1" ht="17.100000000000001" customHeight="1">
      <c r="A10" s="239"/>
      <c r="B10" s="270"/>
      <c r="C10" s="256"/>
      <c r="D10" s="270"/>
      <c r="E10" s="239"/>
      <c r="F10" s="399"/>
      <c r="G10" s="399"/>
      <c r="H10" s="399"/>
      <c r="I10" s="399"/>
      <c r="J10" s="239"/>
      <c r="K10" s="239"/>
      <c r="L10" s="239"/>
      <c r="M10" s="239"/>
      <c r="N10" s="239"/>
      <c r="O10" s="236"/>
      <c r="P10" s="255"/>
      <c r="Q10" s="255"/>
      <c r="R10" s="255"/>
      <c r="S10" s="255"/>
      <c r="T10" s="255"/>
      <c r="U10" s="238"/>
      <c r="V10" s="238"/>
      <c r="W10" s="238"/>
      <c r="X10" s="238"/>
      <c r="Y10" s="254"/>
      <c r="Z10" s="254"/>
      <c r="AA10" s="262"/>
      <c r="AB10" s="262"/>
      <c r="AC10" s="262"/>
      <c r="AD10" s="262"/>
      <c r="AE10" s="262"/>
      <c r="AF10" s="262"/>
      <c r="AG10" s="262"/>
      <c r="AH10" s="262"/>
      <c r="AI10" s="254"/>
      <c r="AJ10" s="254"/>
      <c r="AK10" s="238"/>
    </row>
    <row r="11" spans="1:37" s="240" customFormat="1" ht="17.100000000000001" customHeight="1">
      <c r="A11" s="239"/>
      <c r="B11" s="270"/>
      <c r="C11" s="256"/>
      <c r="D11" s="270"/>
      <c r="E11" s="239"/>
      <c r="F11" s="399"/>
      <c r="G11" s="399"/>
      <c r="H11" s="399"/>
      <c r="I11" s="399"/>
      <c r="J11" s="239"/>
      <c r="K11" s="239"/>
      <c r="L11" s="239"/>
      <c r="M11" s="239"/>
      <c r="N11" s="239"/>
      <c r="O11" s="236"/>
      <c r="P11" s="255"/>
      <c r="Q11" s="255"/>
      <c r="R11" s="255"/>
      <c r="S11" s="255"/>
      <c r="T11" s="255"/>
      <c r="U11" s="238"/>
      <c r="V11" s="238"/>
      <c r="W11" s="238"/>
      <c r="X11" s="238"/>
      <c r="Y11" s="254"/>
      <c r="Z11" s="254"/>
      <c r="AA11" s="262"/>
      <c r="AB11" s="262"/>
      <c r="AC11" s="262" t="s">
        <v>5</v>
      </c>
      <c r="AD11" s="262"/>
      <c r="AE11" s="262"/>
      <c r="AF11" s="262"/>
      <c r="AG11" s="262"/>
      <c r="AH11" s="262"/>
      <c r="AI11" s="254"/>
      <c r="AJ11" s="254"/>
      <c r="AK11" s="238"/>
    </row>
    <row r="12" spans="1:37" s="240" customFormat="1" ht="17.100000000000001" customHeight="1">
      <c r="A12" s="239"/>
      <c r="B12" s="270"/>
      <c r="C12" s="270"/>
      <c r="D12" s="270"/>
      <c r="E12" s="239"/>
      <c r="F12" s="399"/>
      <c r="G12" s="399"/>
      <c r="H12" s="399"/>
      <c r="I12" s="399"/>
      <c r="J12" s="239"/>
      <c r="K12" s="239"/>
      <c r="L12" s="239"/>
      <c r="M12" s="239"/>
      <c r="N12" s="239"/>
      <c r="O12" s="236"/>
      <c r="P12" s="255"/>
      <c r="Q12" s="255"/>
      <c r="R12" s="255"/>
      <c r="S12" s="255"/>
      <c r="T12" s="255"/>
      <c r="U12" s="238"/>
      <c r="V12" s="238"/>
      <c r="W12" s="238"/>
      <c r="X12" s="238"/>
      <c r="Y12" s="254"/>
      <c r="Z12" s="254"/>
      <c r="AA12" s="262" t="s">
        <v>18</v>
      </c>
      <c r="AB12" s="262">
        <v>0.5</v>
      </c>
      <c r="AC12" s="262">
        <f>E53+E54</f>
        <v>150</v>
      </c>
      <c r="AD12" s="262"/>
      <c r="AE12" s="262"/>
      <c r="AF12" s="262"/>
      <c r="AG12" s="262"/>
      <c r="AH12" s="262"/>
      <c r="AI12" s="254"/>
      <c r="AJ12" s="254"/>
      <c r="AK12" s="238"/>
    </row>
    <row r="13" spans="1:37" s="240" customFormat="1" ht="17.100000000000001" customHeight="1">
      <c r="A13" s="239"/>
      <c r="B13" s="270"/>
      <c r="C13" s="270"/>
      <c r="D13" s="270"/>
      <c r="E13" s="239"/>
      <c r="F13" s="399"/>
      <c r="G13" s="399"/>
      <c r="H13" s="399"/>
      <c r="I13" s="399"/>
      <c r="J13" s="239"/>
      <c r="K13" s="239"/>
      <c r="L13" s="239"/>
      <c r="M13" s="239"/>
      <c r="N13" s="239"/>
      <c r="O13" s="236"/>
      <c r="P13" s="255"/>
      <c r="Q13" s="255"/>
      <c r="R13" s="255"/>
      <c r="S13" s="255"/>
      <c r="T13" s="255"/>
      <c r="U13" s="238"/>
      <c r="V13" s="238"/>
      <c r="W13" s="238"/>
      <c r="X13" s="238"/>
      <c r="Y13" s="254"/>
      <c r="Z13" s="254"/>
      <c r="AA13" s="262" t="s">
        <v>18</v>
      </c>
      <c r="AB13" s="262">
        <v>1.5</v>
      </c>
      <c r="AC13" s="262">
        <f>AC12</f>
        <v>150</v>
      </c>
      <c r="AD13" s="262"/>
      <c r="AE13" s="262"/>
      <c r="AF13" s="262"/>
      <c r="AG13" s="262"/>
      <c r="AH13" s="262"/>
      <c r="AI13" s="254"/>
      <c r="AJ13" s="254"/>
      <c r="AK13" s="238"/>
    </row>
    <row r="14" spans="1:37" s="240" customFormat="1" ht="17.100000000000001" customHeight="1">
      <c r="A14" s="239"/>
      <c r="B14" s="270"/>
      <c r="C14" s="256"/>
      <c r="D14" s="226"/>
      <c r="E14" s="325" t="s">
        <v>213</v>
      </c>
      <c r="F14" s="210"/>
      <c r="G14" s="325" t="s">
        <v>208</v>
      </c>
      <c r="H14" s="234"/>
      <c r="I14" s="350"/>
      <c r="J14" s="239"/>
      <c r="K14" s="239"/>
      <c r="L14" s="239"/>
      <c r="M14" s="239"/>
      <c r="N14" s="239"/>
      <c r="O14" s="236"/>
      <c r="P14" s="255"/>
      <c r="Q14" s="255"/>
      <c r="R14" s="255"/>
      <c r="S14" s="255"/>
      <c r="T14" s="255"/>
      <c r="U14" s="258"/>
      <c r="V14" s="258"/>
      <c r="W14" s="162"/>
      <c r="X14" s="162"/>
      <c r="Y14" s="254"/>
      <c r="Z14" s="254"/>
      <c r="AA14" s="262" t="s">
        <v>19</v>
      </c>
      <c r="AB14" s="262">
        <v>1.5</v>
      </c>
      <c r="AC14" s="262">
        <f>F53+F54</f>
        <v>180</v>
      </c>
      <c r="AD14" s="262"/>
      <c r="AE14" s="262"/>
      <c r="AF14" s="262"/>
      <c r="AG14" s="262"/>
      <c r="AH14" s="262"/>
      <c r="AI14" s="254"/>
      <c r="AJ14" s="254"/>
      <c r="AK14" s="238"/>
    </row>
    <row r="15" spans="1:37" s="240" customFormat="1" ht="17.100000000000001" customHeight="1">
      <c r="A15" s="239"/>
      <c r="B15" s="270"/>
      <c r="C15" s="256"/>
      <c r="D15" s="226"/>
      <c r="E15" s="325" t="s">
        <v>206</v>
      </c>
      <c r="F15" s="210"/>
      <c r="G15" s="325" t="s">
        <v>214</v>
      </c>
      <c r="H15" s="234"/>
      <c r="I15" s="350"/>
      <c r="J15" s="239"/>
      <c r="K15" s="239"/>
      <c r="L15" s="239"/>
      <c r="M15" s="239"/>
      <c r="N15" s="239"/>
      <c r="O15" s="236"/>
      <c r="P15" s="255"/>
      <c r="Q15" s="255"/>
      <c r="R15" s="255"/>
      <c r="S15" s="255"/>
      <c r="T15" s="255"/>
      <c r="Y15" s="254"/>
      <c r="Z15" s="254"/>
      <c r="AA15" s="262" t="s">
        <v>19</v>
      </c>
      <c r="AB15" s="262">
        <v>2.5</v>
      </c>
      <c r="AC15" s="262">
        <f>AC14</f>
        <v>180</v>
      </c>
      <c r="AD15" s="262"/>
      <c r="AE15" s="262"/>
      <c r="AF15" s="262"/>
      <c r="AG15" s="262"/>
      <c r="AH15" s="262"/>
      <c r="AI15" s="254"/>
      <c r="AJ15" s="254"/>
      <c r="AK15" s="238"/>
    </row>
    <row r="16" spans="1:37" ht="17.100000000000001" customHeight="1">
      <c r="B16" s="271"/>
      <c r="C16" s="257"/>
      <c r="D16" s="271"/>
      <c r="U16" s="240"/>
      <c r="V16" s="240"/>
      <c r="W16" s="240"/>
      <c r="X16" s="240"/>
      <c r="AA16" s="262" t="s">
        <v>20</v>
      </c>
      <c r="AB16" s="262">
        <v>2.5</v>
      </c>
      <c r="AC16" s="262">
        <f>G53+G54</f>
        <v>170</v>
      </c>
    </row>
    <row r="17" spans="1:37" ht="17.100000000000001" customHeight="1">
      <c r="A17" s="231"/>
      <c r="B17" s="271"/>
      <c r="C17" s="272"/>
      <c r="D17" s="272"/>
      <c r="F17" s="232"/>
      <c r="G17" s="232"/>
      <c r="H17" s="232"/>
      <c r="I17" s="232"/>
      <c r="J17" s="232"/>
      <c r="K17" s="232"/>
      <c r="L17" s="232"/>
      <c r="M17" s="232"/>
      <c r="N17" s="232"/>
      <c r="O17" s="232"/>
      <c r="Y17" s="261"/>
      <c r="Z17" s="261"/>
      <c r="AA17" s="262" t="s">
        <v>20</v>
      </c>
      <c r="AB17" s="262">
        <v>3.5</v>
      </c>
      <c r="AC17" s="262">
        <f>AC16</f>
        <v>170</v>
      </c>
      <c r="AF17" s="265"/>
      <c r="AG17" s="265"/>
    </row>
    <row r="18" spans="1:37" s="240" customFormat="1" ht="17.100000000000001" customHeight="1">
      <c r="A18" s="239"/>
      <c r="B18" s="400" t="s">
        <v>172</v>
      </c>
      <c r="C18" s="401"/>
      <c r="D18" s="401"/>
      <c r="E18" s="239"/>
      <c r="F18" s="239"/>
      <c r="G18" s="239"/>
      <c r="H18" s="239"/>
      <c r="I18" s="239"/>
      <c r="J18" s="239"/>
      <c r="K18" s="239"/>
      <c r="L18" s="239"/>
      <c r="M18" s="239"/>
      <c r="N18" s="239"/>
      <c r="O18" s="239"/>
      <c r="P18" s="255"/>
      <c r="Q18" s="255"/>
      <c r="R18" s="255"/>
      <c r="S18" s="255"/>
      <c r="T18" s="255"/>
      <c r="U18" s="258"/>
      <c r="V18" s="258"/>
      <c r="W18" s="162"/>
      <c r="X18" s="162"/>
      <c r="Y18" s="254"/>
      <c r="Z18" s="254"/>
      <c r="AA18" s="262" t="s">
        <v>6</v>
      </c>
      <c r="AB18" s="262">
        <v>3.5</v>
      </c>
      <c r="AC18" s="262">
        <f>H53+H54</f>
        <v>180</v>
      </c>
      <c r="AD18" s="262"/>
      <c r="AE18" s="262"/>
      <c r="AF18" s="262"/>
      <c r="AG18" s="262"/>
      <c r="AH18" s="262"/>
      <c r="AI18" s="254"/>
      <c r="AJ18" s="254"/>
      <c r="AK18" s="238"/>
    </row>
    <row r="19" spans="1:37" s="240" customFormat="1" ht="17.100000000000001" customHeight="1">
      <c r="A19" s="239"/>
      <c r="B19" s="273"/>
      <c r="C19" s="273"/>
      <c r="D19" s="273"/>
      <c r="E19" s="239"/>
      <c r="F19" s="239"/>
      <c r="G19" s="239"/>
      <c r="H19" s="239"/>
      <c r="I19" s="239"/>
      <c r="J19" s="239"/>
      <c r="K19" s="239"/>
      <c r="L19" s="239"/>
      <c r="M19" s="239"/>
      <c r="N19" s="239"/>
      <c r="O19" s="239"/>
      <c r="P19" s="255"/>
      <c r="Q19" s="255"/>
      <c r="R19" s="255"/>
      <c r="S19" s="255"/>
      <c r="T19" s="255"/>
      <c r="U19" s="258"/>
      <c r="V19" s="258"/>
      <c r="W19" s="162"/>
      <c r="X19" s="162"/>
      <c r="Y19" s="254"/>
      <c r="Z19" s="254"/>
      <c r="AA19" s="262" t="s">
        <v>6</v>
      </c>
      <c r="AB19" s="262">
        <v>4.5</v>
      </c>
      <c r="AC19" s="262">
        <f>AC18</f>
        <v>180</v>
      </c>
      <c r="AD19" s="262"/>
      <c r="AE19" s="262"/>
      <c r="AF19" s="262"/>
      <c r="AG19" s="262"/>
      <c r="AH19" s="262"/>
      <c r="AI19" s="254"/>
      <c r="AJ19" s="254"/>
      <c r="AK19" s="238"/>
    </row>
    <row r="20" spans="1:37" ht="159.94999999999999" customHeight="1">
      <c r="B20" s="274"/>
      <c r="C20" s="271"/>
      <c r="D20" s="271"/>
    </row>
    <row r="21" spans="1:37" ht="17.100000000000001" customHeight="1">
      <c r="B21" s="271"/>
      <c r="C21" s="271"/>
      <c r="D21" s="271"/>
    </row>
    <row r="22" spans="1:37" ht="17.100000000000001" customHeight="1">
      <c r="B22" s="271"/>
      <c r="C22" s="271"/>
      <c r="D22" s="271"/>
    </row>
    <row r="23" spans="1:37" ht="17.100000000000001" customHeight="1">
      <c r="B23" s="271"/>
      <c r="C23" s="271"/>
      <c r="D23" s="271"/>
    </row>
    <row r="24" spans="1:37" ht="17.100000000000001" customHeight="1">
      <c r="B24" s="271"/>
      <c r="C24" s="271"/>
      <c r="D24" s="271"/>
    </row>
    <row r="25" spans="1:37" ht="17.100000000000001" customHeight="1">
      <c r="C25" s="347"/>
      <c r="D25" s="347"/>
      <c r="E25" s="210"/>
      <c r="F25" s="210"/>
      <c r="G25" s="210"/>
      <c r="AB25" s="325" t="s">
        <v>221</v>
      </c>
    </row>
    <row r="26" spans="1:37" ht="17.100000000000001" customHeight="1">
      <c r="B26" s="226"/>
      <c r="C26" s="226"/>
      <c r="AB26" s="325" t="s">
        <v>220</v>
      </c>
    </row>
    <row r="27" spans="1:37" ht="17.100000000000001" customHeight="1">
      <c r="B27" s="226"/>
      <c r="C27" s="226"/>
      <c r="AB27" s="325" t="s">
        <v>222</v>
      </c>
    </row>
    <row r="28" spans="1:37" ht="17.100000000000001" customHeight="1">
      <c r="B28" s="346" t="s">
        <v>207</v>
      </c>
      <c r="C28" s="226"/>
      <c r="D28" s="226"/>
      <c r="E28" s="325" t="str">
        <f>IF(AC3&gt;AC12,"",AB25)</f>
        <v/>
      </c>
      <c r="F28" s="210"/>
      <c r="G28" s="325" t="str">
        <f>IF(AE3&gt;AC12,"",AB25)</f>
        <v/>
      </c>
    </row>
    <row r="29" spans="1:37" ht="17.100000000000001" customHeight="1">
      <c r="B29" s="226"/>
      <c r="C29" s="226"/>
      <c r="D29" s="226"/>
      <c r="E29" s="325" t="str">
        <f>IF(AC4&gt;AC14,"",AB26)</f>
        <v/>
      </c>
      <c r="F29" s="210"/>
      <c r="G29" s="325" t="str">
        <f>IF(AE4&gt;AC14,"",AB26)</f>
        <v/>
      </c>
    </row>
    <row r="30" spans="1:37" ht="17.100000000000001" customHeight="1">
      <c r="B30" s="271"/>
      <c r="C30" s="271"/>
      <c r="D30" s="271"/>
      <c r="E30" s="325" t="str">
        <f>IF(AC6&gt;AC18,"",AB27)</f>
        <v/>
      </c>
      <c r="F30" s="210"/>
      <c r="G30" s="325" t="str">
        <f>IF(AE6&gt;AC18,"",AB27)</f>
        <v/>
      </c>
    </row>
    <row r="31" spans="1:37" ht="17.100000000000001" customHeight="1">
      <c r="B31" s="271"/>
      <c r="C31" s="271"/>
      <c r="D31" s="271"/>
    </row>
    <row r="32" spans="1:37" ht="17.100000000000001" customHeight="1">
      <c r="B32" s="369" t="s">
        <v>170</v>
      </c>
      <c r="C32" s="370"/>
      <c r="D32" s="370"/>
      <c r="E32" s="264"/>
      <c r="F32" s="210"/>
      <c r="G32" s="210"/>
      <c r="H32" s="210"/>
    </row>
    <row r="33" spans="2:12" ht="17.100000000000001" customHeight="1">
      <c r="B33" s="210"/>
      <c r="C33" s="229"/>
      <c r="D33" s="210"/>
      <c r="E33" s="210"/>
      <c r="F33" s="210"/>
      <c r="G33" s="210"/>
      <c r="H33" s="210"/>
    </row>
    <row r="34" spans="2:12" ht="21.95" hidden="1" customHeight="1">
      <c r="B34" s="384"/>
      <c r="C34" s="385"/>
      <c r="D34" s="386"/>
      <c r="E34" s="384"/>
      <c r="F34" s="386"/>
      <c r="G34" s="371"/>
      <c r="H34" s="371"/>
      <c r="I34" s="397"/>
      <c r="J34" s="398"/>
      <c r="K34" s="397"/>
      <c r="L34" s="398"/>
    </row>
    <row r="35" spans="2:12" ht="21.95" customHeight="1">
      <c r="B35" s="372" t="s">
        <v>175</v>
      </c>
      <c r="C35" s="373"/>
      <c r="D35" s="373"/>
      <c r="E35" s="364" t="s">
        <v>266</v>
      </c>
      <c r="F35" s="365"/>
      <c r="G35" s="374" t="s">
        <v>268</v>
      </c>
      <c r="H35" s="374"/>
      <c r="I35" s="395"/>
      <c r="J35" s="395"/>
      <c r="K35" s="395"/>
      <c r="L35" s="395"/>
    </row>
    <row r="36" spans="2:12" ht="21.95" customHeight="1">
      <c r="B36" s="372" t="s">
        <v>156</v>
      </c>
      <c r="C36" s="373"/>
      <c r="D36" s="373"/>
      <c r="E36" s="393">
        <v>0.78</v>
      </c>
      <c r="F36" s="365"/>
      <c r="G36" s="394">
        <v>0.8</v>
      </c>
      <c r="H36" s="374"/>
      <c r="I36" s="395"/>
      <c r="J36" s="395"/>
      <c r="K36" s="395"/>
      <c r="L36" s="395"/>
    </row>
    <row r="37" spans="2:12" ht="21.95" customHeight="1">
      <c r="B37" s="376" t="s">
        <v>184</v>
      </c>
      <c r="C37" s="362"/>
      <c r="D37" s="363"/>
      <c r="E37" s="377">
        <v>0.84</v>
      </c>
      <c r="F37" s="378"/>
      <c r="G37" s="375">
        <v>0.87</v>
      </c>
      <c r="H37" s="375"/>
      <c r="I37" s="396"/>
      <c r="J37" s="396"/>
      <c r="K37" s="396"/>
      <c r="L37" s="396"/>
    </row>
    <row r="38" spans="2:12" ht="21.95" customHeight="1">
      <c r="B38" s="361" t="s">
        <v>157</v>
      </c>
      <c r="C38" s="362"/>
      <c r="D38" s="363"/>
      <c r="E38" s="393">
        <v>0.43</v>
      </c>
      <c r="F38" s="365"/>
      <c r="G38" s="394">
        <v>0.43</v>
      </c>
      <c r="H38" s="374"/>
      <c r="I38" s="395"/>
      <c r="J38" s="395"/>
      <c r="K38" s="395"/>
      <c r="L38" s="395"/>
    </row>
    <row r="39" spans="2:12" ht="21.95" customHeight="1">
      <c r="B39" s="361" t="s">
        <v>176</v>
      </c>
      <c r="C39" s="362"/>
      <c r="D39" s="363"/>
      <c r="E39" s="364" t="s">
        <v>267</v>
      </c>
      <c r="F39" s="365"/>
      <c r="G39" s="374" t="s">
        <v>267</v>
      </c>
      <c r="H39" s="374"/>
    </row>
    <row r="40" spans="2:12" ht="21.95" customHeight="1">
      <c r="B40" s="361" t="s">
        <v>181</v>
      </c>
      <c r="C40" s="362"/>
      <c r="D40" s="363"/>
      <c r="E40" s="377">
        <v>3589</v>
      </c>
      <c r="F40" s="378"/>
      <c r="G40" s="377">
        <v>3558</v>
      </c>
      <c r="H40" s="378"/>
    </row>
    <row r="41" spans="2:12" ht="21.95" customHeight="1">
      <c r="B41" s="361" t="s">
        <v>177</v>
      </c>
      <c r="C41" s="362"/>
      <c r="D41" s="363"/>
      <c r="E41" s="364">
        <v>4</v>
      </c>
      <c r="F41" s="365"/>
      <c r="G41" s="364">
        <v>4</v>
      </c>
      <c r="H41" s="365"/>
    </row>
    <row r="42" spans="2:12" ht="21.95" customHeight="1">
      <c r="B42" s="361" t="s">
        <v>227</v>
      </c>
      <c r="C42" s="362"/>
      <c r="D42" s="363"/>
      <c r="E42" s="364" t="s">
        <v>269</v>
      </c>
      <c r="F42" s="365"/>
      <c r="G42" s="364" t="s">
        <v>272</v>
      </c>
      <c r="H42" s="365"/>
    </row>
    <row r="43" spans="2:12" ht="21.95" customHeight="1">
      <c r="B43" s="361" t="s">
        <v>228</v>
      </c>
      <c r="C43" s="362"/>
      <c r="D43" s="363"/>
      <c r="E43" s="364" t="s">
        <v>270</v>
      </c>
      <c r="F43" s="365"/>
      <c r="G43" s="364" t="s">
        <v>273</v>
      </c>
      <c r="H43" s="365"/>
    </row>
    <row r="44" spans="2:12" ht="21.95" customHeight="1">
      <c r="B44" s="361" t="s">
        <v>229</v>
      </c>
      <c r="C44" s="362"/>
      <c r="D44" s="363"/>
      <c r="E44" s="364" t="s">
        <v>271</v>
      </c>
      <c r="F44" s="365"/>
      <c r="G44" s="364" t="s">
        <v>274</v>
      </c>
      <c r="H44" s="365"/>
    </row>
    <row r="45" spans="2:12">
      <c r="B45" s="210"/>
      <c r="C45" s="242"/>
      <c r="D45" s="210"/>
      <c r="E45" s="210"/>
      <c r="F45" s="210"/>
      <c r="G45" s="210"/>
      <c r="H45" s="210"/>
    </row>
    <row r="46" spans="2:12" ht="21">
      <c r="B46" s="348" t="s">
        <v>169</v>
      </c>
      <c r="C46" s="349"/>
      <c r="D46" s="349"/>
      <c r="E46" s="333"/>
      <c r="F46" s="333"/>
      <c r="G46" s="333"/>
      <c r="H46" s="333"/>
    </row>
    <row r="47" spans="2:12">
      <c r="B47" s="373"/>
      <c r="C47" s="373"/>
      <c r="D47" s="373"/>
      <c r="E47" s="279" t="s">
        <v>132</v>
      </c>
      <c r="F47" s="279" t="s">
        <v>133</v>
      </c>
      <c r="G47" s="279" t="s">
        <v>134</v>
      </c>
      <c r="H47" s="279" t="s">
        <v>135</v>
      </c>
    </row>
    <row r="48" spans="2:12">
      <c r="B48" s="361" t="s">
        <v>174</v>
      </c>
      <c r="C48" s="362"/>
      <c r="D48" s="363"/>
      <c r="E48" s="366">
        <v>4.5</v>
      </c>
      <c r="F48" s="367"/>
      <c r="G48" s="367"/>
      <c r="H48" s="368"/>
    </row>
    <row r="49" spans="2:8">
      <c r="B49" s="373" t="s">
        <v>185</v>
      </c>
      <c r="C49" s="373"/>
      <c r="D49" s="373"/>
      <c r="E49" s="279">
        <v>16.399999999999999</v>
      </c>
      <c r="F49" s="279">
        <v>25.6</v>
      </c>
      <c r="G49" s="279">
        <v>15.2</v>
      </c>
      <c r="H49" s="279">
        <v>5.7</v>
      </c>
    </row>
    <row r="50" spans="2:8">
      <c r="B50" s="373" t="s">
        <v>186</v>
      </c>
      <c r="C50" s="373"/>
      <c r="D50" s="373"/>
      <c r="E50" s="279">
        <v>67</v>
      </c>
      <c r="F50" s="279">
        <v>75</v>
      </c>
      <c r="G50" s="279">
        <v>72</v>
      </c>
      <c r="H50" s="279">
        <v>65.8</v>
      </c>
    </row>
    <row r="51" spans="2:8">
      <c r="B51" s="373" t="s">
        <v>187</v>
      </c>
      <c r="C51" s="373"/>
      <c r="D51" s="373"/>
      <c r="E51" s="279">
        <v>61</v>
      </c>
      <c r="F51" s="279">
        <v>122</v>
      </c>
      <c r="G51" s="279">
        <v>61</v>
      </c>
      <c r="H51" s="279">
        <v>121</v>
      </c>
    </row>
    <row r="52" spans="2:8">
      <c r="B52" s="373" t="s">
        <v>188</v>
      </c>
      <c r="C52" s="373"/>
      <c r="D52" s="373"/>
      <c r="E52" s="279">
        <v>6.4493193831397511</v>
      </c>
      <c r="F52" s="279">
        <v>12.898638766279502</v>
      </c>
      <c r="G52" s="279">
        <v>6.4493193831397511</v>
      </c>
      <c r="H52" s="279">
        <v>12.898638766279502</v>
      </c>
    </row>
    <row r="53" spans="2:8">
      <c r="B53" s="373" t="s">
        <v>189</v>
      </c>
      <c r="C53" s="373"/>
      <c r="D53" s="373"/>
      <c r="E53" s="279">
        <v>150</v>
      </c>
      <c r="F53" s="279">
        <v>180</v>
      </c>
      <c r="G53" s="279">
        <v>170</v>
      </c>
      <c r="H53" s="279">
        <v>180</v>
      </c>
    </row>
    <row r="54" spans="2:8">
      <c r="B54" s="373" t="s">
        <v>190</v>
      </c>
      <c r="C54" s="373"/>
      <c r="D54" s="373"/>
      <c r="E54" s="279">
        <v>0</v>
      </c>
      <c r="F54" s="279">
        <v>0</v>
      </c>
      <c r="G54" s="279">
        <v>0</v>
      </c>
      <c r="H54" s="279">
        <v>0</v>
      </c>
    </row>
    <row r="55" spans="2:8">
      <c r="B55" s="379"/>
      <c r="C55" s="379"/>
      <c r="D55" s="379"/>
      <c r="E55" s="210"/>
      <c r="F55" s="210"/>
      <c r="G55" s="210"/>
      <c r="H55" s="210"/>
    </row>
    <row r="56" spans="2:8">
      <c r="B56" s="366"/>
      <c r="C56" s="367"/>
      <c r="D56" s="368"/>
      <c r="E56" s="279" t="s">
        <v>158</v>
      </c>
      <c r="F56" s="279" t="s">
        <v>159</v>
      </c>
      <c r="G56" s="279" t="s">
        <v>160</v>
      </c>
      <c r="H56" s="279"/>
    </row>
    <row r="57" spans="2:8">
      <c r="B57" s="373" t="s">
        <v>188</v>
      </c>
      <c r="C57" s="373"/>
      <c r="D57" s="373"/>
      <c r="E57" s="279" t="s">
        <v>223</v>
      </c>
      <c r="F57" s="279" t="s">
        <v>223</v>
      </c>
      <c r="G57" s="279" t="s">
        <v>223</v>
      </c>
      <c r="H57" s="279"/>
    </row>
    <row r="58" spans="2:8">
      <c r="B58" s="373" t="s">
        <v>189</v>
      </c>
      <c r="C58" s="373"/>
      <c r="D58" s="373"/>
      <c r="E58" s="279" t="s">
        <v>223</v>
      </c>
      <c r="F58" s="279" t="s">
        <v>223</v>
      </c>
      <c r="G58" s="279" t="s">
        <v>223</v>
      </c>
      <c r="H58" s="279"/>
    </row>
    <row r="59" spans="2:8">
      <c r="B59" s="373" t="s">
        <v>190</v>
      </c>
      <c r="C59" s="373"/>
      <c r="D59" s="373"/>
      <c r="E59" s="279" t="s">
        <v>223</v>
      </c>
      <c r="F59" s="279" t="s">
        <v>223</v>
      </c>
      <c r="G59" s="279" t="s">
        <v>223</v>
      </c>
      <c r="H59" s="279"/>
    </row>
    <row r="60" spans="2:8">
      <c r="B60" s="210"/>
      <c r="C60" s="210"/>
      <c r="D60" s="210"/>
      <c r="E60" s="210"/>
      <c r="F60" s="210"/>
      <c r="G60" s="210"/>
      <c r="H60" s="210"/>
    </row>
    <row r="61" spans="2:8">
      <c r="B61" s="371"/>
      <c r="C61" s="371"/>
      <c r="D61" s="371"/>
      <c r="E61" s="279" t="s">
        <v>161</v>
      </c>
      <c r="F61" s="279" t="s">
        <v>162</v>
      </c>
      <c r="G61" s="279"/>
      <c r="H61" s="279"/>
    </row>
    <row r="62" spans="2:8">
      <c r="B62" s="372" t="s">
        <v>178</v>
      </c>
      <c r="C62" s="373"/>
      <c r="D62" s="373"/>
      <c r="E62" s="279">
        <v>0.8</v>
      </c>
      <c r="F62" s="279">
        <v>180</v>
      </c>
      <c r="G62" s="279"/>
      <c r="H62" s="279"/>
    </row>
    <row r="63" spans="2:8">
      <c r="B63" s="372" t="s">
        <v>179</v>
      </c>
      <c r="C63" s="373"/>
      <c r="D63" s="373"/>
      <c r="E63" s="279">
        <v>1</v>
      </c>
      <c r="F63" s="279">
        <v>300</v>
      </c>
      <c r="G63" s="279"/>
      <c r="H63" s="279"/>
    </row>
    <row r="64" spans="2:8">
      <c r="B64" s="372" t="s">
        <v>180</v>
      </c>
      <c r="C64" s="373"/>
      <c r="D64" s="373"/>
      <c r="E64" s="279">
        <v>1.8</v>
      </c>
      <c r="F64" s="279">
        <v>200</v>
      </c>
      <c r="G64" s="279"/>
      <c r="H64" s="279"/>
    </row>
  </sheetData>
  <sheetProtection sheet="1" objects="1" scenarios="1"/>
  <dataConsolidate function="max"/>
  <mergeCells count="78">
    <mergeCell ref="B62:D62"/>
    <mergeCell ref="B63:D63"/>
    <mergeCell ref="B64:D64"/>
    <mergeCell ref="B55:D55"/>
    <mergeCell ref="B56:D56"/>
    <mergeCell ref="B57:D57"/>
    <mergeCell ref="B58:D58"/>
    <mergeCell ref="B59:D59"/>
    <mergeCell ref="B61:D61"/>
    <mergeCell ref="B49:D49"/>
    <mergeCell ref="B50:D50"/>
    <mergeCell ref="B51:D51"/>
    <mergeCell ref="B52:D52"/>
    <mergeCell ref="B53:D53"/>
    <mergeCell ref="B54:D54"/>
    <mergeCell ref="B44:D44"/>
    <mergeCell ref="E44:F44"/>
    <mergeCell ref="G44:H44"/>
    <mergeCell ref="B47:D47"/>
    <mergeCell ref="B48:D48"/>
    <mergeCell ref="E48:H48"/>
    <mergeCell ref="B42:D42"/>
    <mergeCell ref="E42:F42"/>
    <mergeCell ref="G42:H42"/>
    <mergeCell ref="B43:D43"/>
    <mergeCell ref="E43:F43"/>
    <mergeCell ref="G43:H43"/>
    <mergeCell ref="B40:D40"/>
    <mergeCell ref="E40:F40"/>
    <mergeCell ref="G40:H40"/>
    <mergeCell ref="B41:D41"/>
    <mergeCell ref="E41:F41"/>
    <mergeCell ref="G41:H41"/>
    <mergeCell ref="B38:D38"/>
    <mergeCell ref="E38:F38"/>
    <mergeCell ref="G38:H38"/>
    <mergeCell ref="I38:J38"/>
    <mergeCell ref="K38:L38"/>
    <mergeCell ref="B39:D39"/>
    <mergeCell ref="E39:F39"/>
    <mergeCell ref="G39:H39"/>
    <mergeCell ref="B36:D36"/>
    <mergeCell ref="E36:F36"/>
    <mergeCell ref="G36:H36"/>
    <mergeCell ref="I36:J36"/>
    <mergeCell ref="K36:L36"/>
    <mergeCell ref="B37:D37"/>
    <mergeCell ref="E37:F37"/>
    <mergeCell ref="G37:H37"/>
    <mergeCell ref="I37:J37"/>
    <mergeCell ref="K37:L37"/>
    <mergeCell ref="K34:L34"/>
    <mergeCell ref="B35:D35"/>
    <mergeCell ref="E35:F35"/>
    <mergeCell ref="G35:H35"/>
    <mergeCell ref="I35:J35"/>
    <mergeCell ref="K35:L35"/>
    <mergeCell ref="F12:I12"/>
    <mergeCell ref="F13:I13"/>
    <mergeCell ref="B18:D18"/>
    <mergeCell ref="B32:D32"/>
    <mergeCell ref="B34:D34"/>
    <mergeCell ref="E34:F34"/>
    <mergeCell ref="G34:H34"/>
    <mergeCell ref="I34:J34"/>
    <mergeCell ref="B6:D6"/>
    <mergeCell ref="F6:I6"/>
    <mergeCell ref="F7:I7"/>
    <mergeCell ref="F8:I8"/>
    <mergeCell ref="F10:I10"/>
    <mergeCell ref="F11:I11"/>
    <mergeCell ref="B1:I1"/>
    <mergeCell ref="E2:F2"/>
    <mergeCell ref="G2:H2"/>
    <mergeCell ref="B3:D3"/>
    <mergeCell ref="B4:D4"/>
    <mergeCell ref="B5:D5"/>
    <mergeCell ref="F5:I5"/>
  </mergeCells>
  <conditionalFormatting sqref="E46:E48 G46">
    <cfRule type="cellIs" dxfId="15" priority="13" operator="equal">
      <formula>"0 %"</formula>
    </cfRule>
    <cfRule type="cellIs" dxfId="14" priority="14" operator="equal">
      <formula>"0 MW"</formula>
    </cfRule>
    <cfRule type="cellIs" dxfId="13" priority="15" operator="equal">
      <formula>"0 %"</formula>
    </cfRule>
    <cfRule type="cellIs" dxfId="12" priority="16" operator="equal">
      <formula>"0 MW"</formula>
    </cfRule>
  </conditionalFormatting>
  <conditionalFormatting sqref="B56 E56:H56">
    <cfRule type="cellIs" dxfId="11" priority="9" operator="equal">
      <formula>"0 %"</formula>
    </cfRule>
    <cfRule type="cellIs" dxfId="10" priority="10" operator="equal">
      <formula>"0 MW"</formula>
    </cfRule>
    <cfRule type="cellIs" dxfId="9" priority="11" operator="equal">
      <formula>"0 %"</formula>
    </cfRule>
    <cfRule type="cellIs" dxfId="8" priority="12" operator="equal">
      <formula>"0 MW"</formula>
    </cfRule>
  </conditionalFormatting>
  <conditionalFormatting sqref="G61:H64">
    <cfRule type="cellIs" dxfId="7" priority="5" operator="equal">
      <formula>"0 %"</formula>
    </cfRule>
    <cfRule type="cellIs" dxfId="6" priority="6" operator="equal">
      <formula>"0 MW"</formula>
    </cfRule>
    <cfRule type="cellIs" dxfId="5" priority="7" operator="equal">
      <formula>"0 %"</formula>
    </cfRule>
    <cfRule type="cellIs" dxfId="4" priority="8" operator="equal">
      <formula>"0 MW"</formula>
    </cfRule>
  </conditionalFormatting>
  <conditionalFormatting sqref="E61:F61">
    <cfRule type="cellIs" dxfId="3" priority="1" operator="equal">
      <formula>"0 %"</formula>
    </cfRule>
    <cfRule type="cellIs" dxfId="2" priority="2" operator="equal">
      <formula>"0 MW"</formula>
    </cfRule>
    <cfRule type="cellIs" dxfId="1" priority="3" operator="equal">
      <formula>"0 %"</formula>
    </cfRule>
    <cfRule type="cellIs" dxfId="0" priority="4" operator="equal">
      <formula>"0 MW"</formula>
    </cfRule>
  </conditionalFormatting>
  <pageMargins left="0.75" right="0.75" top="1" bottom="1" header="0.5" footer="0.5"/>
  <pageSetup paperSize="9" scale="47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CommandButton1">
          <controlPr defaultSize="0" autoLine="0" autoPict="0" r:id="rId5">
            <anchor moveWithCells="1">
              <from>
                <xdr:col>8</xdr:col>
                <xdr:colOff>495300</xdr:colOff>
                <xdr:row>0</xdr:row>
                <xdr:rowOff>123825</xdr:rowOff>
              </from>
              <to>
                <xdr:col>10</xdr:col>
                <xdr:colOff>66675</xdr:colOff>
                <xdr:row>0</xdr:row>
                <xdr:rowOff>561975</xdr:rowOff>
              </to>
            </anchor>
          </controlPr>
        </control>
      </mc:Choice>
      <mc:Fallback>
        <control shapeId="3993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K64"/>
  <sheetViews>
    <sheetView topLeftCell="A8" zoomScale="70" zoomScaleNormal="70" workbookViewId="0">
      <selection activeCell="E52" sqref="E52:H52"/>
    </sheetView>
  </sheetViews>
  <sheetFormatPr defaultColWidth="5.28515625" defaultRowHeight="15.75"/>
  <cols>
    <col min="1" max="4" width="9.7109375" style="234" customWidth="1"/>
    <col min="5" max="8" width="34.28515625" style="234" customWidth="1"/>
    <col min="9" max="9" width="7.5703125" style="234" customWidth="1"/>
    <col min="10" max="10" width="14.28515625" style="234" customWidth="1"/>
    <col min="11" max="11" width="1.42578125" style="234" customWidth="1"/>
    <col min="12" max="12" width="2.28515625" style="234" customWidth="1"/>
    <col min="13" max="13" width="3.140625" style="234" customWidth="1"/>
    <col min="14" max="14" width="1.42578125" style="234" customWidth="1"/>
    <col min="15" max="15" width="1.85546875" style="234" customWidth="1"/>
    <col min="16" max="16" width="7.28515625" style="255" bestFit="1" customWidth="1"/>
    <col min="17" max="17" width="6.85546875" style="255" customWidth="1"/>
    <col min="18" max="18" width="7.28515625" style="255" bestFit="1" customWidth="1"/>
    <col min="19" max="19" width="7" style="255" bestFit="1" customWidth="1"/>
    <col min="20" max="20" width="7.28515625" style="255" bestFit="1" customWidth="1"/>
    <col min="21" max="21" width="7.85546875" style="258" customWidth="1"/>
    <col min="22" max="22" width="8.5703125" style="258" customWidth="1"/>
    <col min="23" max="24" width="8.5703125" style="162" customWidth="1"/>
    <col min="25" max="26" width="6" style="248" customWidth="1"/>
    <col min="27" max="27" width="10.28515625" style="262" hidden="1" customWidth="1"/>
    <col min="28" max="28" width="6.140625" style="262" hidden="1" customWidth="1"/>
    <col min="29" max="29" width="12.42578125" style="262" hidden="1" customWidth="1"/>
    <col min="30" max="30" width="7" style="262" hidden="1" customWidth="1"/>
    <col min="31" max="31" width="6.7109375" style="262" hidden="1" customWidth="1"/>
    <col min="32" max="32" width="9.5703125" style="262" hidden="1" customWidth="1"/>
    <col min="33" max="33" width="12.42578125" style="262" hidden="1" customWidth="1"/>
    <col min="34" max="34" width="6.42578125" style="262" hidden="1" customWidth="1"/>
    <col min="35" max="36" width="5.28515625" style="248"/>
    <col min="37" max="37" width="5.28515625" style="162"/>
    <col min="38" max="16384" width="5.28515625" style="163"/>
  </cols>
  <sheetData>
    <row r="1" spans="1:37" ht="50.1" customHeight="1">
      <c r="B1" s="387" t="s">
        <v>219</v>
      </c>
      <c r="C1" s="388"/>
      <c r="D1" s="388"/>
      <c r="E1" s="388"/>
      <c r="F1" s="388"/>
      <c r="G1" s="388"/>
      <c r="H1" s="388"/>
      <c r="I1" s="388"/>
      <c r="J1" s="243"/>
      <c r="K1" s="243"/>
      <c r="L1" s="243"/>
      <c r="M1" s="243"/>
      <c r="N1" s="232"/>
      <c r="O1" s="232"/>
      <c r="P1" s="245"/>
      <c r="Q1" s="245"/>
      <c r="R1" s="245"/>
      <c r="S1" s="245"/>
      <c r="T1" s="245"/>
      <c r="U1" s="245"/>
      <c r="V1" s="245"/>
      <c r="W1" s="233"/>
      <c r="X1" s="233"/>
      <c r="Y1" s="261"/>
      <c r="Z1" s="261"/>
      <c r="AH1" s="263"/>
      <c r="AI1" s="247"/>
    </row>
    <row r="2" spans="1:37" ht="50.1" customHeight="1">
      <c r="A2" s="231"/>
      <c r="B2" s="331"/>
      <c r="C2" s="332"/>
      <c r="D2" s="332"/>
      <c r="E2" s="382" t="s">
        <v>224</v>
      </c>
      <c r="F2" s="382"/>
      <c r="G2" s="382" t="s">
        <v>225</v>
      </c>
      <c r="H2" s="382"/>
      <c r="J2" s="264"/>
      <c r="K2" s="264"/>
      <c r="L2" s="264"/>
      <c r="M2" s="232"/>
      <c r="N2" s="232"/>
      <c r="O2" s="232"/>
      <c r="U2" s="245"/>
      <c r="V2" s="245"/>
      <c r="W2" s="233"/>
      <c r="X2" s="233"/>
      <c r="Y2" s="261"/>
      <c r="Z2" s="261"/>
      <c r="AA2" s="246"/>
      <c r="AB2" s="250" t="s">
        <v>123</v>
      </c>
      <c r="AC2" s="250" t="s">
        <v>121</v>
      </c>
      <c r="AD2" s="250" t="s">
        <v>124</v>
      </c>
      <c r="AE2" s="250" t="s">
        <v>122</v>
      </c>
      <c r="AF2" s="251" t="s">
        <v>119</v>
      </c>
      <c r="AG2" s="250" t="s">
        <v>120</v>
      </c>
      <c r="AH2" s="265"/>
    </row>
    <row r="3" spans="1:37" ht="17.100000000000001" customHeight="1">
      <c r="A3" s="231"/>
      <c r="B3" s="400" t="s">
        <v>155</v>
      </c>
      <c r="C3" s="401"/>
      <c r="D3" s="401"/>
      <c r="E3" s="332"/>
      <c r="F3" s="332"/>
      <c r="G3" s="332"/>
      <c r="H3" s="332"/>
      <c r="I3" s="232"/>
      <c r="J3" s="232"/>
      <c r="K3" s="232"/>
      <c r="L3" s="232"/>
      <c r="M3" s="232"/>
      <c r="N3" s="232"/>
      <c r="O3" s="232"/>
      <c r="P3" s="266"/>
      <c r="Q3" s="267"/>
      <c r="R3" s="267"/>
      <c r="S3" s="267"/>
      <c r="T3" s="267"/>
      <c r="U3" s="245"/>
      <c r="V3" s="245"/>
      <c r="W3" s="233"/>
      <c r="X3" s="233"/>
      <c r="Y3" s="261"/>
      <c r="Z3" s="261"/>
      <c r="AA3" s="246" t="s">
        <v>0</v>
      </c>
      <c r="AB3" s="251">
        <f>AC3-AF3</f>
        <v>37</v>
      </c>
      <c r="AC3" s="251">
        <v>50</v>
      </c>
      <c r="AD3" s="251">
        <f>AE3-AG3</f>
        <v>27</v>
      </c>
      <c r="AE3" s="251">
        <v>40</v>
      </c>
      <c r="AF3" s="251">
        <v>13</v>
      </c>
      <c r="AG3" s="251">
        <v>13</v>
      </c>
      <c r="AH3" s="265"/>
    </row>
    <row r="4" spans="1:37" s="237" customFormat="1" ht="17.100000000000001" customHeight="1">
      <c r="A4" s="231"/>
      <c r="B4" s="402"/>
      <c r="C4" s="402"/>
      <c r="D4" s="402"/>
      <c r="E4" s="239"/>
      <c r="F4" s="235"/>
      <c r="G4" s="235"/>
      <c r="H4" s="235"/>
      <c r="I4" s="235"/>
      <c r="J4" s="239"/>
      <c r="K4" s="231"/>
      <c r="L4" s="231"/>
      <c r="M4" s="231"/>
      <c r="N4" s="231"/>
      <c r="O4" s="236"/>
      <c r="P4" s="266"/>
      <c r="Q4" s="267"/>
      <c r="R4" s="267"/>
      <c r="S4" s="267"/>
      <c r="T4" s="267"/>
      <c r="U4" s="268"/>
      <c r="V4" s="268"/>
      <c r="Y4" s="254"/>
      <c r="Z4" s="254"/>
      <c r="AA4" s="246" t="s">
        <v>1</v>
      </c>
      <c r="AB4" s="251">
        <f t="shared" ref="AB4:AB5" si="0">AC4-AF4</f>
        <v>37</v>
      </c>
      <c r="AC4" s="246">
        <f t="shared" ref="AC4:AE6" si="1">AC3</f>
        <v>50</v>
      </c>
      <c r="AD4" s="251">
        <f t="shared" ref="AD4:AD5" si="2">AE4-AG4</f>
        <v>27</v>
      </c>
      <c r="AE4" s="246">
        <f t="shared" si="1"/>
        <v>40</v>
      </c>
      <c r="AF4" s="246">
        <f>AF3</f>
        <v>13</v>
      </c>
      <c r="AG4" s="246">
        <f>AG3</f>
        <v>13</v>
      </c>
      <c r="AH4" s="269"/>
      <c r="AI4" s="253"/>
      <c r="AJ4" s="253"/>
      <c r="AK4" s="252"/>
    </row>
    <row r="5" spans="1:37" s="240" customFormat="1" ht="17.100000000000001" customHeight="1">
      <c r="A5" s="239"/>
      <c r="B5" s="402"/>
      <c r="C5" s="402"/>
      <c r="D5" s="402"/>
      <c r="E5" s="239"/>
      <c r="F5" s="399"/>
      <c r="G5" s="399"/>
      <c r="H5" s="399"/>
      <c r="I5" s="399"/>
      <c r="J5" s="239"/>
      <c r="K5" s="239"/>
      <c r="L5" s="239"/>
      <c r="M5" s="239"/>
      <c r="N5" s="239"/>
      <c r="O5" s="236"/>
      <c r="P5" s="255"/>
      <c r="Q5" s="255"/>
      <c r="R5" s="255"/>
      <c r="S5" s="255"/>
      <c r="T5" s="255"/>
      <c r="U5" s="238"/>
      <c r="V5" s="238"/>
      <c r="W5" s="238"/>
      <c r="X5" s="238"/>
      <c r="Y5" s="254"/>
      <c r="Z5" s="254"/>
      <c r="AA5" s="246" t="s">
        <v>7</v>
      </c>
      <c r="AB5" s="251">
        <f t="shared" si="0"/>
        <v>37</v>
      </c>
      <c r="AC5" s="246">
        <f t="shared" si="1"/>
        <v>50</v>
      </c>
      <c r="AD5" s="251">
        <f t="shared" si="2"/>
        <v>27</v>
      </c>
      <c r="AE5" s="246">
        <f t="shared" si="1"/>
        <v>40</v>
      </c>
      <c r="AF5" s="246">
        <f>AF3</f>
        <v>13</v>
      </c>
      <c r="AG5" s="246">
        <f>AG3</f>
        <v>13</v>
      </c>
      <c r="AH5" s="265"/>
      <c r="AI5" s="254"/>
      <c r="AJ5" s="254"/>
      <c r="AK5" s="238"/>
    </row>
    <row r="6" spans="1:37" s="240" customFormat="1" ht="17.100000000000001" customHeight="1">
      <c r="A6" s="239"/>
      <c r="B6" s="402"/>
      <c r="C6" s="402"/>
      <c r="D6" s="402"/>
      <c r="E6" s="239"/>
      <c r="F6" s="399"/>
      <c r="G6" s="399"/>
      <c r="H6" s="399"/>
      <c r="I6" s="399"/>
      <c r="J6" s="239"/>
      <c r="K6" s="239"/>
      <c r="L6" s="239"/>
      <c r="M6" s="239"/>
      <c r="N6" s="239"/>
      <c r="O6" s="236"/>
      <c r="P6" s="255"/>
      <c r="Q6" s="255"/>
      <c r="R6" s="255"/>
      <c r="S6" s="255"/>
      <c r="T6" s="255"/>
      <c r="U6" s="238"/>
      <c r="V6" s="238"/>
      <c r="W6" s="238"/>
      <c r="X6" s="238"/>
      <c r="Y6" s="254"/>
      <c r="Z6" s="254"/>
      <c r="AA6" s="246" t="s">
        <v>2</v>
      </c>
      <c r="AB6" s="251">
        <f t="shared" ref="AB6" si="3">AC6-AF6</f>
        <v>37</v>
      </c>
      <c r="AC6" s="246">
        <f t="shared" si="1"/>
        <v>50</v>
      </c>
      <c r="AD6" s="251">
        <f t="shared" ref="AD6" si="4">AE6-AG6</f>
        <v>27</v>
      </c>
      <c r="AE6" s="246">
        <f t="shared" si="1"/>
        <v>40</v>
      </c>
      <c r="AF6" s="246">
        <f>AF4</f>
        <v>13</v>
      </c>
      <c r="AG6" s="246">
        <f>AG4</f>
        <v>13</v>
      </c>
      <c r="AH6" s="265"/>
      <c r="AI6" s="254"/>
      <c r="AJ6" s="254"/>
      <c r="AK6" s="238"/>
    </row>
    <row r="7" spans="1:37" s="240" customFormat="1" ht="17.100000000000001" customHeight="1">
      <c r="A7" s="239"/>
      <c r="B7" s="270"/>
      <c r="C7" s="256"/>
      <c r="D7" s="270"/>
      <c r="E7" s="239"/>
      <c r="F7" s="399"/>
      <c r="G7" s="399"/>
      <c r="H7" s="399"/>
      <c r="I7" s="399"/>
      <c r="J7" s="239"/>
      <c r="K7" s="239"/>
      <c r="L7" s="239"/>
      <c r="M7" s="239"/>
      <c r="N7" s="239"/>
      <c r="O7" s="236"/>
      <c r="P7" s="255"/>
      <c r="Q7" s="255"/>
      <c r="R7" s="255"/>
      <c r="S7" s="255"/>
      <c r="T7" s="255"/>
      <c r="U7" s="238"/>
      <c r="V7" s="238"/>
      <c r="W7" s="238"/>
      <c r="X7" s="238"/>
      <c r="Y7" s="254"/>
      <c r="Z7" s="254"/>
      <c r="AA7" s="262"/>
      <c r="AB7" s="262"/>
      <c r="AC7" s="262"/>
      <c r="AD7" s="262"/>
      <c r="AE7" s="262"/>
      <c r="AF7" s="262"/>
      <c r="AG7" s="262"/>
      <c r="AH7" s="265"/>
      <c r="AI7" s="254"/>
      <c r="AJ7" s="254"/>
      <c r="AK7" s="238"/>
    </row>
    <row r="8" spans="1:37" s="240" customFormat="1" ht="17.100000000000001" customHeight="1">
      <c r="A8" s="239"/>
      <c r="B8" s="270"/>
      <c r="C8" s="256"/>
      <c r="D8" s="270"/>
      <c r="E8" s="239"/>
      <c r="F8" s="399"/>
      <c r="G8" s="399"/>
      <c r="H8" s="399"/>
      <c r="I8" s="399"/>
      <c r="J8" s="239"/>
      <c r="K8" s="239"/>
      <c r="L8" s="239"/>
      <c r="M8" s="239"/>
      <c r="N8" s="239"/>
      <c r="O8" s="236"/>
      <c r="P8" s="255"/>
      <c r="Q8" s="255"/>
      <c r="R8" s="255"/>
      <c r="S8" s="255"/>
      <c r="T8" s="255"/>
      <c r="U8" s="238"/>
      <c r="V8" s="238"/>
      <c r="W8" s="238"/>
      <c r="X8" s="238"/>
      <c r="Y8" s="254"/>
      <c r="Z8" s="254"/>
      <c r="AA8" s="262"/>
      <c r="AB8" s="262"/>
      <c r="AC8" s="262"/>
      <c r="AD8" s="262"/>
      <c r="AE8" s="262"/>
      <c r="AF8" s="262"/>
      <c r="AG8" s="262"/>
      <c r="AH8" s="265"/>
      <c r="AI8" s="254"/>
      <c r="AJ8" s="254"/>
      <c r="AK8" s="238"/>
    </row>
    <row r="9" spans="1:37" s="240" customFormat="1" ht="17.100000000000001" customHeight="1">
      <c r="A9" s="239"/>
      <c r="B9" s="270"/>
      <c r="C9" s="256"/>
      <c r="D9" s="270"/>
      <c r="E9" s="239"/>
      <c r="F9" s="241"/>
      <c r="G9" s="241"/>
      <c r="H9" s="241"/>
      <c r="I9" s="241"/>
      <c r="J9" s="239"/>
      <c r="K9" s="239"/>
      <c r="L9" s="239"/>
      <c r="M9" s="239"/>
      <c r="N9" s="239"/>
      <c r="O9" s="236"/>
      <c r="P9" s="255"/>
      <c r="Q9" s="255"/>
      <c r="R9" s="255"/>
      <c r="S9" s="255"/>
      <c r="T9" s="255"/>
      <c r="U9" s="238"/>
      <c r="V9" s="238"/>
      <c r="W9" s="238"/>
      <c r="X9" s="238"/>
      <c r="Y9" s="254"/>
      <c r="Z9" s="254"/>
      <c r="AA9" s="262"/>
      <c r="AB9" s="262"/>
      <c r="AC9" s="262"/>
      <c r="AD9" s="262"/>
      <c r="AE9" s="262"/>
      <c r="AF9" s="262"/>
      <c r="AG9" s="262"/>
      <c r="AH9" s="262"/>
      <c r="AI9" s="254"/>
      <c r="AJ9" s="254"/>
      <c r="AK9" s="238"/>
    </row>
    <row r="10" spans="1:37" s="240" customFormat="1" ht="17.100000000000001" customHeight="1">
      <c r="A10" s="239"/>
      <c r="B10" s="270"/>
      <c r="C10" s="256"/>
      <c r="D10" s="270"/>
      <c r="E10" s="239"/>
      <c r="F10" s="399"/>
      <c r="G10" s="399"/>
      <c r="H10" s="399"/>
      <c r="I10" s="399"/>
      <c r="J10" s="239"/>
      <c r="K10" s="239"/>
      <c r="L10" s="239"/>
      <c r="M10" s="239"/>
      <c r="N10" s="239"/>
      <c r="O10" s="236"/>
      <c r="P10" s="255"/>
      <c r="Q10" s="255"/>
      <c r="R10" s="255"/>
      <c r="S10" s="255"/>
      <c r="T10" s="255"/>
      <c r="U10" s="238"/>
      <c r="V10" s="238"/>
      <c r="W10" s="238"/>
      <c r="X10" s="238"/>
      <c r="Y10" s="254"/>
      <c r="Z10" s="254"/>
      <c r="AA10" s="262"/>
      <c r="AB10" s="262"/>
      <c r="AC10" s="262"/>
      <c r="AD10" s="262"/>
      <c r="AE10" s="262"/>
      <c r="AF10" s="262"/>
      <c r="AG10" s="262"/>
      <c r="AH10" s="262"/>
      <c r="AI10" s="254"/>
      <c r="AJ10" s="254"/>
      <c r="AK10" s="238"/>
    </row>
    <row r="11" spans="1:37" s="240" customFormat="1" ht="17.100000000000001" customHeight="1">
      <c r="A11" s="239"/>
      <c r="B11" s="270"/>
      <c r="C11" s="256"/>
      <c r="D11" s="270"/>
      <c r="E11" s="239"/>
      <c r="F11" s="399"/>
      <c r="G11" s="399"/>
      <c r="H11" s="399"/>
      <c r="I11" s="399"/>
      <c r="J11" s="239"/>
      <c r="K11" s="239"/>
      <c r="L11" s="239"/>
      <c r="M11" s="239"/>
      <c r="N11" s="239"/>
      <c r="O11" s="236"/>
      <c r="P11" s="255"/>
      <c r="Q11" s="255"/>
      <c r="R11" s="255"/>
      <c r="S11" s="255"/>
      <c r="T11" s="255"/>
      <c r="U11" s="238"/>
      <c r="V11" s="238"/>
      <c r="W11" s="238"/>
      <c r="X11" s="238"/>
      <c r="Y11" s="254"/>
      <c r="Z11" s="254"/>
      <c r="AA11" s="262"/>
      <c r="AB11" s="262"/>
      <c r="AC11" s="262" t="s">
        <v>5</v>
      </c>
      <c r="AD11" s="262"/>
      <c r="AE11" s="262"/>
      <c r="AF11" s="262"/>
      <c r="AG11" s="262"/>
      <c r="AH11" s="262"/>
      <c r="AI11" s="254"/>
      <c r="AJ11" s="254"/>
      <c r="AK11" s="238"/>
    </row>
    <row r="12" spans="1:37" s="240" customFormat="1" ht="17.100000000000001" customHeight="1">
      <c r="A12" s="239"/>
      <c r="B12" s="270"/>
      <c r="C12" s="270"/>
      <c r="D12" s="270"/>
      <c r="E12" s="239"/>
      <c r="F12" s="399"/>
      <c r="G12" s="399"/>
      <c r="H12" s="399"/>
      <c r="I12" s="399"/>
      <c r="J12" s="239"/>
      <c r="K12" s="239"/>
      <c r="L12" s="239"/>
      <c r="M12" s="239"/>
      <c r="N12" s="239"/>
      <c r="O12" s="236"/>
      <c r="P12" s="255"/>
      <c r="Q12" s="255"/>
      <c r="R12" s="255"/>
      <c r="S12" s="255"/>
      <c r="T12" s="255"/>
      <c r="U12" s="238"/>
      <c r="V12" s="238"/>
      <c r="W12" s="238"/>
      <c r="X12" s="238"/>
      <c r="Y12" s="254"/>
      <c r="Z12" s="254"/>
      <c r="AA12" s="262" t="s">
        <v>18</v>
      </c>
      <c r="AB12" s="262">
        <v>0.5</v>
      </c>
      <c r="AC12" s="262" t="e">
        <f>E53+E54</f>
        <v>#VALUE!</v>
      </c>
      <c r="AD12" s="262"/>
      <c r="AE12" s="262"/>
      <c r="AF12" s="262"/>
      <c r="AG12" s="262"/>
      <c r="AH12" s="262"/>
      <c r="AI12" s="254"/>
      <c r="AJ12" s="254"/>
      <c r="AK12" s="238"/>
    </row>
    <row r="13" spans="1:37" s="240" customFormat="1" ht="17.100000000000001" customHeight="1">
      <c r="A13" s="239"/>
      <c r="B13" s="270"/>
      <c r="C13" s="270"/>
      <c r="D13" s="270"/>
      <c r="E13" s="239"/>
      <c r="F13" s="399"/>
      <c r="G13" s="399"/>
      <c r="H13" s="399"/>
      <c r="I13" s="399"/>
      <c r="J13" s="239"/>
      <c r="K13" s="239"/>
      <c r="L13" s="239"/>
      <c r="M13" s="239"/>
      <c r="N13" s="239"/>
      <c r="O13" s="236"/>
      <c r="P13" s="255"/>
      <c r="Q13" s="255"/>
      <c r="R13" s="255"/>
      <c r="S13" s="255"/>
      <c r="T13" s="255"/>
      <c r="U13" s="238"/>
      <c r="V13" s="238"/>
      <c r="W13" s="238"/>
      <c r="X13" s="238"/>
      <c r="Y13" s="254"/>
      <c r="Z13" s="254"/>
      <c r="AA13" s="262" t="s">
        <v>18</v>
      </c>
      <c r="AB13" s="262">
        <v>1.5</v>
      </c>
      <c r="AC13" s="262" t="e">
        <f>AC12</f>
        <v>#VALUE!</v>
      </c>
      <c r="AD13" s="262"/>
      <c r="AE13" s="262"/>
      <c r="AF13" s="262"/>
      <c r="AG13" s="262"/>
      <c r="AH13" s="262"/>
      <c r="AI13" s="254"/>
      <c r="AJ13" s="254"/>
      <c r="AK13" s="238"/>
    </row>
    <row r="14" spans="1:37" s="240" customFormat="1" ht="17.100000000000001" customHeight="1">
      <c r="A14" s="239"/>
      <c r="B14" s="270"/>
      <c r="C14" s="256"/>
      <c r="D14" s="226"/>
      <c r="E14" s="325" t="s">
        <v>213</v>
      </c>
      <c r="F14" s="210"/>
      <c r="G14" s="325" t="s">
        <v>208</v>
      </c>
      <c r="H14" s="234"/>
      <c r="I14" s="324"/>
      <c r="J14" s="239"/>
      <c r="K14" s="239"/>
      <c r="L14" s="239"/>
      <c r="M14" s="239"/>
      <c r="N14" s="239"/>
      <c r="O14" s="236"/>
      <c r="P14" s="255"/>
      <c r="Q14" s="255"/>
      <c r="R14" s="255"/>
      <c r="S14" s="255"/>
      <c r="T14" s="255"/>
      <c r="U14" s="258"/>
      <c r="V14" s="258"/>
      <c r="W14" s="162"/>
      <c r="X14" s="162"/>
      <c r="Y14" s="254"/>
      <c r="Z14" s="254"/>
      <c r="AA14" s="262" t="s">
        <v>19</v>
      </c>
      <c r="AB14" s="262">
        <v>1.5</v>
      </c>
      <c r="AC14" s="262" t="e">
        <f>F53+F54</f>
        <v>#VALUE!</v>
      </c>
      <c r="AD14" s="262"/>
      <c r="AE14" s="262"/>
      <c r="AF14" s="262"/>
      <c r="AG14" s="262"/>
      <c r="AH14" s="262"/>
      <c r="AI14" s="254"/>
      <c r="AJ14" s="254"/>
      <c r="AK14" s="238"/>
    </row>
    <row r="15" spans="1:37" s="240" customFormat="1" ht="17.100000000000001" customHeight="1">
      <c r="A15" s="239"/>
      <c r="B15" s="270"/>
      <c r="C15" s="256"/>
      <c r="D15" s="226"/>
      <c r="E15" s="325" t="s">
        <v>206</v>
      </c>
      <c r="F15" s="210"/>
      <c r="G15" s="325" t="s">
        <v>214</v>
      </c>
      <c r="H15" s="234"/>
      <c r="I15" s="324"/>
      <c r="J15" s="239"/>
      <c r="K15" s="239"/>
      <c r="L15" s="239"/>
      <c r="M15" s="239"/>
      <c r="N15" s="239"/>
      <c r="O15" s="236"/>
      <c r="P15" s="255"/>
      <c r="Q15" s="255"/>
      <c r="R15" s="255"/>
      <c r="S15" s="255"/>
      <c r="T15" s="255"/>
      <c r="Y15" s="254"/>
      <c r="Z15" s="254"/>
      <c r="AA15" s="262" t="s">
        <v>19</v>
      </c>
      <c r="AB15" s="262">
        <v>2.5</v>
      </c>
      <c r="AC15" s="262" t="e">
        <f>AC14</f>
        <v>#VALUE!</v>
      </c>
      <c r="AD15" s="262"/>
      <c r="AE15" s="262"/>
      <c r="AF15" s="262"/>
      <c r="AG15" s="262"/>
      <c r="AH15" s="262"/>
      <c r="AI15" s="254"/>
      <c r="AJ15" s="254"/>
      <c r="AK15" s="238"/>
    </row>
    <row r="16" spans="1:37" ht="17.100000000000001" customHeight="1">
      <c r="B16" s="271"/>
      <c r="C16" s="257"/>
      <c r="D16" s="271"/>
      <c r="U16" s="240"/>
      <c r="V16" s="240"/>
      <c r="W16" s="240"/>
      <c r="X16" s="240"/>
      <c r="AA16" s="262" t="s">
        <v>20</v>
      </c>
      <c r="AB16" s="262">
        <v>2.5</v>
      </c>
      <c r="AC16" s="262" t="e">
        <f>G53+G54</f>
        <v>#VALUE!</v>
      </c>
    </row>
    <row r="17" spans="1:37" ht="17.100000000000001" customHeight="1">
      <c r="A17" s="231"/>
      <c r="B17" s="271"/>
      <c r="C17" s="272"/>
      <c r="D17" s="272"/>
      <c r="F17" s="232"/>
      <c r="G17" s="232"/>
      <c r="H17" s="232"/>
      <c r="I17" s="232"/>
      <c r="J17" s="232"/>
      <c r="K17" s="232"/>
      <c r="L17" s="232"/>
      <c r="M17" s="232"/>
      <c r="N17" s="232"/>
      <c r="O17" s="232"/>
      <c r="Y17" s="261"/>
      <c r="Z17" s="261"/>
      <c r="AA17" s="262" t="s">
        <v>20</v>
      </c>
      <c r="AB17" s="262">
        <v>3.5</v>
      </c>
      <c r="AC17" s="262" t="e">
        <f>AC16</f>
        <v>#VALUE!</v>
      </c>
      <c r="AF17" s="265"/>
      <c r="AG17" s="265"/>
    </row>
    <row r="18" spans="1:37" s="240" customFormat="1" ht="17.100000000000001" customHeight="1">
      <c r="A18" s="239"/>
      <c r="B18" s="400" t="s">
        <v>173</v>
      </c>
      <c r="C18" s="401"/>
      <c r="D18" s="401"/>
      <c r="E18" s="239"/>
      <c r="F18" s="239"/>
      <c r="G18" s="239"/>
      <c r="H18" s="239"/>
      <c r="I18" s="239"/>
      <c r="J18" s="239"/>
      <c r="K18" s="239"/>
      <c r="L18" s="239"/>
      <c r="M18" s="239"/>
      <c r="N18" s="239"/>
      <c r="O18" s="239"/>
      <c r="P18" s="255"/>
      <c r="Q18" s="255"/>
      <c r="R18" s="255"/>
      <c r="S18" s="255"/>
      <c r="T18" s="255"/>
      <c r="U18" s="258"/>
      <c r="V18" s="258"/>
      <c r="W18" s="162"/>
      <c r="X18" s="162"/>
      <c r="Y18" s="254"/>
      <c r="Z18" s="254"/>
      <c r="AA18" s="262" t="s">
        <v>6</v>
      </c>
      <c r="AB18" s="262">
        <v>3.5</v>
      </c>
      <c r="AC18" s="262" t="e">
        <f>H53+H54</f>
        <v>#VALUE!</v>
      </c>
      <c r="AD18" s="262"/>
      <c r="AE18" s="262"/>
      <c r="AF18" s="262"/>
      <c r="AG18" s="262"/>
      <c r="AH18" s="262"/>
      <c r="AI18" s="254"/>
      <c r="AJ18" s="254"/>
      <c r="AK18" s="238"/>
    </row>
    <row r="19" spans="1:37" s="240" customFormat="1" ht="17.100000000000001" customHeight="1">
      <c r="A19" s="239"/>
      <c r="B19" s="273"/>
      <c r="C19" s="273"/>
      <c r="D19" s="273"/>
      <c r="E19" s="239"/>
      <c r="F19" s="239"/>
      <c r="G19" s="239"/>
      <c r="H19" s="239"/>
      <c r="I19" s="239"/>
      <c r="J19" s="239"/>
      <c r="K19" s="239"/>
      <c r="L19" s="239"/>
      <c r="M19" s="239"/>
      <c r="N19" s="239"/>
      <c r="O19" s="239"/>
      <c r="P19" s="255"/>
      <c r="Q19" s="255"/>
      <c r="R19" s="255"/>
      <c r="S19" s="255"/>
      <c r="T19" s="255"/>
      <c r="U19" s="258"/>
      <c r="V19" s="258"/>
      <c r="W19" s="162"/>
      <c r="X19" s="162"/>
      <c r="Y19" s="254"/>
      <c r="Z19" s="254"/>
      <c r="AA19" s="262" t="s">
        <v>6</v>
      </c>
      <c r="AB19" s="262">
        <v>4.5</v>
      </c>
      <c r="AC19" s="262" t="e">
        <f>AC18</f>
        <v>#VALUE!</v>
      </c>
      <c r="AD19" s="262"/>
      <c r="AE19" s="262"/>
      <c r="AF19" s="262"/>
      <c r="AG19" s="262"/>
      <c r="AH19" s="262"/>
      <c r="AI19" s="254"/>
      <c r="AJ19" s="254"/>
      <c r="AK19" s="238"/>
    </row>
    <row r="20" spans="1:37" ht="159.94999999999999" customHeight="1">
      <c r="B20" s="274"/>
      <c r="C20" s="271"/>
      <c r="D20" s="271"/>
    </row>
    <row r="21" spans="1:37" ht="17.100000000000001" customHeight="1">
      <c r="B21" s="271"/>
      <c r="C21" s="271"/>
      <c r="D21" s="271"/>
    </row>
    <row r="22" spans="1:37" ht="17.100000000000001" customHeight="1">
      <c r="B22" s="271"/>
      <c r="C22" s="271"/>
      <c r="D22" s="271"/>
    </row>
    <row r="23" spans="1:37" ht="17.100000000000001" customHeight="1">
      <c r="B23" s="271"/>
      <c r="C23" s="271"/>
      <c r="D23" s="271"/>
    </row>
    <row r="24" spans="1:37" ht="17.100000000000001" customHeight="1">
      <c r="B24" s="271"/>
      <c r="C24" s="271"/>
      <c r="D24" s="271"/>
    </row>
    <row r="25" spans="1:37" ht="17.100000000000001" customHeight="1">
      <c r="C25" s="319"/>
      <c r="D25" s="319"/>
      <c r="E25" s="210"/>
      <c r="F25" s="210"/>
      <c r="G25" s="210"/>
      <c r="AB25" s="325" t="s">
        <v>221</v>
      </c>
    </row>
    <row r="26" spans="1:37" ht="17.100000000000001" customHeight="1">
      <c r="B26" s="226"/>
      <c r="C26" s="226"/>
      <c r="AB26" s="325" t="s">
        <v>220</v>
      </c>
    </row>
    <row r="27" spans="1:37" ht="17.100000000000001" customHeight="1">
      <c r="B27" s="226"/>
      <c r="C27" s="226"/>
      <c r="AB27" s="325" t="s">
        <v>222</v>
      </c>
    </row>
    <row r="28" spans="1:37" ht="17.100000000000001" customHeight="1">
      <c r="B28" s="318" t="s">
        <v>207</v>
      </c>
      <c r="C28" s="226"/>
      <c r="D28" s="226"/>
      <c r="E28" s="325" t="e">
        <f>IF(AC3&gt;AC12,"",AB25)</f>
        <v>#VALUE!</v>
      </c>
      <c r="F28" s="210"/>
      <c r="G28" s="325" t="e">
        <f>IF(AE3&gt;AC12,"",AB25)</f>
        <v>#VALUE!</v>
      </c>
    </row>
    <row r="29" spans="1:37" ht="17.100000000000001" customHeight="1">
      <c r="B29" s="226"/>
      <c r="C29" s="226"/>
      <c r="D29" s="226"/>
      <c r="E29" s="325" t="e">
        <f>IF(AC4&gt;AC14,"",AB26)</f>
        <v>#VALUE!</v>
      </c>
      <c r="F29" s="210"/>
      <c r="G29" s="325" t="e">
        <f>IF(AE4&gt;AC14,"",AB26)</f>
        <v>#VALUE!</v>
      </c>
    </row>
    <row r="30" spans="1:37" ht="17.100000000000001" customHeight="1">
      <c r="B30" s="271"/>
      <c r="C30" s="271"/>
      <c r="D30" s="271"/>
      <c r="E30" s="325" t="e">
        <f>IF(AC6&gt;AC18,"",AB27)</f>
        <v>#VALUE!</v>
      </c>
      <c r="F30" s="210"/>
      <c r="G30" s="325" t="e">
        <f>IF(AE6&gt;AC18,"",AB27)</f>
        <v>#VALUE!</v>
      </c>
    </row>
    <row r="31" spans="1:37" ht="17.100000000000001" customHeight="1">
      <c r="B31" s="271"/>
      <c r="C31" s="271"/>
      <c r="D31" s="271"/>
    </row>
    <row r="32" spans="1:37" ht="17.100000000000001" customHeight="1">
      <c r="B32" s="369" t="s">
        <v>170</v>
      </c>
      <c r="C32" s="370"/>
      <c r="D32" s="370"/>
      <c r="E32" s="264"/>
      <c r="F32" s="210"/>
      <c r="G32" s="210"/>
      <c r="H32" s="210"/>
    </row>
    <row r="33" spans="2:12" ht="17.100000000000001" customHeight="1">
      <c r="B33" s="210"/>
      <c r="C33" s="229"/>
      <c r="D33" s="210"/>
      <c r="E33" s="210"/>
      <c r="F33" s="210"/>
      <c r="G33" s="210"/>
      <c r="H33" s="210"/>
    </row>
    <row r="34" spans="2:12" ht="21.95" hidden="1" customHeight="1">
      <c r="B34" s="384"/>
      <c r="C34" s="385"/>
      <c r="D34" s="386"/>
      <c r="E34" s="384"/>
      <c r="F34" s="386"/>
      <c r="G34" s="371"/>
      <c r="H34" s="371"/>
      <c r="I34" s="397"/>
      <c r="J34" s="398"/>
      <c r="K34" s="397"/>
      <c r="L34" s="398"/>
    </row>
    <row r="35" spans="2:12" ht="21.95" customHeight="1">
      <c r="B35" s="372" t="s">
        <v>175</v>
      </c>
      <c r="C35" s="373"/>
      <c r="D35" s="373"/>
      <c r="E35" s="364"/>
      <c r="F35" s="365"/>
      <c r="G35" s="374"/>
      <c r="H35" s="374"/>
      <c r="I35" s="395"/>
      <c r="J35" s="395"/>
      <c r="K35" s="395"/>
      <c r="L35" s="395"/>
    </row>
    <row r="36" spans="2:12" ht="21.95" customHeight="1">
      <c r="B36" s="372" t="s">
        <v>156</v>
      </c>
      <c r="C36" s="373"/>
      <c r="D36" s="373"/>
      <c r="E36" s="364"/>
      <c r="F36" s="365"/>
      <c r="G36" s="374"/>
      <c r="H36" s="374"/>
      <c r="I36" s="395"/>
      <c r="J36" s="395"/>
      <c r="K36" s="395"/>
      <c r="L36" s="395"/>
    </row>
    <row r="37" spans="2:12" ht="21.95" customHeight="1">
      <c r="B37" s="376" t="s">
        <v>184</v>
      </c>
      <c r="C37" s="362"/>
      <c r="D37" s="363"/>
      <c r="E37" s="377"/>
      <c r="F37" s="378"/>
      <c r="G37" s="375"/>
      <c r="H37" s="375"/>
      <c r="I37" s="396"/>
      <c r="J37" s="396"/>
      <c r="K37" s="396"/>
      <c r="L37" s="396"/>
    </row>
    <row r="38" spans="2:12" ht="21.95" customHeight="1">
      <c r="B38" s="361" t="s">
        <v>157</v>
      </c>
      <c r="C38" s="362"/>
      <c r="D38" s="363"/>
      <c r="E38" s="364"/>
      <c r="F38" s="365"/>
      <c r="G38" s="374"/>
      <c r="H38" s="374"/>
      <c r="I38" s="395"/>
      <c r="J38" s="395"/>
      <c r="K38" s="395"/>
      <c r="L38" s="395"/>
    </row>
    <row r="39" spans="2:12" ht="21.95" customHeight="1">
      <c r="B39" s="361" t="s">
        <v>176</v>
      </c>
      <c r="C39" s="362"/>
      <c r="D39" s="363"/>
      <c r="E39" s="364"/>
      <c r="F39" s="365"/>
      <c r="G39" s="374"/>
      <c r="H39" s="374"/>
    </row>
    <row r="40" spans="2:12" ht="21.95" customHeight="1">
      <c r="B40" s="361" t="s">
        <v>181</v>
      </c>
      <c r="C40" s="362"/>
      <c r="D40" s="363"/>
      <c r="E40" s="377"/>
      <c r="F40" s="378"/>
      <c r="G40" s="377"/>
      <c r="H40" s="378"/>
    </row>
    <row r="41" spans="2:12" ht="21.95" customHeight="1">
      <c r="B41" s="361" t="s">
        <v>177</v>
      </c>
      <c r="C41" s="362"/>
      <c r="D41" s="363"/>
      <c r="E41" s="364"/>
      <c r="F41" s="365"/>
      <c r="G41" s="364"/>
      <c r="H41" s="365"/>
    </row>
    <row r="42" spans="2:12" ht="21.95" customHeight="1">
      <c r="B42" s="361" t="s">
        <v>227</v>
      </c>
      <c r="C42" s="362"/>
      <c r="D42" s="363"/>
      <c r="E42" s="364"/>
      <c r="F42" s="365"/>
      <c r="G42" s="364"/>
      <c r="H42" s="365"/>
    </row>
    <row r="43" spans="2:12" ht="21.95" customHeight="1">
      <c r="B43" s="361" t="s">
        <v>228</v>
      </c>
      <c r="C43" s="362"/>
      <c r="D43" s="363"/>
      <c r="E43" s="364"/>
      <c r="F43" s="365"/>
      <c r="G43" s="364"/>
      <c r="H43" s="365"/>
    </row>
    <row r="44" spans="2:12" ht="21.95" customHeight="1">
      <c r="B44" s="361" t="s">
        <v>229</v>
      </c>
      <c r="C44" s="362"/>
      <c r="D44" s="363"/>
      <c r="E44" s="364"/>
      <c r="F44" s="365"/>
      <c r="G44" s="364"/>
      <c r="H44" s="365"/>
    </row>
    <row r="45" spans="2:12">
      <c r="B45" s="210"/>
      <c r="C45" s="242"/>
      <c r="D45" s="210"/>
      <c r="E45" s="210"/>
      <c r="F45" s="210"/>
      <c r="G45" s="210"/>
      <c r="H45" s="210"/>
    </row>
    <row r="46" spans="2:12" ht="21">
      <c r="B46" s="326" t="s">
        <v>169</v>
      </c>
      <c r="C46" s="327"/>
      <c r="D46" s="327"/>
      <c r="E46" s="333"/>
      <c r="F46" s="333"/>
      <c r="G46" s="333"/>
      <c r="H46" s="333"/>
    </row>
    <row r="47" spans="2:12">
      <c r="B47" s="373"/>
      <c r="C47" s="373"/>
      <c r="D47" s="373"/>
      <c r="E47" s="279" t="s">
        <v>132</v>
      </c>
      <c r="F47" s="279" t="s">
        <v>133</v>
      </c>
      <c r="G47" s="279" t="s">
        <v>134</v>
      </c>
      <c r="H47" s="279" t="s">
        <v>135</v>
      </c>
    </row>
    <row r="48" spans="2:12">
      <c r="B48" s="361" t="s">
        <v>174</v>
      </c>
      <c r="C48" s="362"/>
      <c r="D48" s="363"/>
      <c r="E48" s="366" t="s">
        <v>223</v>
      </c>
      <c r="F48" s="367"/>
      <c r="G48" s="367"/>
      <c r="H48" s="368"/>
    </row>
    <row r="49" spans="2:8">
      <c r="B49" s="373" t="s">
        <v>185</v>
      </c>
      <c r="C49" s="373"/>
      <c r="D49" s="373"/>
      <c r="E49" s="279" t="s">
        <v>223</v>
      </c>
      <c r="F49" s="279" t="s">
        <v>223</v>
      </c>
      <c r="G49" s="279" t="s">
        <v>223</v>
      </c>
      <c r="H49" s="279" t="s">
        <v>223</v>
      </c>
    </row>
    <row r="50" spans="2:8">
      <c r="B50" s="373" t="s">
        <v>186</v>
      </c>
      <c r="C50" s="373"/>
      <c r="D50" s="373"/>
      <c r="E50" s="279" t="s">
        <v>223</v>
      </c>
      <c r="F50" s="279" t="s">
        <v>223</v>
      </c>
      <c r="G50" s="279" t="s">
        <v>223</v>
      </c>
      <c r="H50" s="279" t="s">
        <v>223</v>
      </c>
    </row>
    <row r="51" spans="2:8">
      <c r="B51" s="373" t="s">
        <v>187</v>
      </c>
      <c r="C51" s="373"/>
      <c r="D51" s="373"/>
      <c r="E51" s="279" t="s">
        <v>223</v>
      </c>
      <c r="F51" s="279" t="s">
        <v>223</v>
      </c>
      <c r="G51" s="279" t="s">
        <v>223</v>
      </c>
      <c r="H51" s="279" t="s">
        <v>223</v>
      </c>
    </row>
    <row r="52" spans="2:8">
      <c r="B52" s="373" t="s">
        <v>188</v>
      </c>
      <c r="C52" s="373"/>
      <c r="D52" s="373"/>
      <c r="E52" s="279" t="s">
        <v>223</v>
      </c>
      <c r="F52" s="279" t="s">
        <v>223</v>
      </c>
      <c r="G52" s="279" t="s">
        <v>223</v>
      </c>
      <c r="H52" s="279" t="s">
        <v>223</v>
      </c>
    </row>
    <row r="53" spans="2:8">
      <c r="B53" s="373" t="s">
        <v>189</v>
      </c>
      <c r="C53" s="373"/>
      <c r="D53" s="373"/>
      <c r="E53" s="279" t="s">
        <v>223</v>
      </c>
      <c r="F53" s="279" t="s">
        <v>223</v>
      </c>
      <c r="G53" s="279" t="s">
        <v>223</v>
      </c>
      <c r="H53" s="279" t="s">
        <v>223</v>
      </c>
    </row>
    <row r="54" spans="2:8">
      <c r="B54" s="373" t="s">
        <v>190</v>
      </c>
      <c r="C54" s="373"/>
      <c r="D54" s="373"/>
      <c r="E54" s="279" t="s">
        <v>223</v>
      </c>
      <c r="F54" s="279" t="s">
        <v>223</v>
      </c>
      <c r="G54" s="279" t="s">
        <v>223</v>
      </c>
      <c r="H54" s="279" t="s">
        <v>223</v>
      </c>
    </row>
    <row r="55" spans="2:8">
      <c r="B55" s="379"/>
      <c r="C55" s="379"/>
      <c r="D55" s="379"/>
      <c r="E55" s="210"/>
      <c r="F55" s="210"/>
      <c r="G55" s="210"/>
      <c r="H55" s="210"/>
    </row>
    <row r="56" spans="2:8">
      <c r="B56" s="366"/>
      <c r="C56" s="367"/>
      <c r="D56" s="368"/>
      <c r="E56" s="279" t="s">
        <v>158</v>
      </c>
      <c r="F56" s="279" t="s">
        <v>159</v>
      </c>
      <c r="G56" s="279" t="s">
        <v>160</v>
      </c>
      <c r="H56" s="279"/>
    </row>
    <row r="57" spans="2:8">
      <c r="B57" s="373" t="s">
        <v>188</v>
      </c>
      <c r="C57" s="373"/>
      <c r="D57" s="373"/>
      <c r="E57" s="279" t="s">
        <v>223</v>
      </c>
      <c r="F57" s="279" t="s">
        <v>223</v>
      </c>
      <c r="G57" s="279" t="s">
        <v>223</v>
      </c>
      <c r="H57" s="279"/>
    </row>
    <row r="58" spans="2:8">
      <c r="B58" s="373" t="s">
        <v>189</v>
      </c>
      <c r="C58" s="373"/>
      <c r="D58" s="373"/>
      <c r="E58" s="279" t="s">
        <v>223</v>
      </c>
      <c r="F58" s="279" t="s">
        <v>223</v>
      </c>
      <c r="G58" s="279" t="s">
        <v>223</v>
      </c>
      <c r="H58" s="279"/>
    </row>
    <row r="59" spans="2:8">
      <c r="B59" s="373" t="s">
        <v>190</v>
      </c>
      <c r="C59" s="373"/>
      <c r="D59" s="373"/>
      <c r="E59" s="279" t="s">
        <v>223</v>
      </c>
      <c r="F59" s="279" t="s">
        <v>223</v>
      </c>
      <c r="G59" s="279" t="s">
        <v>223</v>
      </c>
      <c r="H59" s="279"/>
    </row>
    <row r="60" spans="2:8">
      <c r="B60" s="210"/>
      <c r="C60" s="210"/>
      <c r="D60" s="210"/>
      <c r="E60" s="210"/>
      <c r="F60" s="210"/>
      <c r="G60" s="210"/>
      <c r="H60" s="210"/>
    </row>
    <row r="61" spans="2:8">
      <c r="B61" s="371"/>
      <c r="C61" s="371"/>
      <c r="D61" s="371"/>
      <c r="E61" s="279" t="s">
        <v>161</v>
      </c>
      <c r="F61" s="279" t="s">
        <v>162</v>
      </c>
      <c r="G61" s="279"/>
      <c r="H61" s="279"/>
    </row>
    <row r="62" spans="2:8">
      <c r="B62" s="372" t="s">
        <v>178</v>
      </c>
      <c r="C62" s="373"/>
      <c r="D62" s="373"/>
      <c r="E62" s="279" t="s">
        <v>223</v>
      </c>
      <c r="F62" s="279" t="s">
        <v>223</v>
      </c>
      <c r="G62" s="279"/>
      <c r="H62" s="279"/>
    </row>
    <row r="63" spans="2:8">
      <c r="B63" s="372" t="s">
        <v>179</v>
      </c>
      <c r="C63" s="373"/>
      <c r="D63" s="373"/>
      <c r="E63" s="279" t="s">
        <v>223</v>
      </c>
      <c r="F63" s="279" t="s">
        <v>223</v>
      </c>
      <c r="G63" s="279"/>
      <c r="H63" s="279"/>
    </row>
    <row r="64" spans="2:8">
      <c r="B64" s="372" t="s">
        <v>180</v>
      </c>
      <c r="C64" s="373"/>
      <c r="D64" s="373"/>
      <c r="E64" s="279" t="s">
        <v>223</v>
      </c>
      <c r="F64" s="279" t="s">
        <v>223</v>
      </c>
      <c r="G64" s="279"/>
      <c r="H64" s="279"/>
    </row>
  </sheetData>
  <dataConsolidate function="max"/>
  <mergeCells count="78">
    <mergeCell ref="E2:F2"/>
    <mergeCell ref="G2:H2"/>
    <mergeCell ref="F12:I12"/>
    <mergeCell ref="B3:D3"/>
    <mergeCell ref="B4:D4"/>
    <mergeCell ref="B5:D5"/>
    <mergeCell ref="F5:I5"/>
    <mergeCell ref="B6:D6"/>
    <mergeCell ref="F6:I6"/>
    <mergeCell ref="F7:I7"/>
    <mergeCell ref="F8:I8"/>
    <mergeCell ref="F10:I10"/>
    <mergeCell ref="F11:I11"/>
    <mergeCell ref="B32:D32"/>
    <mergeCell ref="B18:D18"/>
    <mergeCell ref="F13:I13"/>
    <mergeCell ref="K34:L34"/>
    <mergeCell ref="B35:D35"/>
    <mergeCell ref="E35:F35"/>
    <mergeCell ref="G35:H35"/>
    <mergeCell ref="I35:J35"/>
    <mergeCell ref="K35:L35"/>
    <mergeCell ref="B34:D34"/>
    <mergeCell ref="E34:F34"/>
    <mergeCell ref="G34:H34"/>
    <mergeCell ref="I34:J34"/>
    <mergeCell ref="I38:J38"/>
    <mergeCell ref="K38:L38"/>
    <mergeCell ref="B36:D36"/>
    <mergeCell ref="E36:F36"/>
    <mergeCell ref="G36:H36"/>
    <mergeCell ref="I36:J36"/>
    <mergeCell ref="K36:L36"/>
    <mergeCell ref="B37:D37"/>
    <mergeCell ref="E37:F37"/>
    <mergeCell ref="G37:H37"/>
    <mergeCell ref="I37:J37"/>
    <mergeCell ref="K37:L37"/>
    <mergeCell ref="E48:H48"/>
    <mergeCell ref="B49:D49"/>
    <mergeCell ref="B50:D50"/>
    <mergeCell ref="B38:D38"/>
    <mergeCell ref="E38:F38"/>
    <mergeCell ref="G38:H38"/>
    <mergeCell ref="B39:D39"/>
    <mergeCell ref="E39:F39"/>
    <mergeCell ref="G39:H39"/>
    <mergeCell ref="B40:D40"/>
    <mergeCell ref="E40:F40"/>
    <mergeCell ref="G40:H40"/>
    <mergeCell ref="B41:D41"/>
    <mergeCell ref="E41:F41"/>
    <mergeCell ref="G41:H41"/>
    <mergeCell ref="B42:D42"/>
    <mergeCell ref="B1:I1"/>
    <mergeCell ref="B62:D62"/>
    <mergeCell ref="B63:D63"/>
    <mergeCell ref="B64:D64"/>
    <mergeCell ref="B56:D56"/>
    <mergeCell ref="B57:D57"/>
    <mergeCell ref="B58:D58"/>
    <mergeCell ref="B59:D59"/>
    <mergeCell ref="B61:D61"/>
    <mergeCell ref="B51:D51"/>
    <mergeCell ref="B52:D52"/>
    <mergeCell ref="B53:D53"/>
    <mergeCell ref="B54:D54"/>
    <mergeCell ref="B55:D55"/>
    <mergeCell ref="B47:D47"/>
    <mergeCell ref="B48:D48"/>
    <mergeCell ref="B44:D44"/>
    <mergeCell ref="E44:F44"/>
    <mergeCell ref="G44:H44"/>
    <mergeCell ref="E42:F42"/>
    <mergeCell ref="G42:H42"/>
    <mergeCell ref="B43:D43"/>
    <mergeCell ref="E43:F43"/>
    <mergeCell ref="G43:H43"/>
  </mergeCells>
  <phoneticPr fontId="55" type="noConversion"/>
  <conditionalFormatting sqref="E46:E48 G46">
    <cfRule type="cellIs" dxfId="31" priority="13" operator="equal">
      <formula>"0 %"</formula>
    </cfRule>
    <cfRule type="cellIs" dxfId="30" priority="14" operator="equal">
      <formula>"0 MW"</formula>
    </cfRule>
    <cfRule type="cellIs" dxfId="29" priority="15" operator="equal">
      <formula>"0 %"</formula>
    </cfRule>
    <cfRule type="cellIs" dxfId="28" priority="16" operator="equal">
      <formula>"0 MW"</formula>
    </cfRule>
  </conditionalFormatting>
  <conditionalFormatting sqref="B56 E56:H56">
    <cfRule type="cellIs" dxfId="27" priority="9" operator="equal">
      <formula>"0 %"</formula>
    </cfRule>
    <cfRule type="cellIs" dxfId="26" priority="10" operator="equal">
      <formula>"0 MW"</formula>
    </cfRule>
    <cfRule type="cellIs" dxfId="25" priority="11" operator="equal">
      <formula>"0 %"</formula>
    </cfRule>
    <cfRule type="cellIs" dxfId="24" priority="12" operator="equal">
      <formula>"0 MW"</formula>
    </cfRule>
  </conditionalFormatting>
  <conditionalFormatting sqref="G61:H64">
    <cfRule type="cellIs" dxfId="23" priority="5" operator="equal">
      <formula>"0 %"</formula>
    </cfRule>
    <cfRule type="cellIs" dxfId="22" priority="6" operator="equal">
      <formula>"0 MW"</formula>
    </cfRule>
    <cfRule type="cellIs" dxfId="21" priority="7" operator="equal">
      <formula>"0 %"</formula>
    </cfRule>
    <cfRule type="cellIs" dxfId="20" priority="8" operator="equal">
      <formula>"0 MW"</formula>
    </cfRule>
  </conditionalFormatting>
  <conditionalFormatting sqref="E61:F61">
    <cfRule type="cellIs" dxfId="19" priority="1" operator="equal">
      <formula>"0 %"</formula>
    </cfRule>
    <cfRule type="cellIs" dxfId="18" priority="2" operator="equal">
      <formula>"0 MW"</formula>
    </cfRule>
    <cfRule type="cellIs" dxfId="17" priority="3" operator="equal">
      <formula>"0 %"</formula>
    </cfRule>
    <cfRule type="cellIs" dxfId="16" priority="4" operator="equal">
      <formula>"0 MW"</formula>
    </cfRule>
  </conditionalFormatting>
  <pageMargins left="0.75" right="0.75" top="1" bottom="1" header="0.5" footer="0.5"/>
  <pageSetup paperSize="9" scale="47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8</xdr:col>
                <xdr:colOff>495300</xdr:colOff>
                <xdr:row>0</xdr:row>
                <xdr:rowOff>123825</xdr:rowOff>
              </from>
              <to>
                <xdr:col>9</xdr:col>
                <xdr:colOff>1019175</xdr:colOff>
                <xdr:row>0</xdr:row>
                <xdr:rowOff>561975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B119"/>
  <sheetViews>
    <sheetView zoomScaleNormal="100" workbookViewId="0">
      <selection activeCell="I8" sqref="I8"/>
    </sheetView>
  </sheetViews>
  <sheetFormatPr defaultRowHeight="14.25"/>
  <cols>
    <col min="1" max="1" width="35.42578125" style="2" customWidth="1"/>
    <col min="2" max="3" width="15.7109375" style="2" customWidth="1"/>
    <col min="4" max="4" width="17" style="2" customWidth="1"/>
    <col min="5" max="7" width="15.7109375" style="2" customWidth="1"/>
    <col min="8" max="8" width="22.42578125" style="2" customWidth="1"/>
    <col min="9" max="9" width="19.85546875" style="2" customWidth="1"/>
    <col min="10" max="12" width="15.7109375" style="2" customWidth="1"/>
    <col min="13" max="13" width="22.42578125" style="2" customWidth="1"/>
    <col min="14" max="14" width="15.7109375" style="2" customWidth="1"/>
    <col min="15" max="15" width="33.5703125" style="2" customWidth="1"/>
    <col min="16" max="28" width="15.7109375" style="2" customWidth="1"/>
    <col min="29" max="256" width="9.140625" style="2"/>
    <col min="257" max="257" width="35.42578125" style="2" customWidth="1"/>
    <col min="258" max="259" width="15.7109375" style="2" customWidth="1"/>
    <col min="260" max="260" width="17" style="2" customWidth="1"/>
    <col min="261" max="263" width="15.7109375" style="2" customWidth="1"/>
    <col min="264" max="264" width="22.42578125" style="2" customWidth="1"/>
    <col min="265" max="265" width="14.28515625" style="2" customWidth="1"/>
    <col min="266" max="284" width="15.7109375" style="2" customWidth="1"/>
    <col min="285" max="512" width="9.140625" style="2"/>
    <col min="513" max="513" width="35.42578125" style="2" customWidth="1"/>
    <col min="514" max="515" width="15.7109375" style="2" customWidth="1"/>
    <col min="516" max="516" width="17" style="2" customWidth="1"/>
    <col min="517" max="519" width="15.7109375" style="2" customWidth="1"/>
    <col min="520" max="520" width="22.42578125" style="2" customWidth="1"/>
    <col min="521" max="521" width="14.28515625" style="2" customWidth="1"/>
    <col min="522" max="540" width="15.7109375" style="2" customWidth="1"/>
    <col min="541" max="768" width="9.140625" style="2"/>
    <col min="769" max="769" width="35.42578125" style="2" customWidth="1"/>
    <col min="770" max="771" width="15.7109375" style="2" customWidth="1"/>
    <col min="772" max="772" width="17" style="2" customWidth="1"/>
    <col min="773" max="775" width="15.7109375" style="2" customWidth="1"/>
    <col min="776" max="776" width="22.42578125" style="2" customWidth="1"/>
    <col min="777" max="777" width="14.28515625" style="2" customWidth="1"/>
    <col min="778" max="796" width="15.7109375" style="2" customWidth="1"/>
    <col min="797" max="1024" width="9.140625" style="2"/>
    <col min="1025" max="1025" width="35.42578125" style="2" customWidth="1"/>
    <col min="1026" max="1027" width="15.7109375" style="2" customWidth="1"/>
    <col min="1028" max="1028" width="17" style="2" customWidth="1"/>
    <col min="1029" max="1031" width="15.7109375" style="2" customWidth="1"/>
    <col min="1032" max="1032" width="22.42578125" style="2" customWidth="1"/>
    <col min="1033" max="1033" width="14.28515625" style="2" customWidth="1"/>
    <col min="1034" max="1052" width="15.7109375" style="2" customWidth="1"/>
    <col min="1053" max="1280" width="9.140625" style="2"/>
    <col min="1281" max="1281" width="35.42578125" style="2" customWidth="1"/>
    <col min="1282" max="1283" width="15.7109375" style="2" customWidth="1"/>
    <col min="1284" max="1284" width="17" style="2" customWidth="1"/>
    <col min="1285" max="1287" width="15.7109375" style="2" customWidth="1"/>
    <col min="1288" max="1288" width="22.42578125" style="2" customWidth="1"/>
    <col min="1289" max="1289" width="14.28515625" style="2" customWidth="1"/>
    <col min="1290" max="1308" width="15.7109375" style="2" customWidth="1"/>
    <col min="1309" max="1536" width="9.140625" style="2"/>
    <col min="1537" max="1537" width="35.42578125" style="2" customWidth="1"/>
    <col min="1538" max="1539" width="15.7109375" style="2" customWidth="1"/>
    <col min="1540" max="1540" width="17" style="2" customWidth="1"/>
    <col min="1541" max="1543" width="15.7109375" style="2" customWidth="1"/>
    <col min="1544" max="1544" width="22.42578125" style="2" customWidth="1"/>
    <col min="1545" max="1545" width="14.28515625" style="2" customWidth="1"/>
    <col min="1546" max="1564" width="15.7109375" style="2" customWidth="1"/>
    <col min="1565" max="1792" width="9.140625" style="2"/>
    <col min="1793" max="1793" width="35.42578125" style="2" customWidth="1"/>
    <col min="1794" max="1795" width="15.7109375" style="2" customWidth="1"/>
    <col min="1796" max="1796" width="17" style="2" customWidth="1"/>
    <col min="1797" max="1799" width="15.7109375" style="2" customWidth="1"/>
    <col min="1800" max="1800" width="22.42578125" style="2" customWidth="1"/>
    <col min="1801" max="1801" width="14.28515625" style="2" customWidth="1"/>
    <col min="1802" max="1820" width="15.7109375" style="2" customWidth="1"/>
    <col min="1821" max="2048" width="9.140625" style="2"/>
    <col min="2049" max="2049" width="35.42578125" style="2" customWidth="1"/>
    <col min="2050" max="2051" width="15.7109375" style="2" customWidth="1"/>
    <col min="2052" max="2052" width="17" style="2" customWidth="1"/>
    <col min="2053" max="2055" width="15.7109375" style="2" customWidth="1"/>
    <col min="2056" max="2056" width="22.42578125" style="2" customWidth="1"/>
    <col min="2057" max="2057" width="14.28515625" style="2" customWidth="1"/>
    <col min="2058" max="2076" width="15.7109375" style="2" customWidth="1"/>
    <col min="2077" max="2304" width="9.140625" style="2"/>
    <col min="2305" max="2305" width="35.42578125" style="2" customWidth="1"/>
    <col min="2306" max="2307" width="15.7109375" style="2" customWidth="1"/>
    <col min="2308" max="2308" width="17" style="2" customWidth="1"/>
    <col min="2309" max="2311" width="15.7109375" style="2" customWidth="1"/>
    <col min="2312" max="2312" width="22.42578125" style="2" customWidth="1"/>
    <col min="2313" max="2313" width="14.28515625" style="2" customWidth="1"/>
    <col min="2314" max="2332" width="15.7109375" style="2" customWidth="1"/>
    <col min="2333" max="2560" width="9.140625" style="2"/>
    <col min="2561" max="2561" width="35.42578125" style="2" customWidth="1"/>
    <col min="2562" max="2563" width="15.7109375" style="2" customWidth="1"/>
    <col min="2564" max="2564" width="17" style="2" customWidth="1"/>
    <col min="2565" max="2567" width="15.7109375" style="2" customWidth="1"/>
    <col min="2568" max="2568" width="22.42578125" style="2" customWidth="1"/>
    <col min="2569" max="2569" width="14.28515625" style="2" customWidth="1"/>
    <col min="2570" max="2588" width="15.7109375" style="2" customWidth="1"/>
    <col min="2589" max="2816" width="9.140625" style="2"/>
    <col min="2817" max="2817" width="35.42578125" style="2" customWidth="1"/>
    <col min="2818" max="2819" width="15.7109375" style="2" customWidth="1"/>
    <col min="2820" max="2820" width="17" style="2" customWidth="1"/>
    <col min="2821" max="2823" width="15.7109375" style="2" customWidth="1"/>
    <col min="2824" max="2824" width="22.42578125" style="2" customWidth="1"/>
    <col min="2825" max="2825" width="14.28515625" style="2" customWidth="1"/>
    <col min="2826" max="2844" width="15.7109375" style="2" customWidth="1"/>
    <col min="2845" max="3072" width="9.140625" style="2"/>
    <col min="3073" max="3073" width="35.42578125" style="2" customWidth="1"/>
    <col min="3074" max="3075" width="15.7109375" style="2" customWidth="1"/>
    <col min="3076" max="3076" width="17" style="2" customWidth="1"/>
    <col min="3077" max="3079" width="15.7109375" style="2" customWidth="1"/>
    <col min="3080" max="3080" width="22.42578125" style="2" customWidth="1"/>
    <col min="3081" max="3081" width="14.28515625" style="2" customWidth="1"/>
    <col min="3082" max="3100" width="15.7109375" style="2" customWidth="1"/>
    <col min="3101" max="3328" width="9.140625" style="2"/>
    <col min="3329" max="3329" width="35.42578125" style="2" customWidth="1"/>
    <col min="3330" max="3331" width="15.7109375" style="2" customWidth="1"/>
    <col min="3332" max="3332" width="17" style="2" customWidth="1"/>
    <col min="3333" max="3335" width="15.7109375" style="2" customWidth="1"/>
    <col min="3336" max="3336" width="22.42578125" style="2" customWidth="1"/>
    <col min="3337" max="3337" width="14.28515625" style="2" customWidth="1"/>
    <col min="3338" max="3356" width="15.7109375" style="2" customWidth="1"/>
    <col min="3357" max="3584" width="9.140625" style="2"/>
    <col min="3585" max="3585" width="35.42578125" style="2" customWidth="1"/>
    <col min="3586" max="3587" width="15.7109375" style="2" customWidth="1"/>
    <col min="3588" max="3588" width="17" style="2" customWidth="1"/>
    <col min="3589" max="3591" width="15.7109375" style="2" customWidth="1"/>
    <col min="3592" max="3592" width="22.42578125" style="2" customWidth="1"/>
    <col min="3593" max="3593" width="14.28515625" style="2" customWidth="1"/>
    <col min="3594" max="3612" width="15.7109375" style="2" customWidth="1"/>
    <col min="3613" max="3840" width="9.140625" style="2"/>
    <col min="3841" max="3841" width="35.42578125" style="2" customWidth="1"/>
    <col min="3842" max="3843" width="15.7109375" style="2" customWidth="1"/>
    <col min="3844" max="3844" width="17" style="2" customWidth="1"/>
    <col min="3845" max="3847" width="15.7109375" style="2" customWidth="1"/>
    <col min="3848" max="3848" width="22.42578125" style="2" customWidth="1"/>
    <col min="3849" max="3849" width="14.28515625" style="2" customWidth="1"/>
    <col min="3850" max="3868" width="15.7109375" style="2" customWidth="1"/>
    <col min="3869" max="4096" width="9.140625" style="2"/>
    <col min="4097" max="4097" width="35.42578125" style="2" customWidth="1"/>
    <col min="4098" max="4099" width="15.7109375" style="2" customWidth="1"/>
    <col min="4100" max="4100" width="17" style="2" customWidth="1"/>
    <col min="4101" max="4103" width="15.7109375" style="2" customWidth="1"/>
    <col min="4104" max="4104" width="22.42578125" style="2" customWidth="1"/>
    <col min="4105" max="4105" width="14.28515625" style="2" customWidth="1"/>
    <col min="4106" max="4124" width="15.7109375" style="2" customWidth="1"/>
    <col min="4125" max="4352" width="9.140625" style="2"/>
    <col min="4353" max="4353" width="35.42578125" style="2" customWidth="1"/>
    <col min="4354" max="4355" width="15.7109375" style="2" customWidth="1"/>
    <col min="4356" max="4356" width="17" style="2" customWidth="1"/>
    <col min="4357" max="4359" width="15.7109375" style="2" customWidth="1"/>
    <col min="4360" max="4360" width="22.42578125" style="2" customWidth="1"/>
    <col min="4361" max="4361" width="14.28515625" style="2" customWidth="1"/>
    <col min="4362" max="4380" width="15.7109375" style="2" customWidth="1"/>
    <col min="4381" max="4608" width="9.140625" style="2"/>
    <col min="4609" max="4609" width="35.42578125" style="2" customWidth="1"/>
    <col min="4610" max="4611" width="15.7109375" style="2" customWidth="1"/>
    <col min="4612" max="4612" width="17" style="2" customWidth="1"/>
    <col min="4613" max="4615" width="15.7109375" style="2" customWidth="1"/>
    <col min="4616" max="4616" width="22.42578125" style="2" customWidth="1"/>
    <col min="4617" max="4617" width="14.28515625" style="2" customWidth="1"/>
    <col min="4618" max="4636" width="15.7109375" style="2" customWidth="1"/>
    <col min="4637" max="4864" width="9.140625" style="2"/>
    <col min="4865" max="4865" width="35.42578125" style="2" customWidth="1"/>
    <col min="4866" max="4867" width="15.7109375" style="2" customWidth="1"/>
    <col min="4868" max="4868" width="17" style="2" customWidth="1"/>
    <col min="4869" max="4871" width="15.7109375" style="2" customWidth="1"/>
    <col min="4872" max="4872" width="22.42578125" style="2" customWidth="1"/>
    <col min="4873" max="4873" width="14.28515625" style="2" customWidth="1"/>
    <col min="4874" max="4892" width="15.7109375" style="2" customWidth="1"/>
    <col min="4893" max="5120" width="9.140625" style="2"/>
    <col min="5121" max="5121" width="35.42578125" style="2" customWidth="1"/>
    <col min="5122" max="5123" width="15.7109375" style="2" customWidth="1"/>
    <col min="5124" max="5124" width="17" style="2" customWidth="1"/>
    <col min="5125" max="5127" width="15.7109375" style="2" customWidth="1"/>
    <col min="5128" max="5128" width="22.42578125" style="2" customWidth="1"/>
    <col min="5129" max="5129" width="14.28515625" style="2" customWidth="1"/>
    <col min="5130" max="5148" width="15.7109375" style="2" customWidth="1"/>
    <col min="5149" max="5376" width="9.140625" style="2"/>
    <col min="5377" max="5377" width="35.42578125" style="2" customWidth="1"/>
    <col min="5378" max="5379" width="15.7109375" style="2" customWidth="1"/>
    <col min="5380" max="5380" width="17" style="2" customWidth="1"/>
    <col min="5381" max="5383" width="15.7109375" style="2" customWidth="1"/>
    <col min="5384" max="5384" width="22.42578125" style="2" customWidth="1"/>
    <col min="5385" max="5385" width="14.28515625" style="2" customWidth="1"/>
    <col min="5386" max="5404" width="15.7109375" style="2" customWidth="1"/>
    <col min="5405" max="5632" width="9.140625" style="2"/>
    <col min="5633" max="5633" width="35.42578125" style="2" customWidth="1"/>
    <col min="5634" max="5635" width="15.7109375" style="2" customWidth="1"/>
    <col min="5636" max="5636" width="17" style="2" customWidth="1"/>
    <col min="5637" max="5639" width="15.7109375" style="2" customWidth="1"/>
    <col min="5640" max="5640" width="22.42578125" style="2" customWidth="1"/>
    <col min="5641" max="5641" width="14.28515625" style="2" customWidth="1"/>
    <col min="5642" max="5660" width="15.7109375" style="2" customWidth="1"/>
    <col min="5661" max="5888" width="9.140625" style="2"/>
    <col min="5889" max="5889" width="35.42578125" style="2" customWidth="1"/>
    <col min="5890" max="5891" width="15.7109375" style="2" customWidth="1"/>
    <col min="5892" max="5892" width="17" style="2" customWidth="1"/>
    <col min="5893" max="5895" width="15.7109375" style="2" customWidth="1"/>
    <col min="5896" max="5896" width="22.42578125" style="2" customWidth="1"/>
    <col min="5897" max="5897" width="14.28515625" style="2" customWidth="1"/>
    <col min="5898" max="5916" width="15.7109375" style="2" customWidth="1"/>
    <col min="5917" max="6144" width="9.140625" style="2"/>
    <col min="6145" max="6145" width="35.42578125" style="2" customWidth="1"/>
    <col min="6146" max="6147" width="15.7109375" style="2" customWidth="1"/>
    <col min="6148" max="6148" width="17" style="2" customWidth="1"/>
    <col min="6149" max="6151" width="15.7109375" style="2" customWidth="1"/>
    <col min="6152" max="6152" width="22.42578125" style="2" customWidth="1"/>
    <col min="6153" max="6153" width="14.28515625" style="2" customWidth="1"/>
    <col min="6154" max="6172" width="15.7109375" style="2" customWidth="1"/>
    <col min="6173" max="6400" width="9.140625" style="2"/>
    <col min="6401" max="6401" width="35.42578125" style="2" customWidth="1"/>
    <col min="6402" max="6403" width="15.7109375" style="2" customWidth="1"/>
    <col min="6404" max="6404" width="17" style="2" customWidth="1"/>
    <col min="6405" max="6407" width="15.7109375" style="2" customWidth="1"/>
    <col min="6408" max="6408" width="22.42578125" style="2" customWidth="1"/>
    <col min="6409" max="6409" width="14.28515625" style="2" customWidth="1"/>
    <col min="6410" max="6428" width="15.7109375" style="2" customWidth="1"/>
    <col min="6429" max="6656" width="9.140625" style="2"/>
    <col min="6657" max="6657" width="35.42578125" style="2" customWidth="1"/>
    <col min="6658" max="6659" width="15.7109375" style="2" customWidth="1"/>
    <col min="6660" max="6660" width="17" style="2" customWidth="1"/>
    <col min="6661" max="6663" width="15.7109375" style="2" customWidth="1"/>
    <col min="6664" max="6664" width="22.42578125" style="2" customWidth="1"/>
    <col min="6665" max="6665" width="14.28515625" style="2" customWidth="1"/>
    <col min="6666" max="6684" width="15.7109375" style="2" customWidth="1"/>
    <col min="6685" max="6912" width="9.140625" style="2"/>
    <col min="6913" max="6913" width="35.42578125" style="2" customWidth="1"/>
    <col min="6914" max="6915" width="15.7109375" style="2" customWidth="1"/>
    <col min="6916" max="6916" width="17" style="2" customWidth="1"/>
    <col min="6917" max="6919" width="15.7109375" style="2" customWidth="1"/>
    <col min="6920" max="6920" width="22.42578125" style="2" customWidth="1"/>
    <col min="6921" max="6921" width="14.28515625" style="2" customWidth="1"/>
    <col min="6922" max="6940" width="15.7109375" style="2" customWidth="1"/>
    <col min="6941" max="7168" width="9.140625" style="2"/>
    <col min="7169" max="7169" width="35.42578125" style="2" customWidth="1"/>
    <col min="7170" max="7171" width="15.7109375" style="2" customWidth="1"/>
    <col min="7172" max="7172" width="17" style="2" customWidth="1"/>
    <col min="7173" max="7175" width="15.7109375" style="2" customWidth="1"/>
    <col min="7176" max="7176" width="22.42578125" style="2" customWidth="1"/>
    <col min="7177" max="7177" width="14.28515625" style="2" customWidth="1"/>
    <col min="7178" max="7196" width="15.7109375" style="2" customWidth="1"/>
    <col min="7197" max="7424" width="9.140625" style="2"/>
    <col min="7425" max="7425" width="35.42578125" style="2" customWidth="1"/>
    <col min="7426" max="7427" width="15.7109375" style="2" customWidth="1"/>
    <col min="7428" max="7428" width="17" style="2" customWidth="1"/>
    <col min="7429" max="7431" width="15.7109375" style="2" customWidth="1"/>
    <col min="7432" max="7432" width="22.42578125" style="2" customWidth="1"/>
    <col min="7433" max="7433" width="14.28515625" style="2" customWidth="1"/>
    <col min="7434" max="7452" width="15.7109375" style="2" customWidth="1"/>
    <col min="7453" max="7680" width="9.140625" style="2"/>
    <col min="7681" max="7681" width="35.42578125" style="2" customWidth="1"/>
    <col min="7682" max="7683" width="15.7109375" style="2" customWidth="1"/>
    <col min="7684" max="7684" width="17" style="2" customWidth="1"/>
    <col min="7685" max="7687" width="15.7109375" style="2" customWidth="1"/>
    <col min="7688" max="7688" width="22.42578125" style="2" customWidth="1"/>
    <col min="7689" max="7689" width="14.28515625" style="2" customWidth="1"/>
    <col min="7690" max="7708" width="15.7109375" style="2" customWidth="1"/>
    <col min="7709" max="7936" width="9.140625" style="2"/>
    <col min="7937" max="7937" width="35.42578125" style="2" customWidth="1"/>
    <col min="7938" max="7939" width="15.7109375" style="2" customWidth="1"/>
    <col min="7940" max="7940" width="17" style="2" customWidth="1"/>
    <col min="7941" max="7943" width="15.7109375" style="2" customWidth="1"/>
    <col min="7944" max="7944" width="22.42578125" style="2" customWidth="1"/>
    <col min="7945" max="7945" width="14.28515625" style="2" customWidth="1"/>
    <col min="7946" max="7964" width="15.7109375" style="2" customWidth="1"/>
    <col min="7965" max="8192" width="9.140625" style="2"/>
    <col min="8193" max="8193" width="35.42578125" style="2" customWidth="1"/>
    <col min="8194" max="8195" width="15.7109375" style="2" customWidth="1"/>
    <col min="8196" max="8196" width="17" style="2" customWidth="1"/>
    <col min="8197" max="8199" width="15.7109375" style="2" customWidth="1"/>
    <col min="8200" max="8200" width="22.42578125" style="2" customWidth="1"/>
    <col min="8201" max="8201" width="14.28515625" style="2" customWidth="1"/>
    <col min="8202" max="8220" width="15.7109375" style="2" customWidth="1"/>
    <col min="8221" max="8448" width="9.140625" style="2"/>
    <col min="8449" max="8449" width="35.42578125" style="2" customWidth="1"/>
    <col min="8450" max="8451" width="15.7109375" style="2" customWidth="1"/>
    <col min="8452" max="8452" width="17" style="2" customWidth="1"/>
    <col min="8453" max="8455" width="15.7109375" style="2" customWidth="1"/>
    <col min="8456" max="8456" width="22.42578125" style="2" customWidth="1"/>
    <col min="8457" max="8457" width="14.28515625" style="2" customWidth="1"/>
    <col min="8458" max="8476" width="15.7109375" style="2" customWidth="1"/>
    <col min="8477" max="8704" width="9.140625" style="2"/>
    <col min="8705" max="8705" width="35.42578125" style="2" customWidth="1"/>
    <col min="8706" max="8707" width="15.7109375" style="2" customWidth="1"/>
    <col min="8708" max="8708" width="17" style="2" customWidth="1"/>
    <col min="8709" max="8711" width="15.7109375" style="2" customWidth="1"/>
    <col min="8712" max="8712" width="22.42578125" style="2" customWidth="1"/>
    <col min="8713" max="8713" width="14.28515625" style="2" customWidth="1"/>
    <col min="8714" max="8732" width="15.7109375" style="2" customWidth="1"/>
    <col min="8733" max="8960" width="9.140625" style="2"/>
    <col min="8961" max="8961" width="35.42578125" style="2" customWidth="1"/>
    <col min="8962" max="8963" width="15.7109375" style="2" customWidth="1"/>
    <col min="8964" max="8964" width="17" style="2" customWidth="1"/>
    <col min="8965" max="8967" width="15.7109375" style="2" customWidth="1"/>
    <col min="8968" max="8968" width="22.42578125" style="2" customWidth="1"/>
    <col min="8969" max="8969" width="14.28515625" style="2" customWidth="1"/>
    <col min="8970" max="8988" width="15.7109375" style="2" customWidth="1"/>
    <col min="8989" max="9216" width="9.140625" style="2"/>
    <col min="9217" max="9217" width="35.42578125" style="2" customWidth="1"/>
    <col min="9218" max="9219" width="15.7109375" style="2" customWidth="1"/>
    <col min="9220" max="9220" width="17" style="2" customWidth="1"/>
    <col min="9221" max="9223" width="15.7109375" style="2" customWidth="1"/>
    <col min="9224" max="9224" width="22.42578125" style="2" customWidth="1"/>
    <col min="9225" max="9225" width="14.28515625" style="2" customWidth="1"/>
    <col min="9226" max="9244" width="15.7109375" style="2" customWidth="1"/>
    <col min="9245" max="9472" width="9.140625" style="2"/>
    <col min="9473" max="9473" width="35.42578125" style="2" customWidth="1"/>
    <col min="9474" max="9475" width="15.7109375" style="2" customWidth="1"/>
    <col min="9476" max="9476" width="17" style="2" customWidth="1"/>
    <col min="9477" max="9479" width="15.7109375" style="2" customWidth="1"/>
    <col min="9480" max="9480" width="22.42578125" style="2" customWidth="1"/>
    <col min="9481" max="9481" width="14.28515625" style="2" customWidth="1"/>
    <col min="9482" max="9500" width="15.7109375" style="2" customWidth="1"/>
    <col min="9501" max="9728" width="9.140625" style="2"/>
    <col min="9729" max="9729" width="35.42578125" style="2" customWidth="1"/>
    <col min="9730" max="9731" width="15.7109375" style="2" customWidth="1"/>
    <col min="9732" max="9732" width="17" style="2" customWidth="1"/>
    <col min="9733" max="9735" width="15.7109375" style="2" customWidth="1"/>
    <col min="9736" max="9736" width="22.42578125" style="2" customWidth="1"/>
    <col min="9737" max="9737" width="14.28515625" style="2" customWidth="1"/>
    <col min="9738" max="9756" width="15.7109375" style="2" customWidth="1"/>
    <col min="9757" max="9984" width="9.140625" style="2"/>
    <col min="9985" max="9985" width="35.42578125" style="2" customWidth="1"/>
    <col min="9986" max="9987" width="15.7109375" style="2" customWidth="1"/>
    <col min="9988" max="9988" width="17" style="2" customWidth="1"/>
    <col min="9989" max="9991" width="15.7109375" style="2" customWidth="1"/>
    <col min="9992" max="9992" width="22.42578125" style="2" customWidth="1"/>
    <col min="9993" max="9993" width="14.28515625" style="2" customWidth="1"/>
    <col min="9994" max="10012" width="15.7109375" style="2" customWidth="1"/>
    <col min="10013" max="10240" width="9.140625" style="2"/>
    <col min="10241" max="10241" width="35.42578125" style="2" customWidth="1"/>
    <col min="10242" max="10243" width="15.7109375" style="2" customWidth="1"/>
    <col min="10244" max="10244" width="17" style="2" customWidth="1"/>
    <col min="10245" max="10247" width="15.7109375" style="2" customWidth="1"/>
    <col min="10248" max="10248" width="22.42578125" style="2" customWidth="1"/>
    <col min="10249" max="10249" width="14.28515625" style="2" customWidth="1"/>
    <col min="10250" max="10268" width="15.7109375" style="2" customWidth="1"/>
    <col min="10269" max="10496" width="9.140625" style="2"/>
    <col min="10497" max="10497" width="35.42578125" style="2" customWidth="1"/>
    <col min="10498" max="10499" width="15.7109375" style="2" customWidth="1"/>
    <col min="10500" max="10500" width="17" style="2" customWidth="1"/>
    <col min="10501" max="10503" width="15.7109375" style="2" customWidth="1"/>
    <col min="10504" max="10504" width="22.42578125" style="2" customWidth="1"/>
    <col min="10505" max="10505" width="14.28515625" style="2" customWidth="1"/>
    <col min="10506" max="10524" width="15.7109375" style="2" customWidth="1"/>
    <col min="10525" max="10752" width="9.140625" style="2"/>
    <col min="10753" max="10753" width="35.42578125" style="2" customWidth="1"/>
    <col min="10754" max="10755" width="15.7109375" style="2" customWidth="1"/>
    <col min="10756" max="10756" width="17" style="2" customWidth="1"/>
    <col min="10757" max="10759" width="15.7109375" style="2" customWidth="1"/>
    <col min="10760" max="10760" width="22.42578125" style="2" customWidth="1"/>
    <col min="10761" max="10761" width="14.28515625" style="2" customWidth="1"/>
    <col min="10762" max="10780" width="15.7109375" style="2" customWidth="1"/>
    <col min="10781" max="11008" width="9.140625" style="2"/>
    <col min="11009" max="11009" width="35.42578125" style="2" customWidth="1"/>
    <col min="11010" max="11011" width="15.7109375" style="2" customWidth="1"/>
    <col min="11012" max="11012" width="17" style="2" customWidth="1"/>
    <col min="11013" max="11015" width="15.7109375" style="2" customWidth="1"/>
    <col min="11016" max="11016" width="22.42578125" style="2" customWidth="1"/>
    <col min="11017" max="11017" width="14.28515625" style="2" customWidth="1"/>
    <col min="11018" max="11036" width="15.7109375" style="2" customWidth="1"/>
    <col min="11037" max="11264" width="9.140625" style="2"/>
    <col min="11265" max="11265" width="35.42578125" style="2" customWidth="1"/>
    <col min="11266" max="11267" width="15.7109375" style="2" customWidth="1"/>
    <col min="11268" max="11268" width="17" style="2" customWidth="1"/>
    <col min="11269" max="11271" width="15.7109375" style="2" customWidth="1"/>
    <col min="11272" max="11272" width="22.42578125" style="2" customWidth="1"/>
    <col min="11273" max="11273" width="14.28515625" style="2" customWidth="1"/>
    <col min="11274" max="11292" width="15.7109375" style="2" customWidth="1"/>
    <col min="11293" max="11520" width="9.140625" style="2"/>
    <col min="11521" max="11521" width="35.42578125" style="2" customWidth="1"/>
    <col min="11522" max="11523" width="15.7109375" style="2" customWidth="1"/>
    <col min="11524" max="11524" width="17" style="2" customWidth="1"/>
    <col min="11525" max="11527" width="15.7109375" style="2" customWidth="1"/>
    <col min="11528" max="11528" width="22.42578125" style="2" customWidth="1"/>
    <col min="11529" max="11529" width="14.28515625" style="2" customWidth="1"/>
    <col min="11530" max="11548" width="15.7109375" style="2" customWidth="1"/>
    <col min="11549" max="11776" width="9.140625" style="2"/>
    <col min="11777" max="11777" width="35.42578125" style="2" customWidth="1"/>
    <col min="11778" max="11779" width="15.7109375" style="2" customWidth="1"/>
    <col min="11780" max="11780" width="17" style="2" customWidth="1"/>
    <col min="11781" max="11783" width="15.7109375" style="2" customWidth="1"/>
    <col min="11784" max="11784" width="22.42578125" style="2" customWidth="1"/>
    <col min="11785" max="11785" width="14.28515625" style="2" customWidth="1"/>
    <col min="11786" max="11804" width="15.7109375" style="2" customWidth="1"/>
    <col min="11805" max="12032" width="9.140625" style="2"/>
    <col min="12033" max="12033" width="35.42578125" style="2" customWidth="1"/>
    <col min="12034" max="12035" width="15.7109375" style="2" customWidth="1"/>
    <col min="12036" max="12036" width="17" style="2" customWidth="1"/>
    <col min="12037" max="12039" width="15.7109375" style="2" customWidth="1"/>
    <col min="12040" max="12040" width="22.42578125" style="2" customWidth="1"/>
    <col min="12041" max="12041" width="14.28515625" style="2" customWidth="1"/>
    <col min="12042" max="12060" width="15.7109375" style="2" customWidth="1"/>
    <col min="12061" max="12288" width="9.140625" style="2"/>
    <col min="12289" max="12289" width="35.42578125" style="2" customWidth="1"/>
    <col min="12290" max="12291" width="15.7109375" style="2" customWidth="1"/>
    <col min="12292" max="12292" width="17" style="2" customWidth="1"/>
    <col min="12293" max="12295" width="15.7109375" style="2" customWidth="1"/>
    <col min="12296" max="12296" width="22.42578125" style="2" customWidth="1"/>
    <col min="12297" max="12297" width="14.28515625" style="2" customWidth="1"/>
    <col min="12298" max="12316" width="15.7109375" style="2" customWidth="1"/>
    <col min="12317" max="12544" width="9.140625" style="2"/>
    <col min="12545" max="12545" width="35.42578125" style="2" customWidth="1"/>
    <col min="12546" max="12547" width="15.7109375" style="2" customWidth="1"/>
    <col min="12548" max="12548" width="17" style="2" customWidth="1"/>
    <col min="12549" max="12551" width="15.7109375" style="2" customWidth="1"/>
    <col min="12552" max="12552" width="22.42578125" style="2" customWidth="1"/>
    <col min="12553" max="12553" width="14.28515625" style="2" customWidth="1"/>
    <col min="12554" max="12572" width="15.7109375" style="2" customWidth="1"/>
    <col min="12573" max="12800" width="9.140625" style="2"/>
    <col min="12801" max="12801" width="35.42578125" style="2" customWidth="1"/>
    <col min="12802" max="12803" width="15.7109375" style="2" customWidth="1"/>
    <col min="12804" max="12804" width="17" style="2" customWidth="1"/>
    <col min="12805" max="12807" width="15.7109375" style="2" customWidth="1"/>
    <col min="12808" max="12808" width="22.42578125" style="2" customWidth="1"/>
    <col min="12809" max="12809" width="14.28515625" style="2" customWidth="1"/>
    <col min="12810" max="12828" width="15.7109375" style="2" customWidth="1"/>
    <col min="12829" max="13056" width="9.140625" style="2"/>
    <col min="13057" max="13057" width="35.42578125" style="2" customWidth="1"/>
    <col min="13058" max="13059" width="15.7109375" style="2" customWidth="1"/>
    <col min="13060" max="13060" width="17" style="2" customWidth="1"/>
    <col min="13061" max="13063" width="15.7109375" style="2" customWidth="1"/>
    <col min="13064" max="13064" width="22.42578125" style="2" customWidth="1"/>
    <col min="13065" max="13065" width="14.28515625" style="2" customWidth="1"/>
    <col min="13066" max="13084" width="15.7109375" style="2" customWidth="1"/>
    <col min="13085" max="13312" width="9.140625" style="2"/>
    <col min="13313" max="13313" width="35.42578125" style="2" customWidth="1"/>
    <col min="13314" max="13315" width="15.7109375" style="2" customWidth="1"/>
    <col min="13316" max="13316" width="17" style="2" customWidth="1"/>
    <col min="13317" max="13319" width="15.7109375" style="2" customWidth="1"/>
    <col min="13320" max="13320" width="22.42578125" style="2" customWidth="1"/>
    <col min="13321" max="13321" width="14.28515625" style="2" customWidth="1"/>
    <col min="13322" max="13340" width="15.7109375" style="2" customWidth="1"/>
    <col min="13341" max="13568" width="9.140625" style="2"/>
    <col min="13569" max="13569" width="35.42578125" style="2" customWidth="1"/>
    <col min="13570" max="13571" width="15.7109375" style="2" customWidth="1"/>
    <col min="13572" max="13572" width="17" style="2" customWidth="1"/>
    <col min="13573" max="13575" width="15.7109375" style="2" customWidth="1"/>
    <col min="13576" max="13576" width="22.42578125" style="2" customWidth="1"/>
    <col min="13577" max="13577" width="14.28515625" style="2" customWidth="1"/>
    <col min="13578" max="13596" width="15.7109375" style="2" customWidth="1"/>
    <col min="13597" max="13824" width="9.140625" style="2"/>
    <col min="13825" max="13825" width="35.42578125" style="2" customWidth="1"/>
    <col min="13826" max="13827" width="15.7109375" style="2" customWidth="1"/>
    <col min="13828" max="13828" width="17" style="2" customWidth="1"/>
    <col min="13829" max="13831" width="15.7109375" style="2" customWidth="1"/>
    <col min="13832" max="13832" width="22.42578125" style="2" customWidth="1"/>
    <col min="13833" max="13833" width="14.28515625" style="2" customWidth="1"/>
    <col min="13834" max="13852" width="15.7109375" style="2" customWidth="1"/>
    <col min="13853" max="14080" width="9.140625" style="2"/>
    <col min="14081" max="14081" width="35.42578125" style="2" customWidth="1"/>
    <col min="14082" max="14083" width="15.7109375" style="2" customWidth="1"/>
    <col min="14084" max="14084" width="17" style="2" customWidth="1"/>
    <col min="14085" max="14087" width="15.7109375" style="2" customWidth="1"/>
    <col min="14088" max="14088" width="22.42578125" style="2" customWidth="1"/>
    <col min="14089" max="14089" width="14.28515625" style="2" customWidth="1"/>
    <col min="14090" max="14108" width="15.7109375" style="2" customWidth="1"/>
    <col min="14109" max="14336" width="9.140625" style="2"/>
    <col min="14337" max="14337" width="35.42578125" style="2" customWidth="1"/>
    <col min="14338" max="14339" width="15.7109375" style="2" customWidth="1"/>
    <col min="14340" max="14340" width="17" style="2" customWidth="1"/>
    <col min="14341" max="14343" width="15.7109375" style="2" customWidth="1"/>
    <col min="14344" max="14344" width="22.42578125" style="2" customWidth="1"/>
    <col min="14345" max="14345" width="14.28515625" style="2" customWidth="1"/>
    <col min="14346" max="14364" width="15.7109375" style="2" customWidth="1"/>
    <col min="14365" max="14592" width="9.140625" style="2"/>
    <col min="14593" max="14593" width="35.42578125" style="2" customWidth="1"/>
    <col min="14594" max="14595" width="15.7109375" style="2" customWidth="1"/>
    <col min="14596" max="14596" width="17" style="2" customWidth="1"/>
    <col min="14597" max="14599" width="15.7109375" style="2" customWidth="1"/>
    <col min="14600" max="14600" width="22.42578125" style="2" customWidth="1"/>
    <col min="14601" max="14601" width="14.28515625" style="2" customWidth="1"/>
    <col min="14602" max="14620" width="15.7109375" style="2" customWidth="1"/>
    <col min="14621" max="14848" width="9.140625" style="2"/>
    <col min="14849" max="14849" width="35.42578125" style="2" customWidth="1"/>
    <col min="14850" max="14851" width="15.7109375" style="2" customWidth="1"/>
    <col min="14852" max="14852" width="17" style="2" customWidth="1"/>
    <col min="14853" max="14855" width="15.7109375" style="2" customWidth="1"/>
    <col min="14856" max="14856" width="22.42578125" style="2" customWidth="1"/>
    <col min="14857" max="14857" width="14.28515625" style="2" customWidth="1"/>
    <col min="14858" max="14876" width="15.7109375" style="2" customWidth="1"/>
    <col min="14877" max="15104" width="9.140625" style="2"/>
    <col min="15105" max="15105" width="35.42578125" style="2" customWidth="1"/>
    <col min="15106" max="15107" width="15.7109375" style="2" customWidth="1"/>
    <col min="15108" max="15108" width="17" style="2" customWidth="1"/>
    <col min="15109" max="15111" width="15.7109375" style="2" customWidth="1"/>
    <col min="15112" max="15112" width="22.42578125" style="2" customWidth="1"/>
    <col min="15113" max="15113" width="14.28515625" style="2" customWidth="1"/>
    <col min="15114" max="15132" width="15.7109375" style="2" customWidth="1"/>
    <col min="15133" max="15360" width="9.140625" style="2"/>
    <col min="15361" max="15361" width="35.42578125" style="2" customWidth="1"/>
    <col min="15362" max="15363" width="15.7109375" style="2" customWidth="1"/>
    <col min="15364" max="15364" width="17" style="2" customWidth="1"/>
    <col min="15365" max="15367" width="15.7109375" style="2" customWidth="1"/>
    <col min="15368" max="15368" width="22.42578125" style="2" customWidth="1"/>
    <col min="15369" max="15369" width="14.28515625" style="2" customWidth="1"/>
    <col min="15370" max="15388" width="15.7109375" style="2" customWidth="1"/>
    <col min="15389" max="15616" width="9.140625" style="2"/>
    <col min="15617" max="15617" width="35.42578125" style="2" customWidth="1"/>
    <col min="15618" max="15619" width="15.7109375" style="2" customWidth="1"/>
    <col min="15620" max="15620" width="17" style="2" customWidth="1"/>
    <col min="15621" max="15623" width="15.7109375" style="2" customWidth="1"/>
    <col min="15624" max="15624" width="22.42578125" style="2" customWidth="1"/>
    <col min="15625" max="15625" width="14.28515625" style="2" customWidth="1"/>
    <col min="15626" max="15644" width="15.7109375" style="2" customWidth="1"/>
    <col min="15645" max="15872" width="9.140625" style="2"/>
    <col min="15873" max="15873" width="35.42578125" style="2" customWidth="1"/>
    <col min="15874" max="15875" width="15.7109375" style="2" customWidth="1"/>
    <col min="15876" max="15876" width="17" style="2" customWidth="1"/>
    <col min="15877" max="15879" width="15.7109375" style="2" customWidth="1"/>
    <col min="15880" max="15880" width="22.42578125" style="2" customWidth="1"/>
    <col min="15881" max="15881" width="14.28515625" style="2" customWidth="1"/>
    <col min="15882" max="15900" width="15.7109375" style="2" customWidth="1"/>
    <col min="15901" max="16128" width="9.140625" style="2"/>
    <col min="16129" max="16129" width="35.42578125" style="2" customWidth="1"/>
    <col min="16130" max="16131" width="15.7109375" style="2" customWidth="1"/>
    <col min="16132" max="16132" width="17" style="2" customWidth="1"/>
    <col min="16133" max="16135" width="15.7109375" style="2" customWidth="1"/>
    <col min="16136" max="16136" width="22.42578125" style="2" customWidth="1"/>
    <col min="16137" max="16137" width="14.28515625" style="2" customWidth="1"/>
    <col min="16138" max="16156" width="15.7109375" style="2" customWidth="1"/>
    <col min="16157" max="16384" width="9.140625" style="2"/>
  </cols>
  <sheetData>
    <row r="1" spans="1:15" ht="20.25">
      <c r="A1" s="1" t="s">
        <v>25</v>
      </c>
    </row>
    <row r="2" spans="1:15" ht="15" thickBot="1"/>
    <row r="3" spans="1:15" ht="18">
      <c r="A3" s="3" t="s">
        <v>26</v>
      </c>
      <c r="B3" s="4"/>
      <c r="C3" s="4"/>
      <c r="D3" s="4"/>
      <c r="E3" s="5"/>
      <c r="G3"/>
      <c r="H3"/>
      <c r="I3"/>
      <c r="J3"/>
    </row>
    <row r="4" spans="1:15" ht="45.75" thickBot="1">
      <c r="A4" s="6"/>
      <c r="B4" s="275" t="s">
        <v>27</v>
      </c>
      <c r="C4" s="276"/>
      <c r="D4" s="277"/>
      <c r="E4" s="7" t="s">
        <v>28</v>
      </c>
      <c r="F4" s="8"/>
      <c r="G4" s="8"/>
      <c r="H4" s="8"/>
      <c r="I4" s="8"/>
      <c r="J4" s="8"/>
      <c r="K4" s="8"/>
      <c r="L4" s="8"/>
    </row>
    <row r="5" spans="1:15" ht="16.5" thickBot="1">
      <c r="A5" s="6"/>
      <c r="B5" s="9" t="s">
        <v>12</v>
      </c>
      <c r="C5" s="10" t="s">
        <v>1</v>
      </c>
      <c r="D5" s="11" t="s">
        <v>2</v>
      </c>
      <c r="E5" s="12" t="s">
        <v>29</v>
      </c>
      <c r="F5" s="8"/>
      <c r="G5" s="13" t="str">
        <f>A79</f>
        <v xml:space="preserve">  Return on Equity</v>
      </c>
      <c r="H5" s="14"/>
      <c r="I5" s="15">
        <f>C79</f>
        <v>1.2786685061136236</v>
      </c>
      <c r="J5" s="8"/>
    </row>
    <row r="6" spans="1:15" ht="16.5" thickBot="1">
      <c r="A6" s="16" t="s">
        <v>30</v>
      </c>
      <c r="B6" s="17">
        <v>73000</v>
      </c>
      <c r="C6" s="18">
        <v>62000</v>
      </c>
      <c r="D6" s="25">
        <v>79000</v>
      </c>
      <c r="E6" s="155">
        <v>184177.32512392267</v>
      </c>
      <c r="F6" s="19"/>
      <c r="G6" s="13" t="str">
        <f>A80</f>
        <v xml:space="preserve">  Return on Total Project Takeout</v>
      </c>
      <c r="H6" s="14"/>
      <c r="I6" s="15">
        <f>C80</f>
        <v>0.27534515666981951</v>
      </c>
      <c r="J6" s="8"/>
      <c r="K6" s="20"/>
      <c r="L6" s="8"/>
    </row>
    <row r="7" spans="1:15" ht="16.5" thickBot="1">
      <c r="A7" s="16" t="s">
        <v>31</v>
      </c>
      <c r="B7" s="17">
        <f>B8*B9-B6</f>
        <v>56409.090909090912</v>
      </c>
      <c r="C7" s="17">
        <f>C8*C9-C6</f>
        <v>54619.047619047633</v>
      </c>
      <c r="D7" s="25">
        <f>D8*D9-D6</f>
        <v>59250</v>
      </c>
      <c r="E7" s="155">
        <v>160948.02140842847</v>
      </c>
      <c r="F7" s="8"/>
      <c r="G7" s="21" t="str">
        <f>A89</f>
        <v>Payback years, Equity</v>
      </c>
      <c r="H7" s="22"/>
      <c r="I7" s="23" t="e">
        <f>B89</f>
        <v>#N/A</v>
      </c>
    </row>
    <row r="8" spans="1:15" ht="16.5" thickBot="1">
      <c r="A8" s="24" t="s">
        <v>32</v>
      </c>
      <c r="B8" s="25">
        <f>B6/B10</f>
        <v>165909.09090909091</v>
      </c>
      <c r="C8" s="25">
        <f>C6/C10</f>
        <v>147619.04761904763</v>
      </c>
      <c r="D8" s="25">
        <f>D6/D10</f>
        <v>179545.45454545456</v>
      </c>
      <c r="E8" s="156">
        <f>(E6+E7)/E9</f>
        <v>431008.44777089125</v>
      </c>
      <c r="F8" s="26"/>
      <c r="G8" s="27" t="str">
        <f>A90</f>
        <v>Payback years, Total Project</v>
      </c>
      <c r="H8" s="28"/>
      <c r="I8" s="23">
        <f>B90</f>
        <v>4</v>
      </c>
      <c r="L8" s="29"/>
    </row>
    <row r="9" spans="1:15" ht="15.75">
      <c r="A9" s="24" t="s">
        <v>33</v>
      </c>
      <c r="B9" s="30">
        <v>0.78</v>
      </c>
      <c r="C9" s="30">
        <v>0.79</v>
      </c>
      <c r="D9" s="31">
        <v>0.77</v>
      </c>
      <c r="E9" s="32">
        <v>0.80073916953898649</v>
      </c>
      <c r="F9" s="26"/>
      <c r="H9" s="34"/>
      <c r="I9" s="35"/>
      <c r="L9" s="29"/>
    </row>
    <row r="10" spans="1:15" ht="16.5" thickBot="1">
      <c r="A10" s="36" t="s">
        <v>34</v>
      </c>
      <c r="B10" s="37">
        <v>0.44</v>
      </c>
      <c r="C10" s="37">
        <v>0.42</v>
      </c>
      <c r="D10" s="37">
        <v>0.44</v>
      </c>
      <c r="E10" s="38">
        <v>0.43208244538378315</v>
      </c>
      <c r="F10" s="26"/>
      <c r="G10" s="33"/>
      <c r="H10" s="34"/>
      <c r="I10" s="35"/>
      <c r="L10" s="29"/>
    </row>
    <row r="11" spans="1:15" ht="16.5" thickBot="1">
      <c r="A11" s="8"/>
      <c r="B11" s="39"/>
      <c r="C11" s="39"/>
      <c r="D11" s="39"/>
      <c r="E11" s="40"/>
      <c r="F11" s="8"/>
      <c r="G11" s="8"/>
      <c r="L11" s="41"/>
    </row>
    <row r="12" spans="1:15" ht="16.5" thickBot="1">
      <c r="A12" s="42" t="s">
        <v>35</v>
      </c>
      <c r="B12" s="39">
        <v>500</v>
      </c>
      <c r="C12" s="39">
        <v>2500</v>
      </c>
      <c r="D12" s="39">
        <v>2500</v>
      </c>
      <c r="E12" s="43">
        <f>SUM(B12:D12)</f>
        <v>5500</v>
      </c>
      <c r="F12" s="8"/>
      <c r="G12" s="44" t="s">
        <v>36</v>
      </c>
      <c r="H12" s="45"/>
      <c r="I12" s="46">
        <v>105.8779669442028</v>
      </c>
      <c r="K12" s="47"/>
      <c r="L12" s="8"/>
    </row>
    <row r="13" spans="1:15" ht="15.75" thickBot="1">
      <c r="A13" s="8"/>
      <c r="B13" s="20"/>
      <c r="C13" s="20"/>
      <c r="D13" s="20"/>
      <c r="E13" s="20"/>
      <c r="F13" s="8"/>
      <c r="G13" s="8"/>
      <c r="L13" s="8"/>
    </row>
    <row r="14" spans="1:15" ht="15.75">
      <c r="A14" s="48" t="s">
        <v>37</v>
      </c>
      <c r="B14" s="49"/>
      <c r="C14" s="49"/>
      <c r="D14" s="49"/>
      <c r="E14" s="49"/>
      <c r="F14" s="49"/>
      <c r="G14" s="49"/>
      <c r="H14" s="4"/>
      <c r="I14" s="4"/>
      <c r="J14" s="5"/>
      <c r="L14" s="8"/>
    </row>
    <row r="15" spans="1:15" ht="15.75">
      <c r="A15" s="50"/>
      <c r="B15" s="51"/>
      <c r="C15" s="52">
        <v>0.65</v>
      </c>
      <c r="D15" s="52" t="s">
        <v>38</v>
      </c>
      <c r="E15" s="51"/>
      <c r="F15" s="53" t="s">
        <v>39</v>
      </c>
      <c r="G15" s="54"/>
      <c r="H15" s="55"/>
      <c r="I15" s="55"/>
      <c r="J15" s="56"/>
      <c r="L15" s="403" t="s">
        <v>230</v>
      </c>
      <c r="M15" s="403"/>
      <c r="N15" s="339">
        <f>E6/E10*E12*3600/B19</f>
        <v>230075239.89183161</v>
      </c>
      <c r="O15" s="47">
        <f>N15/1000000</f>
        <v>230.07523989183161</v>
      </c>
    </row>
    <row r="16" spans="1:15" ht="20.25" customHeight="1">
      <c r="A16" s="16" t="s">
        <v>40</v>
      </c>
      <c r="B16" s="57"/>
      <c r="C16" s="58">
        <f>客户输入!H37</f>
        <v>0.9</v>
      </c>
      <c r="D16" s="59">
        <f>C16/$B$34</f>
        <v>0.13636363636363638</v>
      </c>
      <c r="E16" s="57" t="s">
        <v>41</v>
      </c>
      <c r="F16" s="60">
        <v>0.02</v>
      </c>
      <c r="G16" s="61" t="s">
        <v>42</v>
      </c>
      <c r="H16" s="57"/>
      <c r="I16" s="57"/>
      <c r="J16" s="62">
        <v>2011</v>
      </c>
      <c r="L16" s="403" t="s">
        <v>231</v>
      </c>
      <c r="M16" s="403"/>
      <c r="N16" s="339">
        <f>E51</f>
        <v>110.50444214718623</v>
      </c>
      <c r="O16" s="47">
        <f>N16*B34/100</f>
        <v>7.2932931817142901</v>
      </c>
    </row>
    <row r="17" spans="1:15" ht="15.75">
      <c r="A17" s="16" t="s">
        <v>43</v>
      </c>
      <c r="B17" s="57"/>
      <c r="C17" s="58">
        <f>客户输入!H39</f>
        <v>80</v>
      </c>
      <c r="D17" s="63">
        <f>C17/$B$34</f>
        <v>12.121212121212121</v>
      </c>
      <c r="E17" s="57" t="s">
        <v>44</v>
      </c>
      <c r="F17" s="60">
        <v>0.02</v>
      </c>
      <c r="G17" s="61" t="s">
        <v>45</v>
      </c>
      <c r="H17" s="57"/>
      <c r="I17" s="57"/>
      <c r="J17" s="62">
        <v>2013</v>
      </c>
      <c r="L17" s="403" t="s">
        <v>232</v>
      </c>
      <c r="M17" s="403"/>
      <c r="N17" s="339">
        <f>E48</f>
        <v>167.92249303191662</v>
      </c>
      <c r="O17" s="47">
        <f>N17*B34/100</f>
        <v>11.082884540106495</v>
      </c>
    </row>
    <row r="18" spans="1:15" ht="15.75">
      <c r="A18" s="16" t="s">
        <v>46</v>
      </c>
      <c r="B18" s="57"/>
      <c r="C18" s="58">
        <f>客户输入!K37</f>
        <v>3.3</v>
      </c>
      <c r="D18" s="63">
        <f>C18/B19*1000000/$B$34</f>
        <v>13.630291960853802</v>
      </c>
      <c r="E18" s="57" t="s">
        <v>44</v>
      </c>
      <c r="F18" s="60">
        <v>0.02</v>
      </c>
      <c r="G18" s="61" t="s">
        <v>47</v>
      </c>
      <c r="H18" s="57"/>
      <c r="I18" s="57"/>
      <c r="J18" s="64">
        <v>1.5</v>
      </c>
      <c r="L18" s="8"/>
    </row>
    <row r="19" spans="1:15" ht="15.75">
      <c r="A19" s="16" t="s">
        <v>48</v>
      </c>
      <c r="B19" s="65">
        <v>36683</v>
      </c>
      <c r="C19" s="57"/>
      <c r="D19" s="59"/>
      <c r="E19" s="57"/>
      <c r="F19" s="66"/>
      <c r="G19" s="61"/>
      <c r="H19" s="57"/>
      <c r="I19" s="57"/>
      <c r="J19" s="67">
        <f>(+$I$12/2*(1+$J$27)^($J$17-$J$16+$J$18))/100</f>
        <v>0.56738284279906792</v>
      </c>
      <c r="L19" s="8"/>
    </row>
    <row r="20" spans="1:15" ht="15.75">
      <c r="A20" s="16" t="s">
        <v>49</v>
      </c>
      <c r="B20" s="58">
        <v>20</v>
      </c>
      <c r="C20" s="57"/>
      <c r="D20" s="40"/>
      <c r="E20" s="57"/>
      <c r="F20" s="66"/>
      <c r="G20" s="61" t="s">
        <v>50</v>
      </c>
      <c r="H20" s="57"/>
      <c r="I20" s="57"/>
      <c r="J20" s="68">
        <f>(($J$19*100)*((1+$J$27)^0.5)*((1+$B$25)^1.5))+(($J$19*100)*((1+$J$27)^1.5)*((1+$B$25)^0.5))-I12</f>
        <v>17.303341650948084</v>
      </c>
      <c r="L20" s="8"/>
    </row>
    <row r="21" spans="1:15" ht="15.75">
      <c r="A21" s="16" t="s">
        <v>51</v>
      </c>
      <c r="B21" s="58">
        <v>15</v>
      </c>
      <c r="C21" s="57"/>
      <c r="D21" s="40"/>
      <c r="E21" s="57"/>
      <c r="F21" s="66"/>
      <c r="G21" s="69" t="s">
        <v>52</v>
      </c>
      <c r="H21" s="57"/>
      <c r="I21" s="57"/>
      <c r="J21" s="68">
        <f>B26*I12</f>
        <v>4.2351186777681118</v>
      </c>
      <c r="L21" s="8"/>
    </row>
    <row r="22" spans="1:15" ht="15.75">
      <c r="A22" s="16" t="s">
        <v>53</v>
      </c>
      <c r="B22" s="70">
        <v>15</v>
      </c>
      <c r="C22" s="57"/>
      <c r="D22" s="40"/>
      <c r="E22" s="57"/>
      <c r="F22" s="66"/>
      <c r="G22" s="71" t="s">
        <v>54</v>
      </c>
      <c r="H22" s="72"/>
      <c r="I22" s="72"/>
      <c r="J22" s="73">
        <f>I12+J20+J21</f>
        <v>127.41642727291899</v>
      </c>
      <c r="L22" s="41"/>
    </row>
    <row r="23" spans="1:15" ht="15.75">
      <c r="A23" s="16" t="s">
        <v>55</v>
      </c>
      <c r="B23" s="74">
        <v>0.8</v>
      </c>
      <c r="C23" s="57"/>
      <c r="D23" s="40"/>
      <c r="E23" s="57"/>
      <c r="F23" s="66"/>
      <c r="G23" s="61" t="s">
        <v>56</v>
      </c>
      <c r="H23" s="57"/>
      <c r="I23" s="57"/>
      <c r="J23" s="75">
        <f>J22/I12-1</f>
        <v>0.20342721862110236</v>
      </c>
      <c r="L23" s="41"/>
    </row>
    <row r="24" spans="1:15" ht="15.75">
      <c r="A24" s="16" t="s">
        <v>57</v>
      </c>
      <c r="B24" s="60">
        <v>6.4000000000000001E-2</v>
      </c>
      <c r="C24" s="57"/>
      <c r="D24" s="40"/>
      <c r="E24" s="57"/>
      <c r="F24" s="66"/>
      <c r="G24" s="76"/>
      <c r="H24" s="57"/>
      <c r="I24" s="57"/>
      <c r="J24" s="77"/>
    </row>
    <row r="25" spans="1:15" ht="15.75">
      <c r="A25" s="16" t="s">
        <v>58</v>
      </c>
      <c r="B25" s="60">
        <v>6.4000000000000001E-2</v>
      </c>
      <c r="C25" s="57"/>
      <c r="D25" s="40"/>
      <c r="E25" s="57"/>
      <c r="F25" s="66"/>
      <c r="G25" s="61" t="s">
        <v>59</v>
      </c>
      <c r="H25" s="57"/>
      <c r="I25" s="57"/>
      <c r="J25" s="78">
        <v>0.95</v>
      </c>
      <c r="K25" s="8"/>
      <c r="L25" s="8"/>
    </row>
    <row r="26" spans="1:15" ht="15.75">
      <c r="A26" s="16" t="s">
        <v>60</v>
      </c>
      <c r="B26" s="79">
        <v>0.04</v>
      </c>
      <c r="C26" s="57"/>
      <c r="D26" s="40" t="s">
        <v>61</v>
      </c>
      <c r="E26" s="57"/>
      <c r="F26" s="66"/>
      <c r="G26" s="76"/>
      <c r="H26" s="57"/>
      <c r="I26" s="57"/>
      <c r="J26" s="80"/>
      <c r="K26" s="81"/>
    </row>
    <row r="27" spans="1:15" ht="15.75">
      <c r="A27" s="16" t="s">
        <v>62</v>
      </c>
      <c r="B27" s="79">
        <v>0.08</v>
      </c>
      <c r="C27" s="57"/>
      <c r="D27" s="40"/>
      <c r="E27" s="57"/>
      <c r="F27" s="66"/>
      <c r="G27" s="61" t="s">
        <v>63</v>
      </c>
      <c r="H27" s="29"/>
      <c r="I27" s="29"/>
      <c r="J27" s="78">
        <v>0.02</v>
      </c>
      <c r="K27" s="82"/>
    </row>
    <row r="28" spans="1:15" ht="15.75">
      <c r="A28" s="16" t="s">
        <v>64</v>
      </c>
      <c r="B28" s="83">
        <v>0.25</v>
      </c>
      <c r="C28" s="57"/>
      <c r="D28" s="40"/>
      <c r="E28" s="57"/>
      <c r="F28" s="66"/>
      <c r="G28" s="84"/>
      <c r="H28" s="29"/>
      <c r="I28" s="29"/>
      <c r="J28" s="85"/>
      <c r="K28" s="86"/>
      <c r="M28" s="29"/>
    </row>
    <row r="29" spans="1:15" ht="15.75">
      <c r="A29" s="87" t="s">
        <v>65</v>
      </c>
      <c r="B29" s="57"/>
      <c r="C29" s="58">
        <v>7.9</v>
      </c>
      <c r="D29" s="35">
        <f>C29*1000000/B34/1000</f>
        <v>1196.969696969697</v>
      </c>
      <c r="E29" s="57" t="s">
        <v>66</v>
      </c>
      <c r="F29" s="66"/>
      <c r="G29" s="61" t="s">
        <v>67</v>
      </c>
      <c r="H29" s="29"/>
      <c r="I29" s="29"/>
      <c r="J29" s="78">
        <v>1</v>
      </c>
      <c r="K29" s="88"/>
      <c r="L29" s="89"/>
      <c r="M29" s="29"/>
    </row>
    <row r="30" spans="1:15" ht="15.75">
      <c r="A30" s="16" t="s">
        <v>68</v>
      </c>
      <c r="B30" s="57"/>
      <c r="C30" s="58">
        <v>20</v>
      </c>
      <c r="D30" s="90">
        <f>C30/1000/$B$34*100</f>
        <v>0.30303030303030309</v>
      </c>
      <c r="E30" s="91" t="s">
        <v>69</v>
      </c>
      <c r="F30" s="66"/>
      <c r="G30" s="61" t="s">
        <v>70</v>
      </c>
      <c r="H30" s="29"/>
      <c r="I30" s="29"/>
      <c r="J30" s="78">
        <v>0</v>
      </c>
      <c r="K30" s="82"/>
      <c r="M30" s="29"/>
    </row>
    <row r="31" spans="1:15" ht="15.75">
      <c r="A31" s="16" t="s">
        <v>71</v>
      </c>
      <c r="B31" s="57"/>
      <c r="C31" s="92">
        <v>13</v>
      </c>
      <c r="D31" s="90">
        <f>C31/1000/$B$34*100</f>
        <v>0.19696969696969699</v>
      </c>
      <c r="E31" s="91" t="s">
        <v>69</v>
      </c>
      <c r="F31" s="66"/>
      <c r="G31" s="76"/>
      <c r="H31" s="91"/>
      <c r="I31" s="34"/>
      <c r="J31" s="93"/>
      <c r="K31" s="82"/>
      <c r="M31" s="29"/>
    </row>
    <row r="32" spans="1:15" ht="15.75">
      <c r="A32" s="94" t="s">
        <v>72</v>
      </c>
      <c r="B32" s="95"/>
      <c r="C32" s="96"/>
      <c r="D32" s="96"/>
      <c r="E32" s="96"/>
      <c r="F32" s="97">
        <v>0.02</v>
      </c>
      <c r="G32" s="98"/>
      <c r="H32" s="99"/>
      <c r="I32" s="100"/>
      <c r="J32" s="101"/>
      <c r="K32" s="102"/>
      <c r="L32" s="89"/>
      <c r="M32" s="43"/>
    </row>
    <row r="33" spans="1:28" ht="15.75">
      <c r="A33" s="103"/>
      <c r="B33" s="34"/>
      <c r="C33" s="34"/>
      <c r="D33" s="34"/>
      <c r="E33" s="34"/>
      <c r="F33" s="104"/>
      <c r="G33" s="57"/>
      <c r="H33" s="29"/>
      <c r="I33" s="29"/>
      <c r="J33" s="105"/>
      <c r="K33" s="29"/>
      <c r="L33" s="29"/>
      <c r="M33" s="29"/>
      <c r="N33" s="34"/>
      <c r="O33" s="34"/>
      <c r="P33" s="34"/>
      <c r="Q33" s="34"/>
      <c r="R33" s="34"/>
      <c r="S33" s="34"/>
      <c r="T33" s="34"/>
    </row>
    <row r="34" spans="1:28" ht="16.5" thickBot="1">
      <c r="A34" s="106" t="s">
        <v>73</v>
      </c>
      <c r="B34" s="107">
        <v>6.6</v>
      </c>
      <c r="C34" s="28"/>
      <c r="D34" s="28"/>
      <c r="E34" s="28"/>
      <c r="F34" s="108"/>
      <c r="G34" s="28"/>
      <c r="H34" s="109"/>
      <c r="I34" s="110"/>
      <c r="J34" s="111"/>
      <c r="K34" s="41"/>
      <c r="L34" s="29"/>
      <c r="M34" s="29"/>
      <c r="N34" s="34"/>
      <c r="O34" s="34"/>
      <c r="P34" s="34"/>
      <c r="Q34" s="34"/>
      <c r="R34" s="34"/>
      <c r="S34" s="34"/>
      <c r="T34" s="34"/>
    </row>
    <row r="35" spans="1:28" ht="15">
      <c r="A35" s="112"/>
      <c r="B35" s="112"/>
      <c r="C35" s="113"/>
      <c r="D35" s="113"/>
      <c r="E35" s="113"/>
      <c r="F35" s="112"/>
      <c r="G35" s="113"/>
      <c r="H35" s="41"/>
      <c r="I35" s="29"/>
      <c r="J35" s="29"/>
      <c r="K35" s="34"/>
      <c r="L35" s="114"/>
      <c r="M35" s="29"/>
      <c r="N35" s="34"/>
      <c r="O35" s="34"/>
      <c r="P35" s="34"/>
      <c r="Q35" s="34"/>
      <c r="R35" s="34"/>
      <c r="S35" s="29"/>
      <c r="T35" s="29"/>
      <c r="U35" s="113"/>
      <c r="V35" s="113"/>
      <c r="W35" s="113"/>
      <c r="X35" s="113"/>
      <c r="Y35" s="113"/>
      <c r="Z35" s="113"/>
      <c r="AA35" s="113"/>
      <c r="AB35" s="113"/>
    </row>
    <row r="36" spans="1:28" ht="15">
      <c r="B36" s="91"/>
      <c r="C36" s="29"/>
      <c r="E36" s="91"/>
      <c r="G36" s="113"/>
      <c r="M36" s="115"/>
      <c r="T36" s="29"/>
      <c r="U36" s="113"/>
      <c r="V36" s="113"/>
      <c r="W36" s="113"/>
      <c r="X36" s="113"/>
      <c r="Y36" s="113"/>
      <c r="Z36" s="113"/>
      <c r="AA36" s="113"/>
      <c r="AB36" s="113"/>
    </row>
    <row r="37" spans="1:28" ht="15.75">
      <c r="A37" s="116"/>
      <c r="B37" s="112"/>
      <c r="C37" s="113"/>
      <c r="D37" s="113"/>
      <c r="E37" s="117">
        <f>$J$17</f>
        <v>2013</v>
      </c>
      <c r="F37" s="117">
        <f t="shared" ref="F37:U37" si="0">E37+1</f>
        <v>2014</v>
      </c>
      <c r="G37" s="117">
        <f t="shared" si="0"/>
        <v>2015</v>
      </c>
      <c r="H37" s="117">
        <f t="shared" si="0"/>
        <v>2016</v>
      </c>
      <c r="I37" s="117">
        <f t="shared" si="0"/>
        <v>2017</v>
      </c>
      <c r="J37" s="117">
        <f t="shared" si="0"/>
        <v>2018</v>
      </c>
      <c r="K37" s="117">
        <f t="shared" si="0"/>
        <v>2019</v>
      </c>
      <c r="L37" s="117">
        <f t="shared" si="0"/>
        <v>2020</v>
      </c>
      <c r="M37" s="117">
        <f t="shared" si="0"/>
        <v>2021</v>
      </c>
      <c r="N37" s="117">
        <f t="shared" si="0"/>
        <v>2022</v>
      </c>
      <c r="O37" s="117">
        <f t="shared" si="0"/>
        <v>2023</v>
      </c>
      <c r="P37" s="117">
        <f t="shared" si="0"/>
        <v>2024</v>
      </c>
      <c r="Q37" s="117">
        <f t="shared" si="0"/>
        <v>2025</v>
      </c>
      <c r="R37" s="117">
        <f t="shared" si="0"/>
        <v>2026</v>
      </c>
      <c r="S37" s="117">
        <f t="shared" si="0"/>
        <v>2027</v>
      </c>
      <c r="T37" s="117">
        <f t="shared" si="0"/>
        <v>2028</v>
      </c>
      <c r="U37" s="117">
        <f t="shared" si="0"/>
        <v>2029</v>
      </c>
      <c r="V37" s="117">
        <f>U37+1</f>
        <v>2030</v>
      </c>
      <c r="W37" s="117">
        <f>V37+1</f>
        <v>2031</v>
      </c>
      <c r="X37" s="117">
        <f>W37+1</f>
        <v>2032</v>
      </c>
      <c r="Y37" s="113"/>
      <c r="AB37" s="113"/>
    </row>
    <row r="38" spans="1:28" ht="15">
      <c r="A38" s="113"/>
      <c r="B38" s="113" t="s">
        <v>74</v>
      </c>
      <c r="C38" s="113"/>
      <c r="D38" s="113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3"/>
      <c r="AB38" s="113"/>
    </row>
    <row r="39" spans="1:28" ht="15">
      <c r="A39" s="113"/>
      <c r="B39" s="119" t="s">
        <v>75</v>
      </c>
      <c r="D39" s="113"/>
      <c r="E39" s="120">
        <f t="shared" ref="E39:X39" si="1">($D$18*((1+$F$18)^(E37-$J$17)))</f>
        <v>13.630291960853802</v>
      </c>
      <c r="F39" s="120">
        <f t="shared" si="1"/>
        <v>13.902897800070878</v>
      </c>
      <c r="G39" s="120">
        <f t="shared" si="1"/>
        <v>14.180955756072295</v>
      </c>
      <c r="H39" s="120">
        <f t="shared" si="1"/>
        <v>14.46457487119374</v>
      </c>
      <c r="I39" s="120">
        <f t="shared" si="1"/>
        <v>14.753866368617615</v>
      </c>
      <c r="J39" s="120">
        <f t="shared" si="1"/>
        <v>15.048943695989969</v>
      </c>
      <c r="K39" s="120">
        <f t="shared" si="1"/>
        <v>15.349922569909769</v>
      </c>
      <c r="L39" s="120">
        <f t="shared" si="1"/>
        <v>15.65692102130796</v>
      </c>
      <c r="M39" s="120">
        <f t="shared" si="1"/>
        <v>15.97005944173412</v>
      </c>
      <c r="N39" s="120">
        <f t="shared" si="1"/>
        <v>16.289460630568804</v>
      </c>
      <c r="O39" s="120">
        <f t="shared" si="1"/>
        <v>16.61524984318018</v>
      </c>
      <c r="P39" s="120">
        <f t="shared" si="1"/>
        <v>16.947554840043782</v>
      </c>
      <c r="Q39" s="120">
        <f t="shared" si="1"/>
        <v>17.286505936844659</v>
      </c>
      <c r="R39" s="120">
        <f t="shared" si="1"/>
        <v>17.632236055581551</v>
      </c>
      <c r="S39" s="120">
        <f t="shared" si="1"/>
        <v>17.984880776693185</v>
      </c>
      <c r="T39" s="120">
        <f t="shared" si="1"/>
        <v>18.344578392227042</v>
      </c>
      <c r="U39" s="120">
        <f t="shared" si="1"/>
        <v>18.711469960071586</v>
      </c>
      <c r="V39" s="120">
        <f t="shared" si="1"/>
        <v>19.085699359273022</v>
      </c>
      <c r="W39" s="120">
        <f t="shared" si="1"/>
        <v>19.467413346458478</v>
      </c>
      <c r="X39" s="120">
        <f t="shared" si="1"/>
        <v>19.856761613387647</v>
      </c>
      <c r="Y39" s="121"/>
      <c r="AB39" s="121"/>
    </row>
    <row r="40" spans="1:28" ht="15">
      <c r="A40" s="113"/>
      <c r="B40" s="119" t="s">
        <v>76</v>
      </c>
      <c r="D40" s="113"/>
      <c r="E40" s="120">
        <f t="shared" ref="E40:X40" si="2">($D$17*((1+$F$17)^(E37-$J$17)))</f>
        <v>12.121212121212121</v>
      </c>
      <c r="F40" s="120">
        <f t="shared" si="2"/>
        <v>12.363636363636363</v>
      </c>
      <c r="G40" s="120">
        <f t="shared" si="2"/>
        <v>12.610909090909091</v>
      </c>
      <c r="H40" s="120">
        <f t="shared" si="2"/>
        <v>12.863127272727272</v>
      </c>
      <c r="I40" s="120">
        <f t="shared" si="2"/>
        <v>13.120389818181819</v>
      </c>
      <c r="J40" s="120">
        <f t="shared" si="2"/>
        <v>13.382797614545455</v>
      </c>
      <c r="K40" s="120">
        <f t="shared" si="2"/>
        <v>13.650453566836365</v>
      </c>
      <c r="L40" s="120">
        <f t="shared" si="2"/>
        <v>13.923462638173088</v>
      </c>
      <c r="M40" s="120">
        <f t="shared" si="2"/>
        <v>14.201931890936551</v>
      </c>
      <c r="N40" s="120">
        <f t="shared" si="2"/>
        <v>14.485970528755283</v>
      </c>
      <c r="O40" s="120">
        <f t="shared" si="2"/>
        <v>14.775689939330389</v>
      </c>
      <c r="P40" s="120">
        <f t="shared" si="2"/>
        <v>15.071203738116994</v>
      </c>
      <c r="Q40" s="120">
        <f t="shared" si="2"/>
        <v>15.372627812879337</v>
      </c>
      <c r="R40" s="120">
        <f t="shared" si="2"/>
        <v>15.680080369136922</v>
      </c>
      <c r="S40" s="120">
        <f t="shared" si="2"/>
        <v>15.993681976519662</v>
      </c>
      <c r="T40" s="120">
        <f t="shared" si="2"/>
        <v>16.313555616050053</v>
      </c>
      <c r="U40" s="120">
        <f t="shared" si="2"/>
        <v>16.639826728371055</v>
      </c>
      <c r="V40" s="120">
        <f t="shared" si="2"/>
        <v>16.972623262938477</v>
      </c>
      <c r="W40" s="120">
        <f t="shared" si="2"/>
        <v>17.312075728197247</v>
      </c>
      <c r="X40" s="120">
        <f t="shared" si="2"/>
        <v>17.658317242761189</v>
      </c>
      <c r="Y40" s="121"/>
      <c r="AB40" s="121"/>
    </row>
    <row r="41" spans="1:28" ht="15">
      <c r="A41" s="113"/>
      <c r="B41" s="119" t="s">
        <v>77</v>
      </c>
      <c r="D41" s="113"/>
      <c r="E41" s="122">
        <f t="shared" ref="E41:X41" si="3">($D$16*((1+$F$16)^(E37-$J$17)))</f>
        <v>0.13636363636363638</v>
      </c>
      <c r="F41" s="122">
        <f t="shared" si="3"/>
        <v>0.1390909090909091</v>
      </c>
      <c r="G41" s="122">
        <f t="shared" si="3"/>
        <v>0.14187272727272729</v>
      </c>
      <c r="H41" s="122">
        <f t="shared" si="3"/>
        <v>0.14471018181818182</v>
      </c>
      <c r="I41" s="122">
        <f t="shared" si="3"/>
        <v>0.14760438545454546</v>
      </c>
      <c r="J41" s="122">
        <f t="shared" si="3"/>
        <v>0.15055647316363638</v>
      </c>
      <c r="K41" s="122">
        <f t="shared" si="3"/>
        <v>0.15356760262690913</v>
      </c>
      <c r="L41" s="122">
        <f t="shared" si="3"/>
        <v>0.15663895467944727</v>
      </c>
      <c r="M41" s="122">
        <f t="shared" si="3"/>
        <v>0.15977173377303622</v>
      </c>
      <c r="N41" s="122">
        <f t="shared" si="3"/>
        <v>0.16296716844849696</v>
      </c>
      <c r="O41" s="122">
        <f t="shared" si="3"/>
        <v>0.16622651181746689</v>
      </c>
      <c r="P41" s="122">
        <f t="shared" si="3"/>
        <v>0.16955104205381621</v>
      </c>
      <c r="Q41" s="122">
        <f t="shared" si="3"/>
        <v>0.17294206289489256</v>
      </c>
      <c r="R41" s="122">
        <f t="shared" si="3"/>
        <v>0.17640090415279039</v>
      </c>
      <c r="S41" s="122">
        <f t="shared" si="3"/>
        <v>0.17992892223584622</v>
      </c>
      <c r="T41" s="122">
        <f t="shared" si="3"/>
        <v>0.18352750068056309</v>
      </c>
      <c r="U41" s="122">
        <f t="shared" si="3"/>
        <v>0.18719805069417439</v>
      </c>
      <c r="V41" s="122">
        <f t="shared" si="3"/>
        <v>0.19094201170805788</v>
      </c>
      <c r="W41" s="122">
        <f t="shared" si="3"/>
        <v>0.19476085194221904</v>
      </c>
      <c r="X41" s="122">
        <f t="shared" si="3"/>
        <v>0.19865606898106342</v>
      </c>
      <c r="Y41" s="113"/>
      <c r="AB41" s="113"/>
    </row>
    <row r="42" spans="1:28" ht="15">
      <c r="A42" s="113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AB42" s="113"/>
    </row>
    <row r="43" spans="1:28" ht="15">
      <c r="A43" s="113"/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AB43" s="113"/>
    </row>
    <row r="44" spans="1:28" ht="15">
      <c r="A44" s="113"/>
      <c r="B44" s="113"/>
      <c r="C44" s="113"/>
      <c r="D44" s="113"/>
      <c r="E44" s="117">
        <f>$J$17</f>
        <v>2013</v>
      </c>
      <c r="F44" s="117">
        <f t="shared" ref="F44:U44" si="4">E44+1</f>
        <v>2014</v>
      </c>
      <c r="G44" s="117">
        <f t="shared" si="4"/>
        <v>2015</v>
      </c>
      <c r="H44" s="117">
        <f t="shared" si="4"/>
        <v>2016</v>
      </c>
      <c r="I44" s="117">
        <f t="shared" si="4"/>
        <v>2017</v>
      </c>
      <c r="J44" s="117">
        <f t="shared" si="4"/>
        <v>2018</v>
      </c>
      <c r="K44" s="117">
        <f t="shared" si="4"/>
        <v>2019</v>
      </c>
      <c r="L44" s="117">
        <f t="shared" si="4"/>
        <v>2020</v>
      </c>
      <c r="M44" s="117">
        <f t="shared" si="4"/>
        <v>2021</v>
      </c>
      <c r="N44" s="117">
        <f t="shared" si="4"/>
        <v>2022</v>
      </c>
      <c r="O44" s="117">
        <f t="shared" si="4"/>
        <v>2023</v>
      </c>
      <c r="P44" s="117">
        <f t="shared" si="4"/>
        <v>2024</v>
      </c>
      <c r="Q44" s="117">
        <f t="shared" si="4"/>
        <v>2025</v>
      </c>
      <c r="R44" s="117">
        <f t="shared" si="4"/>
        <v>2026</v>
      </c>
      <c r="S44" s="117">
        <f t="shared" si="4"/>
        <v>2027</v>
      </c>
      <c r="T44" s="117">
        <f t="shared" si="4"/>
        <v>2028</v>
      </c>
      <c r="U44" s="117">
        <f t="shared" si="4"/>
        <v>2029</v>
      </c>
      <c r="V44" s="117">
        <f>U44+1</f>
        <v>2030</v>
      </c>
      <c r="W44" s="117">
        <f>V44+1</f>
        <v>2031</v>
      </c>
      <c r="X44" s="117">
        <f>W44+1</f>
        <v>2032</v>
      </c>
      <c r="Y44" s="117" t="s">
        <v>78</v>
      </c>
      <c r="AB44" s="113"/>
    </row>
    <row r="45" spans="1:28" ht="15">
      <c r="A45" s="112" t="s">
        <v>79</v>
      </c>
      <c r="B45" s="112"/>
      <c r="C45" s="113"/>
      <c r="D45" s="11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AB45" s="113"/>
    </row>
    <row r="46" spans="1:28" ht="15">
      <c r="A46" s="119" t="s">
        <v>80</v>
      </c>
      <c r="B46" s="112"/>
      <c r="C46" s="113"/>
      <c r="D46" s="113"/>
      <c r="E46" s="124">
        <f>$E$6*E41*$E$12*$J$25/1000000</f>
        <v>131.22634415079492</v>
      </c>
      <c r="F46" s="124">
        <f t="shared" ref="F46:X46" si="5">$E$6*F41*$E$12*$J$25/1000000</f>
        <v>133.85087103381082</v>
      </c>
      <c r="G46" s="124">
        <f t="shared" si="5"/>
        <v>136.52788845448703</v>
      </c>
      <c r="H46" s="124">
        <f t="shared" si="5"/>
        <v>139.25844622357675</v>
      </c>
      <c r="I46" s="124">
        <f t="shared" si="5"/>
        <v>142.04361514804827</v>
      </c>
      <c r="J46" s="124">
        <f t="shared" si="5"/>
        <v>144.88448745100928</v>
      </c>
      <c r="K46" s="124">
        <f t="shared" si="5"/>
        <v>147.78217720002948</v>
      </c>
      <c r="L46" s="124">
        <f t="shared" si="5"/>
        <v>150.73782074403002</v>
      </c>
      <c r="M46" s="124">
        <f t="shared" si="5"/>
        <v>153.75257715891061</v>
      </c>
      <c r="N46" s="124">
        <f t="shared" si="5"/>
        <v>156.82762870208884</v>
      </c>
      <c r="O46" s="124">
        <f t="shared" si="5"/>
        <v>159.9641812761306</v>
      </c>
      <c r="P46" s="124">
        <f t="shared" si="5"/>
        <v>163.16346490165321</v>
      </c>
      <c r="Q46" s="124">
        <f t="shared" si="5"/>
        <v>166.42673419968628</v>
      </c>
      <c r="R46" s="124">
        <f t="shared" si="5"/>
        <v>169.75526888368</v>
      </c>
      <c r="S46" s="124">
        <f t="shared" si="5"/>
        <v>173.15037426135362</v>
      </c>
      <c r="T46" s="124">
        <f t="shared" si="5"/>
        <v>176.61338174658064</v>
      </c>
      <c r="U46" s="124">
        <f t="shared" si="5"/>
        <v>180.14564938151233</v>
      </c>
      <c r="V46" s="124">
        <f t="shared" si="5"/>
        <v>183.74856236914258</v>
      </c>
      <c r="W46" s="124">
        <f t="shared" si="5"/>
        <v>187.42353361652539</v>
      </c>
      <c r="X46" s="124">
        <f t="shared" si="5"/>
        <v>191.1720042888559</v>
      </c>
      <c r="Y46" s="124">
        <f>SUM(E46:X46)</f>
        <v>3188.4550111919061</v>
      </c>
      <c r="AB46" s="113"/>
    </row>
    <row r="47" spans="1:28" ht="15">
      <c r="A47" s="119" t="s">
        <v>81</v>
      </c>
      <c r="B47" s="112"/>
      <c r="C47" s="113"/>
      <c r="D47" s="113"/>
      <c r="E47" s="125">
        <f t="shared" ref="E47:X47" si="6">$E$7*E40*3600*$E$12*$J$25/1000000000000</f>
        <v>36.696148881121694</v>
      </c>
      <c r="F47" s="125">
        <f t="shared" si="6"/>
        <v>37.430071858744128</v>
      </c>
      <c r="G47" s="125">
        <f t="shared" si="6"/>
        <v>38.178673295919005</v>
      </c>
      <c r="H47" s="125">
        <f t="shared" si="6"/>
        <v>38.942246761837382</v>
      </c>
      <c r="I47" s="125">
        <f t="shared" si="6"/>
        <v>39.721091697074129</v>
      </c>
      <c r="J47" s="125">
        <f t="shared" si="6"/>
        <v>40.515513531015614</v>
      </c>
      <c r="K47" s="125">
        <f t="shared" si="6"/>
        <v>41.325823801635927</v>
      </c>
      <c r="L47" s="125">
        <f t="shared" si="6"/>
        <v>42.152340277668642</v>
      </c>
      <c r="M47" s="125">
        <f t="shared" si="6"/>
        <v>42.995387083222013</v>
      </c>
      <c r="N47" s="125">
        <f t="shared" si="6"/>
        <v>43.85529482488645</v>
      </c>
      <c r="O47" s="125">
        <f t="shared" si="6"/>
        <v>44.732400721384188</v>
      </c>
      <c r="P47" s="125">
        <f t="shared" si="6"/>
        <v>45.627048735811861</v>
      </c>
      <c r="Q47" s="125">
        <f t="shared" si="6"/>
        <v>46.539589710528112</v>
      </c>
      <c r="R47" s="125">
        <f t="shared" si="6"/>
        <v>47.470381504738668</v>
      </c>
      <c r="S47" s="125">
        <f t="shared" si="6"/>
        <v>48.419789134833444</v>
      </c>
      <c r="T47" s="125">
        <f t="shared" si="6"/>
        <v>49.388184917530104</v>
      </c>
      <c r="U47" s="125">
        <f t="shared" si="6"/>
        <v>50.375948615880709</v>
      </c>
      <c r="V47" s="125">
        <f t="shared" si="6"/>
        <v>51.383467588198329</v>
      </c>
      <c r="W47" s="125">
        <f t="shared" si="6"/>
        <v>52.411136939962297</v>
      </c>
      <c r="X47" s="125">
        <f t="shared" si="6"/>
        <v>53.45935967876153</v>
      </c>
      <c r="Y47" s="125">
        <f>SUM(E47:X47)</f>
        <v>891.61989956075411</v>
      </c>
      <c r="AB47" s="113"/>
    </row>
    <row r="48" spans="1:28" ht="15">
      <c r="A48" s="112" t="s">
        <v>82</v>
      </c>
      <c r="B48" s="112"/>
      <c r="C48" s="113"/>
      <c r="D48" s="113"/>
      <c r="E48" s="338">
        <f t="shared" ref="E48:Y48" si="7">SUM(E46:E47)</f>
        <v>167.92249303191662</v>
      </c>
      <c r="F48" s="124">
        <f t="shared" si="7"/>
        <v>171.28094289255495</v>
      </c>
      <c r="G48" s="124">
        <f t="shared" si="7"/>
        <v>174.70656175040602</v>
      </c>
      <c r="H48" s="124">
        <f t="shared" si="7"/>
        <v>178.20069298541415</v>
      </c>
      <c r="I48" s="124">
        <f t="shared" si="7"/>
        <v>181.76470684512242</v>
      </c>
      <c r="J48" s="124">
        <f t="shared" si="7"/>
        <v>185.40000098202489</v>
      </c>
      <c r="K48" s="124">
        <f t="shared" si="7"/>
        <v>189.1080010016654</v>
      </c>
      <c r="L48" s="124">
        <f t="shared" si="7"/>
        <v>192.89016102169865</v>
      </c>
      <c r="M48" s="124">
        <f t="shared" si="7"/>
        <v>196.74796424213264</v>
      </c>
      <c r="N48" s="124">
        <f t="shared" si="7"/>
        <v>200.68292352697529</v>
      </c>
      <c r="O48" s="124">
        <f t="shared" si="7"/>
        <v>204.69658199751478</v>
      </c>
      <c r="P48" s="124">
        <f t="shared" si="7"/>
        <v>208.79051363746507</v>
      </c>
      <c r="Q48" s="124">
        <f t="shared" si="7"/>
        <v>212.96632391021438</v>
      </c>
      <c r="R48" s="124">
        <f t="shared" si="7"/>
        <v>217.22565038841867</v>
      </c>
      <c r="S48" s="124">
        <f t="shared" si="7"/>
        <v>221.57016339618707</v>
      </c>
      <c r="T48" s="124">
        <f t="shared" si="7"/>
        <v>226.00156666411075</v>
      </c>
      <c r="U48" s="124">
        <f t="shared" si="7"/>
        <v>230.52159799739303</v>
      </c>
      <c r="V48" s="124">
        <f t="shared" si="7"/>
        <v>235.1320299573409</v>
      </c>
      <c r="W48" s="124">
        <f t="shared" si="7"/>
        <v>239.83467055648768</v>
      </c>
      <c r="X48" s="124">
        <f t="shared" si="7"/>
        <v>244.63136396761743</v>
      </c>
      <c r="Y48" s="124">
        <f t="shared" si="7"/>
        <v>4080.0749107526603</v>
      </c>
      <c r="AB48" s="113"/>
    </row>
    <row r="49" spans="1:28" ht="15">
      <c r="A49" s="113"/>
      <c r="B49" s="113"/>
      <c r="C49" s="113"/>
      <c r="D49" s="113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  <c r="U49" s="126"/>
      <c r="V49" s="126"/>
      <c r="W49" s="126"/>
      <c r="X49" s="126"/>
      <c r="Y49" s="126"/>
      <c r="AB49" s="113"/>
    </row>
    <row r="50" spans="1:28" ht="15">
      <c r="A50" s="112" t="s">
        <v>83</v>
      </c>
      <c r="B50" s="112"/>
      <c r="C50" s="113"/>
      <c r="D50" s="113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AB50" s="113"/>
    </row>
    <row r="51" spans="1:28" ht="15">
      <c r="A51" s="112" t="s">
        <v>84</v>
      </c>
      <c r="B51" s="112"/>
      <c r="C51" s="127"/>
      <c r="D51" s="113"/>
      <c r="E51" s="338">
        <f t="shared" ref="E51:X51" si="8">$E$8*E39*3600*$E$12*$J$25/1000000000000</f>
        <v>110.50444214718623</v>
      </c>
      <c r="F51" s="124">
        <f t="shared" si="8"/>
        <v>112.71453099012994</v>
      </c>
      <c r="G51" s="124">
        <f t="shared" si="8"/>
        <v>114.96882160993255</v>
      </c>
      <c r="H51" s="124">
        <f t="shared" si="8"/>
        <v>117.26819804213119</v>
      </c>
      <c r="I51" s="124">
        <f t="shared" si="8"/>
        <v>119.61356200297381</v>
      </c>
      <c r="J51" s="124">
        <f t="shared" si="8"/>
        <v>122.00583324303329</v>
      </c>
      <c r="K51" s="124">
        <f t="shared" si="8"/>
        <v>124.44594990789395</v>
      </c>
      <c r="L51" s="124">
        <f t="shared" si="8"/>
        <v>126.93486890605179</v>
      </c>
      <c r="M51" s="124">
        <f t="shared" si="8"/>
        <v>129.47356628417285</v>
      </c>
      <c r="N51" s="124">
        <f t="shared" si="8"/>
        <v>132.06303760985634</v>
      </c>
      <c r="O51" s="124">
        <f t="shared" si="8"/>
        <v>134.70429836205346</v>
      </c>
      <c r="P51" s="124">
        <f t="shared" si="8"/>
        <v>137.39838432929452</v>
      </c>
      <c r="Q51" s="124">
        <f t="shared" si="8"/>
        <v>140.14635201588041</v>
      </c>
      <c r="R51" s="124">
        <f t="shared" si="8"/>
        <v>142.94927905619801</v>
      </c>
      <c r="S51" s="124">
        <f t="shared" si="8"/>
        <v>145.808264637322</v>
      </c>
      <c r="T51" s="124">
        <f t="shared" si="8"/>
        <v>148.72442993006837</v>
      </c>
      <c r="U51" s="124">
        <f t="shared" si="8"/>
        <v>151.69891852866979</v>
      </c>
      <c r="V51" s="124">
        <f t="shared" si="8"/>
        <v>154.73289689924323</v>
      </c>
      <c r="W51" s="124">
        <f t="shared" si="8"/>
        <v>157.82755483722806</v>
      </c>
      <c r="X51" s="124">
        <f t="shared" si="8"/>
        <v>160.98410593397259</v>
      </c>
      <c r="Y51" s="124">
        <f>SUM(E51:X51)</f>
        <v>2684.9672952732922</v>
      </c>
      <c r="AB51" s="113"/>
    </row>
    <row r="52" spans="1:28" ht="15">
      <c r="A52" s="128" t="s">
        <v>85</v>
      </c>
      <c r="B52" s="112"/>
      <c r="C52" s="113"/>
      <c r="D52" s="113"/>
      <c r="E52" s="124">
        <f>($D$29/1000+$D$30/100*$E$6*$E$12*$J$25/1000000+$D$31/100*$E$6*$E$12*J25/1000000)*(1+$F$32)^(E44-$J$16)</f>
        <v>6.2513498493917963</v>
      </c>
      <c r="F52" s="124">
        <f t="shared" ref="F52:X52" si="9">($D$29/1000+$D$30/100*$E$6*$E$12*$J$25/1000000+$D$31/100*$E$6*$E$12*L18/1000000)*(1+$F$32)^(F44-$J$16)</f>
        <v>4.3648659564835235</v>
      </c>
      <c r="G52" s="124">
        <f t="shared" si="9"/>
        <v>4.4521632756131941</v>
      </c>
      <c r="H52" s="124">
        <f t="shared" si="9"/>
        <v>4.5412065411254581</v>
      </c>
      <c r="I52" s="124">
        <f t="shared" si="9"/>
        <v>4.6320306719479678</v>
      </c>
      <c r="J52" s="124">
        <f t="shared" si="9"/>
        <v>4.7246712853869255</v>
      </c>
      <c r="K52" s="124">
        <f t="shared" si="9"/>
        <v>4.8191647110946647</v>
      </c>
      <c r="L52" s="124">
        <f t="shared" si="9"/>
        <v>4.9155480053165581</v>
      </c>
      <c r="M52" s="124">
        <f t="shared" si="9"/>
        <v>5.0138589654228891</v>
      </c>
      <c r="N52" s="124">
        <f t="shared" si="9"/>
        <v>5.1141361447313463</v>
      </c>
      <c r="O52" s="124">
        <f t="shared" si="9"/>
        <v>5.2164188676259737</v>
      </c>
      <c r="P52" s="124">
        <f t="shared" si="9"/>
        <v>5.3207472449784934</v>
      </c>
      <c r="Q52" s="124">
        <f t="shared" si="9"/>
        <v>5.4271621898780635</v>
      </c>
      <c r="R52" s="124">
        <f t="shared" si="9"/>
        <v>5.5357054336756235</v>
      </c>
      <c r="S52" s="124">
        <f t="shared" si="9"/>
        <v>5.646419542349137</v>
      </c>
      <c r="T52" s="124">
        <f t="shared" si="9"/>
        <v>5.7593479331961195</v>
      </c>
      <c r="U52" s="124">
        <f t="shared" si="9"/>
        <v>5.8745348918600415</v>
      </c>
      <c r="V52" s="124">
        <f t="shared" si="9"/>
        <v>5.9920255896972421</v>
      </c>
      <c r="W52" s="124">
        <f t="shared" si="9"/>
        <v>6.1118661014911879</v>
      </c>
      <c r="X52" s="124">
        <f t="shared" si="9"/>
        <v>6.2341034235210113</v>
      </c>
      <c r="Y52" s="124">
        <f>SUM(E52:X52)</f>
        <v>105.94732662478721</v>
      </c>
      <c r="AB52" s="113"/>
    </row>
    <row r="53" spans="1:28" ht="15">
      <c r="A53" s="112" t="s">
        <v>86</v>
      </c>
      <c r="B53" s="112"/>
      <c r="C53" s="113"/>
      <c r="D53" s="113"/>
      <c r="E53" s="124">
        <f t="shared" ref="E53:Y53" si="10">SUM(E51:E52)</f>
        <v>116.75579199657803</v>
      </c>
      <c r="F53" s="124">
        <f t="shared" si="10"/>
        <v>117.07939694661347</v>
      </c>
      <c r="G53" s="124">
        <f t="shared" si="10"/>
        <v>119.42098488554574</v>
      </c>
      <c r="H53" s="124">
        <f t="shared" si="10"/>
        <v>121.80940458325665</v>
      </c>
      <c r="I53" s="124">
        <f t="shared" si="10"/>
        <v>124.24559267492178</v>
      </c>
      <c r="J53" s="124">
        <f t="shared" si="10"/>
        <v>126.73050452842023</v>
      </c>
      <c r="K53" s="124">
        <f t="shared" si="10"/>
        <v>129.2651146189886</v>
      </c>
      <c r="L53" s="124">
        <f t="shared" si="10"/>
        <v>131.85041691136834</v>
      </c>
      <c r="M53" s="124">
        <f t="shared" si="10"/>
        <v>134.48742524959573</v>
      </c>
      <c r="N53" s="124">
        <f t="shared" si="10"/>
        <v>137.17717375458767</v>
      </c>
      <c r="O53" s="124">
        <f t="shared" si="10"/>
        <v>139.92071722967944</v>
      </c>
      <c r="P53" s="124">
        <f t="shared" si="10"/>
        <v>142.71913157427301</v>
      </c>
      <c r="Q53" s="124">
        <f t="shared" si="10"/>
        <v>145.57351420575847</v>
      </c>
      <c r="R53" s="124">
        <f t="shared" si="10"/>
        <v>148.48498448987363</v>
      </c>
      <c r="S53" s="124">
        <f t="shared" si="10"/>
        <v>151.45468417967115</v>
      </c>
      <c r="T53" s="124">
        <f t="shared" si="10"/>
        <v>154.48377786326449</v>
      </c>
      <c r="U53" s="124">
        <f t="shared" si="10"/>
        <v>157.57345342052983</v>
      </c>
      <c r="V53" s="124">
        <f t="shared" si="10"/>
        <v>160.72492248894048</v>
      </c>
      <c r="W53" s="124">
        <f t="shared" si="10"/>
        <v>163.93942093871925</v>
      </c>
      <c r="X53" s="124">
        <f t="shared" si="10"/>
        <v>167.21820935749361</v>
      </c>
      <c r="Y53" s="124">
        <f t="shared" si="10"/>
        <v>2790.9146218980795</v>
      </c>
      <c r="AB53" s="113"/>
    </row>
    <row r="54" spans="1:28" ht="15">
      <c r="A54" s="113"/>
      <c r="B54" s="113"/>
      <c r="C54" s="113"/>
      <c r="D54" s="113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AB54" s="113"/>
    </row>
    <row r="55" spans="1:28" ht="65.25" customHeight="1">
      <c r="A55" s="112" t="s">
        <v>87</v>
      </c>
      <c r="B55" s="112"/>
      <c r="C55" s="113"/>
      <c r="D55" s="113"/>
      <c r="E55" s="124">
        <f t="shared" ref="E55:X55" si="11">E$48-E$53</f>
        <v>51.16670103533859</v>
      </c>
      <c r="F55" s="124">
        <f t="shared" si="11"/>
        <v>54.201545945941476</v>
      </c>
      <c r="G55" s="124">
        <f t="shared" si="11"/>
        <v>55.285576864860289</v>
      </c>
      <c r="H55" s="124">
        <f t="shared" si="11"/>
        <v>56.3912884021575</v>
      </c>
      <c r="I55" s="124">
        <f t="shared" si="11"/>
        <v>57.519114170200638</v>
      </c>
      <c r="J55" s="124">
        <f t="shared" si="11"/>
        <v>58.669496453604665</v>
      </c>
      <c r="K55" s="124">
        <f t="shared" si="11"/>
        <v>59.842886382676795</v>
      </c>
      <c r="L55" s="124">
        <f t="shared" si="11"/>
        <v>61.039744110330304</v>
      </c>
      <c r="M55" s="124">
        <f t="shared" si="11"/>
        <v>62.260538992536908</v>
      </c>
      <c r="N55" s="124">
        <f t="shared" si="11"/>
        <v>63.505749772387617</v>
      </c>
      <c r="O55" s="124">
        <f t="shared" si="11"/>
        <v>64.775864767835344</v>
      </c>
      <c r="P55" s="124">
        <f t="shared" si="11"/>
        <v>66.071382063192061</v>
      </c>
      <c r="Q55" s="124">
        <f t="shared" si="11"/>
        <v>67.392809704455914</v>
      </c>
      <c r="R55" s="124">
        <f t="shared" si="11"/>
        <v>68.740665898545046</v>
      </c>
      <c r="S55" s="124">
        <f t="shared" si="11"/>
        <v>70.115479216515922</v>
      </c>
      <c r="T55" s="124">
        <f t="shared" si="11"/>
        <v>71.517788800846262</v>
      </c>
      <c r="U55" s="124">
        <f t="shared" si="11"/>
        <v>72.9481445768632</v>
      </c>
      <c r="V55" s="124">
        <f t="shared" si="11"/>
        <v>74.407107468400426</v>
      </c>
      <c r="W55" s="124">
        <f t="shared" si="11"/>
        <v>75.895249617768428</v>
      </c>
      <c r="X55" s="124">
        <f t="shared" si="11"/>
        <v>77.413154610123826</v>
      </c>
      <c r="Y55" s="124">
        <f>SUM(E55:X55)</f>
        <v>1289.1602888545815</v>
      </c>
      <c r="AB55" s="113"/>
    </row>
    <row r="56" spans="1:28" ht="15">
      <c r="A56" s="129"/>
      <c r="B56" s="129"/>
      <c r="C56" s="129"/>
      <c r="D56" s="129"/>
      <c r="E56" s="129"/>
      <c r="F56" s="129"/>
      <c r="G56" s="130"/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  <c r="S56" s="130"/>
      <c r="T56" s="130"/>
      <c r="U56" s="130"/>
      <c r="V56" s="130"/>
      <c r="W56" s="130"/>
      <c r="X56" s="130"/>
      <c r="Y56" s="130"/>
      <c r="Z56" s="130"/>
      <c r="AA56" s="130"/>
      <c r="AB56" s="113"/>
    </row>
    <row r="57" spans="1:28" ht="20.25">
      <c r="A57" s="131" t="s">
        <v>88</v>
      </c>
      <c r="B57" s="113"/>
      <c r="C57" s="113"/>
      <c r="D57" s="113"/>
      <c r="E57" s="132"/>
      <c r="F57" s="113"/>
      <c r="G57" s="113"/>
      <c r="H57" s="113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</row>
    <row r="58" spans="1:28" ht="15">
      <c r="A58" s="113"/>
      <c r="B58" s="113"/>
      <c r="C58" s="113"/>
      <c r="D58" s="113"/>
      <c r="E58" s="113"/>
      <c r="F58" s="113"/>
      <c r="G58" s="113"/>
      <c r="AB58" s="113"/>
    </row>
    <row r="59" spans="1:28" ht="15">
      <c r="A59" s="112" t="s">
        <v>89</v>
      </c>
      <c r="B59" s="113"/>
      <c r="C59" s="133">
        <f>($J$22)</f>
        <v>127.41642727291899</v>
      </c>
      <c r="D59" s="112" t="s">
        <v>90</v>
      </c>
      <c r="E59" s="113"/>
      <c r="F59" s="133">
        <f>PMT(B24,B22,-C60)</f>
        <v>10.771336259479378</v>
      </c>
      <c r="G59" s="112" t="s">
        <v>91</v>
      </c>
      <c r="AB59" s="113"/>
    </row>
    <row r="60" spans="1:28" ht="15">
      <c r="A60" s="112" t="s">
        <v>92</v>
      </c>
      <c r="B60" s="134">
        <f>($B$23)</f>
        <v>0.8</v>
      </c>
      <c r="C60" s="133">
        <f>($B$60*C59)</f>
        <v>101.9331418183352</v>
      </c>
      <c r="D60" s="118" t="s">
        <v>93</v>
      </c>
      <c r="E60" s="134">
        <f>(B24)</f>
        <v>6.4000000000000001E-2</v>
      </c>
      <c r="F60" s="135">
        <f>(B22)</f>
        <v>15</v>
      </c>
      <c r="G60" s="112" t="s">
        <v>94</v>
      </c>
      <c r="AB60" s="113"/>
    </row>
    <row r="61" spans="1:28" ht="15">
      <c r="A61" s="112" t="s">
        <v>95</v>
      </c>
      <c r="B61" s="134">
        <f>1-B60</f>
        <v>0.19999999999999996</v>
      </c>
      <c r="C61" s="133">
        <f>(C59-C60)</f>
        <v>25.483285454583793</v>
      </c>
      <c r="AB61" s="113"/>
    </row>
    <row r="62" spans="1:28" ht="15">
      <c r="A62" s="113"/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</row>
    <row r="63" spans="1:28" ht="15">
      <c r="D63" s="113"/>
      <c r="E63" s="113">
        <v>1</v>
      </c>
      <c r="F63" s="113">
        <v>2</v>
      </c>
      <c r="G63" s="113">
        <v>3</v>
      </c>
      <c r="H63" s="113">
        <v>4</v>
      </c>
      <c r="I63" s="113">
        <v>5</v>
      </c>
      <c r="J63" s="113">
        <v>6</v>
      </c>
      <c r="K63" s="113">
        <v>7</v>
      </c>
      <c r="L63" s="113">
        <v>8</v>
      </c>
      <c r="M63" s="113">
        <v>9</v>
      </c>
      <c r="N63" s="113">
        <v>10</v>
      </c>
      <c r="O63" s="113">
        <v>11</v>
      </c>
      <c r="P63" s="113">
        <v>12</v>
      </c>
      <c r="Q63" s="113">
        <v>13</v>
      </c>
      <c r="R63" s="113">
        <v>14</v>
      </c>
      <c r="S63" s="113">
        <v>15</v>
      </c>
      <c r="T63" s="113">
        <v>16</v>
      </c>
      <c r="U63" s="113">
        <v>17</v>
      </c>
      <c r="V63" s="113">
        <v>18</v>
      </c>
      <c r="W63" s="113">
        <v>19</v>
      </c>
      <c r="X63" s="113">
        <v>20</v>
      </c>
      <c r="Y63" s="113"/>
      <c r="Z63" s="113"/>
      <c r="AB63" s="113"/>
    </row>
    <row r="64" spans="1:28" ht="15">
      <c r="A64" s="113"/>
      <c r="B64" s="113"/>
      <c r="C64" s="113"/>
      <c r="D64" s="113"/>
      <c r="E64" s="136">
        <f>$J$17</f>
        <v>2013</v>
      </c>
      <c r="F64" s="136">
        <f t="shared" ref="F64:U64" si="12">E64+1</f>
        <v>2014</v>
      </c>
      <c r="G64" s="136">
        <f t="shared" si="12"/>
        <v>2015</v>
      </c>
      <c r="H64" s="136">
        <f t="shared" si="12"/>
        <v>2016</v>
      </c>
      <c r="I64" s="136">
        <f t="shared" si="12"/>
        <v>2017</v>
      </c>
      <c r="J64" s="136">
        <f t="shared" si="12"/>
        <v>2018</v>
      </c>
      <c r="K64" s="136">
        <f t="shared" si="12"/>
        <v>2019</v>
      </c>
      <c r="L64" s="136">
        <f t="shared" si="12"/>
        <v>2020</v>
      </c>
      <c r="M64" s="136">
        <f t="shared" si="12"/>
        <v>2021</v>
      </c>
      <c r="N64" s="136">
        <f t="shared" si="12"/>
        <v>2022</v>
      </c>
      <c r="O64" s="136">
        <f t="shared" si="12"/>
        <v>2023</v>
      </c>
      <c r="P64" s="136">
        <f t="shared" si="12"/>
        <v>2024</v>
      </c>
      <c r="Q64" s="136">
        <f t="shared" si="12"/>
        <v>2025</v>
      </c>
      <c r="R64" s="136">
        <f t="shared" si="12"/>
        <v>2026</v>
      </c>
      <c r="S64" s="136">
        <f t="shared" si="12"/>
        <v>2027</v>
      </c>
      <c r="T64" s="136">
        <f t="shared" si="12"/>
        <v>2028</v>
      </c>
      <c r="U64" s="136">
        <f t="shared" si="12"/>
        <v>2029</v>
      </c>
      <c r="V64" s="136">
        <f>U64+1</f>
        <v>2030</v>
      </c>
      <c r="W64" s="136">
        <f>V64+1</f>
        <v>2031</v>
      </c>
      <c r="X64" s="136">
        <f>W64+1</f>
        <v>2032</v>
      </c>
      <c r="Y64" s="137" t="s">
        <v>78</v>
      </c>
      <c r="Z64" s="113"/>
      <c r="AB64" s="113"/>
    </row>
    <row r="65" spans="1:28" ht="15">
      <c r="A65" s="113"/>
      <c r="B65" s="113"/>
      <c r="C65" s="113"/>
      <c r="D65" s="113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3"/>
      <c r="AB65" s="113"/>
    </row>
    <row r="66" spans="1:28" ht="15">
      <c r="A66" s="112" t="s">
        <v>96</v>
      </c>
      <c r="B66" s="113"/>
      <c r="C66" s="113"/>
      <c r="D66" s="113"/>
      <c r="E66" s="133">
        <f t="shared" ref="E66:X66" si="13">(E55)</f>
        <v>51.16670103533859</v>
      </c>
      <c r="F66" s="133">
        <f t="shared" si="13"/>
        <v>54.201545945941476</v>
      </c>
      <c r="G66" s="133">
        <f t="shared" si="13"/>
        <v>55.285576864860289</v>
      </c>
      <c r="H66" s="133">
        <f t="shared" si="13"/>
        <v>56.3912884021575</v>
      </c>
      <c r="I66" s="133">
        <f t="shared" si="13"/>
        <v>57.519114170200638</v>
      </c>
      <c r="J66" s="133">
        <f t="shared" si="13"/>
        <v>58.669496453604665</v>
      </c>
      <c r="K66" s="133">
        <f t="shared" si="13"/>
        <v>59.842886382676795</v>
      </c>
      <c r="L66" s="133">
        <f t="shared" si="13"/>
        <v>61.039744110330304</v>
      </c>
      <c r="M66" s="133">
        <f t="shared" si="13"/>
        <v>62.260538992536908</v>
      </c>
      <c r="N66" s="133">
        <f t="shared" si="13"/>
        <v>63.505749772387617</v>
      </c>
      <c r="O66" s="133">
        <f t="shared" si="13"/>
        <v>64.775864767835344</v>
      </c>
      <c r="P66" s="133">
        <f t="shared" si="13"/>
        <v>66.071382063192061</v>
      </c>
      <c r="Q66" s="133">
        <f t="shared" si="13"/>
        <v>67.392809704455914</v>
      </c>
      <c r="R66" s="133">
        <f t="shared" si="13"/>
        <v>68.740665898545046</v>
      </c>
      <c r="S66" s="133">
        <f t="shared" si="13"/>
        <v>70.115479216515922</v>
      </c>
      <c r="T66" s="133">
        <f t="shared" si="13"/>
        <v>71.517788800846262</v>
      </c>
      <c r="U66" s="133">
        <f t="shared" si="13"/>
        <v>72.9481445768632</v>
      </c>
      <c r="V66" s="133">
        <f t="shared" si="13"/>
        <v>74.407107468400426</v>
      </c>
      <c r="W66" s="133">
        <f t="shared" si="13"/>
        <v>75.895249617768428</v>
      </c>
      <c r="X66" s="133">
        <f t="shared" si="13"/>
        <v>77.413154610123826</v>
      </c>
      <c r="Y66" s="133">
        <f>SUM(D66:X66)</f>
        <v>1289.1602888545815</v>
      </c>
      <c r="Z66" s="113"/>
      <c r="AB66" s="113"/>
    </row>
    <row r="67" spans="1:28" ht="15">
      <c r="A67" s="112" t="s">
        <v>97</v>
      </c>
      <c r="B67" s="113"/>
      <c r="C67" s="113"/>
      <c r="D67" s="113"/>
      <c r="E67" s="133">
        <f t="shared" ref="E67:X67" si="14">($C$59*E99)</f>
        <v>8.4944284848612668</v>
      </c>
      <c r="F67" s="133">
        <f t="shared" si="14"/>
        <v>8.4944284848612668</v>
      </c>
      <c r="G67" s="133">
        <f t="shared" si="14"/>
        <v>8.4944284848612668</v>
      </c>
      <c r="H67" s="133">
        <f t="shared" si="14"/>
        <v>8.4944284848612668</v>
      </c>
      <c r="I67" s="133">
        <f t="shared" si="14"/>
        <v>8.4944284848612668</v>
      </c>
      <c r="J67" s="133">
        <f t="shared" si="14"/>
        <v>8.4944284848612668</v>
      </c>
      <c r="K67" s="133">
        <f t="shared" si="14"/>
        <v>8.4944284848612668</v>
      </c>
      <c r="L67" s="133">
        <f t="shared" si="14"/>
        <v>8.4944284848612668</v>
      </c>
      <c r="M67" s="133">
        <f t="shared" si="14"/>
        <v>8.4944284848612668</v>
      </c>
      <c r="N67" s="133">
        <f t="shared" si="14"/>
        <v>8.4944284848612668</v>
      </c>
      <c r="O67" s="133">
        <f t="shared" si="14"/>
        <v>8.4944284848612668</v>
      </c>
      <c r="P67" s="133">
        <f t="shared" si="14"/>
        <v>8.4944284848612668</v>
      </c>
      <c r="Q67" s="133">
        <f t="shared" si="14"/>
        <v>8.4944284848612668</v>
      </c>
      <c r="R67" s="133">
        <f t="shared" si="14"/>
        <v>8.4944284848612668</v>
      </c>
      <c r="S67" s="133">
        <f t="shared" si="14"/>
        <v>8.4944284848612668</v>
      </c>
      <c r="T67" s="133">
        <f t="shared" si="14"/>
        <v>8.4944284848612668</v>
      </c>
      <c r="U67" s="133">
        <f t="shared" si="14"/>
        <v>0</v>
      </c>
      <c r="V67" s="133">
        <f t="shared" si="14"/>
        <v>0</v>
      </c>
      <c r="W67" s="133">
        <f t="shared" si="14"/>
        <v>0</v>
      </c>
      <c r="X67" s="133">
        <f t="shared" si="14"/>
        <v>0</v>
      </c>
      <c r="Y67" s="133">
        <f>SUM(D67:X67)</f>
        <v>135.91085575778021</v>
      </c>
      <c r="Z67" s="113"/>
      <c r="AB67" s="113"/>
    </row>
    <row r="68" spans="1:28" ht="15">
      <c r="A68" s="112" t="s">
        <v>98</v>
      </c>
      <c r="B68" s="113"/>
      <c r="C68" s="113"/>
      <c r="D68" s="113"/>
      <c r="E68" s="138">
        <f>($E$60*$C$60)</f>
        <v>6.5237210763734534</v>
      </c>
      <c r="F68" s="138">
        <f>($E$60*($C$60-SUM(E74)))</f>
        <v>6.251873704654674</v>
      </c>
      <c r="G68" s="138">
        <f>($E$60*($C$60-SUM($E$74:F74)))</f>
        <v>5.9626281011458921</v>
      </c>
      <c r="H68" s="138">
        <f>($E$60*($C$60-SUM($E$74:G74)))</f>
        <v>5.6548707790125503</v>
      </c>
      <c r="I68" s="138">
        <f>($E$60*($C$60-SUM($E$74:H74)))</f>
        <v>5.3274169882626721</v>
      </c>
      <c r="J68" s="138">
        <f>($E$60*($C$60-SUM($E$74:I74)))</f>
        <v>4.9790061549048037</v>
      </c>
      <c r="K68" s="138">
        <f>($E$60*($C$60-SUM($E$74:J74)))</f>
        <v>4.6082970282120304</v>
      </c>
      <c r="L68" s="138">
        <f>($E$60*($C$60-SUM($E$74:K74)))</f>
        <v>4.2138625174109201</v>
      </c>
      <c r="M68" s="138">
        <f>($E$60*($C$60-SUM($E$74:L74)))</f>
        <v>3.7941841979185389</v>
      </c>
      <c r="N68" s="138">
        <f>($E$60*($C$60-SUM($E$74:M74)))</f>
        <v>3.3476464659786451</v>
      </c>
      <c r="O68" s="138">
        <f>($E$60*($C$60-SUM($E$74:N74)))</f>
        <v>2.8725303191945981</v>
      </c>
      <c r="P68" s="138">
        <f>($E$60*($C$60-SUM($E$74:O74)))</f>
        <v>2.367006739016372</v>
      </c>
      <c r="Q68" s="138">
        <f>($E$60*($C$60-SUM($E$74:P74)))</f>
        <v>1.8291296497067397</v>
      </c>
      <c r="R68" s="138">
        <f>($E$60*($C$60-SUM($E$74:Q74)))</f>
        <v>1.2568284266812908</v>
      </c>
      <c r="S68" s="138">
        <f>($E$60*($C$60-SUM($E$74:R74)))</f>
        <v>0.64789992538221308</v>
      </c>
      <c r="T68" s="138">
        <f>($E$60*($C$60-SUM($E$74:S74)))</f>
        <v>0</v>
      </c>
      <c r="U68" s="138">
        <f>($E$60*($C$60-SUM($E$74:T74)))</f>
        <v>0</v>
      </c>
      <c r="V68" s="138">
        <f>($E$60*($C$60-SUM($E$74:U74)))</f>
        <v>0</v>
      </c>
      <c r="W68" s="138">
        <f>($E$60*($C$60-SUM($E$74:V74)))</f>
        <v>0</v>
      </c>
      <c r="X68" s="138">
        <f>($E$60*($C$60-SUM($E$74:W74)))</f>
        <v>0</v>
      </c>
      <c r="Y68" s="138">
        <f>SUM(D68:X68)</f>
        <v>59.636902073855389</v>
      </c>
      <c r="Z68" s="113"/>
      <c r="AB68" s="113"/>
    </row>
    <row r="69" spans="1:28" ht="18.75" customHeight="1">
      <c r="A69" s="112" t="s">
        <v>99</v>
      </c>
      <c r="B69" s="113"/>
      <c r="C69" s="113"/>
      <c r="D69" s="113"/>
      <c r="E69" s="133">
        <f>(E66-E67-E68)</f>
        <v>36.148551474103868</v>
      </c>
      <c r="F69" s="133">
        <f t="shared" ref="F69:X69" si="15">(F66-F67-F68)</f>
        <v>39.455243756425531</v>
      </c>
      <c r="G69" s="133">
        <f t="shared" si="15"/>
        <v>40.828520278853134</v>
      </c>
      <c r="H69" s="133">
        <f t="shared" si="15"/>
        <v>42.241989138283685</v>
      </c>
      <c r="I69" s="133">
        <f t="shared" si="15"/>
        <v>43.697268697076701</v>
      </c>
      <c r="J69" s="133">
        <f t="shared" si="15"/>
        <v>45.196061813838597</v>
      </c>
      <c r="K69" s="133">
        <f t="shared" si="15"/>
        <v>46.7401608696035</v>
      </c>
      <c r="L69" s="133">
        <f t="shared" si="15"/>
        <v>48.331453108058113</v>
      </c>
      <c r="M69" s="133">
        <f t="shared" si="15"/>
        <v>49.971926309757102</v>
      </c>
      <c r="N69" s="133">
        <f t="shared" si="15"/>
        <v>51.663674821547701</v>
      </c>
      <c r="O69" s="133">
        <f t="shared" si="15"/>
        <v>53.408905963779482</v>
      </c>
      <c r="P69" s="133">
        <f t="shared" si="15"/>
        <v>55.209946839314419</v>
      </c>
      <c r="Q69" s="133">
        <f t="shared" si="15"/>
        <v>57.069251569887911</v>
      </c>
      <c r="R69" s="133">
        <f t="shared" si="15"/>
        <v>58.989408987002491</v>
      </c>
      <c r="S69" s="133">
        <f t="shared" si="15"/>
        <v>60.973150806272443</v>
      </c>
      <c r="T69" s="133">
        <f t="shared" si="15"/>
        <v>63.023360315984995</v>
      </c>
      <c r="U69" s="133">
        <f t="shared" si="15"/>
        <v>72.9481445768632</v>
      </c>
      <c r="V69" s="133">
        <f t="shared" si="15"/>
        <v>74.407107468400426</v>
      </c>
      <c r="W69" s="133">
        <f t="shared" si="15"/>
        <v>75.895249617768428</v>
      </c>
      <c r="X69" s="133">
        <f t="shared" si="15"/>
        <v>77.413154610123826</v>
      </c>
      <c r="Y69" s="133">
        <f>SUM(D69:X69)</f>
        <v>1093.6125310229456</v>
      </c>
      <c r="Z69" s="113"/>
    </row>
    <row r="70" spans="1:28" ht="15">
      <c r="A70" s="112" t="s">
        <v>100</v>
      </c>
      <c r="B70" s="134">
        <f>($B$28)</f>
        <v>0.25</v>
      </c>
      <c r="C70" s="113"/>
      <c r="D70" s="113"/>
      <c r="E70" s="138">
        <f t="shared" ref="E70:X70" si="16">($B$70*E69)</f>
        <v>9.0371378685259671</v>
      </c>
      <c r="F70" s="138">
        <f t="shared" si="16"/>
        <v>9.8638109391063828</v>
      </c>
      <c r="G70" s="138">
        <f t="shared" si="16"/>
        <v>10.207130069713283</v>
      </c>
      <c r="H70" s="138">
        <f t="shared" si="16"/>
        <v>10.560497284570921</v>
      </c>
      <c r="I70" s="138">
        <f t="shared" si="16"/>
        <v>10.924317174269175</v>
      </c>
      <c r="J70" s="138">
        <f t="shared" si="16"/>
        <v>11.299015453459649</v>
      </c>
      <c r="K70" s="138">
        <f t="shared" si="16"/>
        <v>11.685040217400875</v>
      </c>
      <c r="L70" s="138">
        <f t="shared" si="16"/>
        <v>12.082863277014528</v>
      </c>
      <c r="M70" s="138">
        <f t="shared" si="16"/>
        <v>12.492981577439275</v>
      </c>
      <c r="N70" s="138">
        <f t="shared" si="16"/>
        <v>12.915918705386925</v>
      </c>
      <c r="O70" s="138">
        <f t="shared" si="16"/>
        <v>13.35222649094487</v>
      </c>
      <c r="P70" s="138">
        <f t="shared" si="16"/>
        <v>13.802486709828605</v>
      </c>
      <c r="Q70" s="138">
        <f t="shared" si="16"/>
        <v>14.267312892471978</v>
      </c>
      <c r="R70" s="138">
        <f t="shared" si="16"/>
        <v>14.747352246750623</v>
      </c>
      <c r="S70" s="138">
        <f t="shared" si="16"/>
        <v>15.243287701568111</v>
      </c>
      <c r="T70" s="138">
        <f t="shared" si="16"/>
        <v>15.755840078996249</v>
      </c>
      <c r="U70" s="138">
        <f t="shared" si="16"/>
        <v>18.2370361442158</v>
      </c>
      <c r="V70" s="138">
        <f t="shared" si="16"/>
        <v>18.601776867100106</v>
      </c>
      <c r="W70" s="138">
        <f t="shared" si="16"/>
        <v>18.973812404442107</v>
      </c>
      <c r="X70" s="138">
        <f t="shared" si="16"/>
        <v>19.353288652530956</v>
      </c>
      <c r="Y70" s="138">
        <f>SUM(D70:X70)</f>
        <v>273.40313275573641</v>
      </c>
      <c r="Z70" s="113"/>
    </row>
    <row r="71" spans="1:28" ht="15">
      <c r="A71" s="113"/>
      <c r="B71" s="113"/>
      <c r="C71" s="113"/>
      <c r="D71" s="113"/>
      <c r="E71" s="139"/>
      <c r="F71" s="139"/>
      <c r="G71" s="139"/>
      <c r="H71" s="139"/>
      <c r="I71" s="139"/>
      <c r="J71" s="139"/>
      <c r="K71" s="139"/>
      <c r="L71" s="139"/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13"/>
    </row>
    <row r="72" spans="1:28" ht="15">
      <c r="A72" s="112" t="s">
        <v>101</v>
      </c>
      <c r="B72" s="113"/>
      <c r="C72" s="113"/>
      <c r="D72" s="113"/>
      <c r="E72" s="133">
        <f t="shared" ref="E72:X72" si="17">(E69-E70)</f>
        <v>27.111413605577901</v>
      </c>
      <c r="F72" s="133">
        <f t="shared" si="17"/>
        <v>29.591432817319149</v>
      </c>
      <c r="G72" s="133">
        <f t="shared" si="17"/>
        <v>30.62139020913985</v>
      </c>
      <c r="H72" s="133">
        <f t="shared" si="17"/>
        <v>31.681491853712764</v>
      </c>
      <c r="I72" s="133">
        <f t="shared" si="17"/>
        <v>32.772951522807524</v>
      </c>
      <c r="J72" s="133">
        <f t="shared" si="17"/>
        <v>33.897046360378951</v>
      </c>
      <c r="K72" s="133">
        <f t="shared" si="17"/>
        <v>35.055120652202625</v>
      </c>
      <c r="L72" s="133">
        <f t="shared" si="17"/>
        <v>36.248589831043589</v>
      </c>
      <c r="M72" s="133">
        <f t="shared" si="17"/>
        <v>37.478944732317828</v>
      </c>
      <c r="N72" s="133">
        <f t="shared" si="17"/>
        <v>38.747756116160772</v>
      </c>
      <c r="O72" s="133">
        <f t="shared" si="17"/>
        <v>40.05667947283461</v>
      </c>
      <c r="P72" s="133">
        <f t="shared" si="17"/>
        <v>41.407460129485813</v>
      </c>
      <c r="Q72" s="133">
        <f t="shared" si="17"/>
        <v>42.801938677415933</v>
      </c>
      <c r="R72" s="133">
        <f t="shared" si="17"/>
        <v>44.242056740251869</v>
      </c>
      <c r="S72" s="133">
        <f t="shared" si="17"/>
        <v>45.729863104704336</v>
      </c>
      <c r="T72" s="133">
        <f t="shared" si="17"/>
        <v>47.267520236988744</v>
      </c>
      <c r="U72" s="133">
        <f t="shared" si="17"/>
        <v>54.7111084326474</v>
      </c>
      <c r="V72" s="133">
        <f t="shared" si="17"/>
        <v>55.805330601300319</v>
      </c>
      <c r="W72" s="133">
        <f t="shared" si="17"/>
        <v>56.921437213326321</v>
      </c>
      <c r="X72" s="133">
        <f t="shared" si="17"/>
        <v>58.059865957592869</v>
      </c>
      <c r="Y72" s="133">
        <f>SUM(D72:X72)</f>
        <v>820.20939826720894</v>
      </c>
      <c r="Z72" s="113"/>
    </row>
    <row r="73" spans="1:28" ht="18.75" customHeight="1">
      <c r="A73" s="112" t="s">
        <v>102</v>
      </c>
      <c r="B73" s="113"/>
      <c r="C73" s="113"/>
      <c r="D73" s="113"/>
      <c r="E73" s="133">
        <f t="shared" ref="E73:X73" si="18">(E72+E67)</f>
        <v>35.605842090439168</v>
      </c>
      <c r="F73" s="133">
        <f t="shared" si="18"/>
        <v>38.085861302180419</v>
      </c>
      <c r="G73" s="133">
        <f t="shared" si="18"/>
        <v>39.115818694001121</v>
      </c>
      <c r="H73" s="133">
        <f t="shared" si="18"/>
        <v>40.175920338574031</v>
      </c>
      <c r="I73" s="133">
        <f t="shared" si="18"/>
        <v>41.267380007668791</v>
      </c>
      <c r="J73" s="133">
        <f t="shared" si="18"/>
        <v>42.391474845240218</v>
      </c>
      <c r="K73" s="133">
        <f t="shared" si="18"/>
        <v>43.549549137063892</v>
      </c>
      <c r="L73" s="133">
        <f t="shared" si="18"/>
        <v>44.743018315904855</v>
      </c>
      <c r="M73" s="133">
        <f t="shared" si="18"/>
        <v>45.973373217179095</v>
      </c>
      <c r="N73" s="133">
        <f t="shared" si="18"/>
        <v>47.242184601022039</v>
      </c>
      <c r="O73" s="133">
        <f t="shared" si="18"/>
        <v>48.551107957695876</v>
      </c>
      <c r="P73" s="133">
        <f t="shared" si="18"/>
        <v>49.901888614347079</v>
      </c>
      <c r="Q73" s="133">
        <f t="shared" si="18"/>
        <v>51.2963671622772</v>
      </c>
      <c r="R73" s="133">
        <f t="shared" si="18"/>
        <v>52.736485225113135</v>
      </c>
      <c r="S73" s="133">
        <f t="shared" si="18"/>
        <v>54.224291589565603</v>
      </c>
      <c r="T73" s="133">
        <f t="shared" si="18"/>
        <v>55.761948721850011</v>
      </c>
      <c r="U73" s="133">
        <f t="shared" si="18"/>
        <v>54.7111084326474</v>
      </c>
      <c r="V73" s="133">
        <f t="shared" si="18"/>
        <v>55.805330601300319</v>
      </c>
      <c r="W73" s="133">
        <f t="shared" si="18"/>
        <v>56.921437213326321</v>
      </c>
      <c r="X73" s="133">
        <f t="shared" si="18"/>
        <v>58.059865957592869</v>
      </c>
      <c r="Y73" s="133">
        <f>SUM(D73:X73)</f>
        <v>956.12025402498921</v>
      </c>
      <c r="Z73" s="113"/>
    </row>
    <row r="74" spans="1:28" ht="15">
      <c r="A74" s="112" t="s">
        <v>103</v>
      </c>
      <c r="B74" s="113"/>
      <c r="C74" s="113"/>
      <c r="D74" s="113"/>
      <c r="E74" s="138">
        <f>($F$59-E68)</f>
        <v>4.2476151831059248</v>
      </c>
      <c r="F74" s="138">
        <f>PMT($E$60,$F$60,-$C$60)-F68</f>
        <v>4.5194625548247043</v>
      </c>
      <c r="G74" s="138">
        <f>PMT($E$60,$F$60,-$C$60)-G68</f>
        <v>4.8087081583334861</v>
      </c>
      <c r="H74" s="138">
        <f>PMT($E$60,$F$60,-$C$60)-H68</f>
        <v>5.1164654804668279</v>
      </c>
      <c r="I74" s="138">
        <f>PMT($E$60,$F$60,-$C$60)-I68</f>
        <v>5.4439192712167062</v>
      </c>
      <c r="J74" s="138">
        <f>MINA($F$59-J68,$C$60-SUM($E$74:I$74))</f>
        <v>5.7923301045745745</v>
      </c>
      <c r="K74" s="138">
        <f>MINA($F$59-K68,$C$60-SUM($E$74:J$74))</f>
        <v>6.1630392312673479</v>
      </c>
      <c r="L74" s="138">
        <f>MINA($F$59-L68,$C$60-SUM($E$74:K$74))</f>
        <v>6.5574737420684581</v>
      </c>
      <c r="M74" s="138">
        <f>MINA($F$59-M68,$C$60-SUM($E$74:L$74))</f>
        <v>6.9771520615608393</v>
      </c>
      <c r="N74" s="138">
        <f>MINA($F$59-N68,$C$60-SUM($E$74:M$74))</f>
        <v>7.4236897935007331</v>
      </c>
      <c r="O74" s="138">
        <f>MINA($F$59-O68,$C$60-SUM($E$74:N$74))</f>
        <v>7.8988059402847801</v>
      </c>
      <c r="P74" s="138">
        <f>MINA($F$59-P68,$C$60-SUM($E$74:O$74))</f>
        <v>8.4043295204630066</v>
      </c>
      <c r="Q74" s="138">
        <f>MINA($F$59-Q68,$C$60-SUM($E$74:P$74))</f>
        <v>8.9422066097726383</v>
      </c>
      <c r="R74" s="138">
        <f>MINA($F$59-R68,$C$60-SUM($E$74:Q$74))</f>
        <v>9.5145078327980883</v>
      </c>
      <c r="S74" s="138">
        <f>MINA($F$59-S68,$C$60-SUM($E$74:R$74))</f>
        <v>10.123436334097079</v>
      </c>
      <c r="T74" s="138">
        <f>MINA($F$59-T68,$C$60-SUM($E$74:S$74))</f>
        <v>0</v>
      </c>
      <c r="U74" s="138">
        <f>MINA($F$59-U68,$C$60-SUM($E$74:T$74))</f>
        <v>0</v>
      </c>
      <c r="V74" s="138">
        <f>MINA($F$59-V68,$C$60-SUM($E$74:U$74))</f>
        <v>0</v>
      </c>
      <c r="W74" s="138">
        <f>MINA($F$59-W68,$C$60-SUM($E$74:V$74))</f>
        <v>0</v>
      </c>
      <c r="X74" s="138">
        <f>MINA($F$59-X68,$C$60-SUM($E$74:W$74))</f>
        <v>0</v>
      </c>
      <c r="Y74" s="138">
        <f>SUM(D74:X74)</f>
        <v>101.9331418183352</v>
      </c>
      <c r="Z74" s="113"/>
    </row>
    <row r="75" spans="1:28" ht="30">
      <c r="A75" s="112"/>
      <c r="B75" s="113"/>
      <c r="C75" s="140" t="s">
        <v>104</v>
      </c>
      <c r="D75" s="133">
        <f>-$C$61</f>
        <v>-25.483285454583793</v>
      </c>
      <c r="E75" s="133">
        <f t="shared" ref="E75:X75" si="19">(E73-E74)</f>
        <v>31.358226907333243</v>
      </c>
      <c r="F75" s="133">
        <f t="shared" si="19"/>
        <v>33.566398747355713</v>
      </c>
      <c r="G75" s="133">
        <f t="shared" si="19"/>
        <v>34.307110535667633</v>
      </c>
      <c r="H75" s="133">
        <f t="shared" si="19"/>
        <v>35.059454858107202</v>
      </c>
      <c r="I75" s="133">
        <f t="shared" si="19"/>
        <v>35.823460736452084</v>
      </c>
      <c r="J75" s="133">
        <f t="shared" si="19"/>
        <v>36.599144740665643</v>
      </c>
      <c r="K75" s="133">
        <f t="shared" si="19"/>
        <v>37.386509905796544</v>
      </c>
      <c r="L75" s="133">
        <f t="shared" si="19"/>
        <v>38.185544573836395</v>
      </c>
      <c r="M75" s="133">
        <f t="shared" si="19"/>
        <v>38.996221155618258</v>
      </c>
      <c r="N75" s="133">
        <f t="shared" si="19"/>
        <v>39.818494807521304</v>
      </c>
      <c r="O75" s="133">
        <f t="shared" si="19"/>
        <v>40.652302017411095</v>
      </c>
      <c r="P75" s="133">
        <f t="shared" si="19"/>
        <v>41.497559093884071</v>
      </c>
      <c r="Q75" s="133">
        <f t="shared" si="19"/>
        <v>42.35416055250456</v>
      </c>
      <c r="R75" s="133">
        <f t="shared" si="19"/>
        <v>43.221977392315047</v>
      </c>
      <c r="S75" s="133">
        <f t="shared" si="19"/>
        <v>44.100855255468524</v>
      </c>
      <c r="T75" s="133">
        <f t="shared" si="19"/>
        <v>55.761948721850011</v>
      </c>
      <c r="U75" s="133">
        <f t="shared" si="19"/>
        <v>54.7111084326474</v>
      </c>
      <c r="V75" s="133">
        <f t="shared" si="19"/>
        <v>55.805330601300319</v>
      </c>
      <c r="W75" s="133">
        <f t="shared" si="19"/>
        <v>56.921437213326321</v>
      </c>
      <c r="X75" s="133">
        <f t="shared" si="19"/>
        <v>58.059865957592869</v>
      </c>
      <c r="Y75" s="133">
        <f>SUM(D75:X75)</f>
        <v>828.70382675207031</v>
      </c>
      <c r="Z75" s="113"/>
    </row>
    <row r="76" spans="1:28" ht="15">
      <c r="A76" s="112"/>
      <c r="B76" s="113"/>
      <c r="C76" s="141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13"/>
    </row>
    <row r="77" spans="1:28" ht="45">
      <c r="A77" s="112"/>
      <c r="B77" s="113"/>
      <c r="C77" s="140" t="s">
        <v>105</v>
      </c>
      <c r="D77" s="142">
        <f>-C59</f>
        <v>-127.41642727291899</v>
      </c>
      <c r="E77" s="143">
        <f t="shared" ref="E77:X77" si="20">E75</f>
        <v>31.358226907333243</v>
      </c>
      <c r="F77" s="143">
        <f t="shared" si="20"/>
        <v>33.566398747355713</v>
      </c>
      <c r="G77" s="143">
        <f t="shared" si="20"/>
        <v>34.307110535667633</v>
      </c>
      <c r="H77" s="143">
        <f t="shared" si="20"/>
        <v>35.059454858107202</v>
      </c>
      <c r="I77" s="143">
        <f t="shared" si="20"/>
        <v>35.823460736452084</v>
      </c>
      <c r="J77" s="143">
        <f t="shared" si="20"/>
        <v>36.599144740665643</v>
      </c>
      <c r="K77" s="143">
        <f t="shared" si="20"/>
        <v>37.386509905796544</v>
      </c>
      <c r="L77" s="143">
        <f t="shared" si="20"/>
        <v>38.185544573836395</v>
      </c>
      <c r="M77" s="143">
        <f t="shared" si="20"/>
        <v>38.996221155618258</v>
      </c>
      <c r="N77" s="143">
        <f t="shared" si="20"/>
        <v>39.818494807521304</v>
      </c>
      <c r="O77" s="143">
        <f t="shared" si="20"/>
        <v>40.652302017411095</v>
      </c>
      <c r="P77" s="143">
        <f t="shared" si="20"/>
        <v>41.497559093884071</v>
      </c>
      <c r="Q77" s="143">
        <f t="shared" si="20"/>
        <v>42.35416055250456</v>
      </c>
      <c r="R77" s="143">
        <f t="shared" si="20"/>
        <v>43.221977392315047</v>
      </c>
      <c r="S77" s="143">
        <f t="shared" si="20"/>
        <v>44.100855255468524</v>
      </c>
      <c r="T77" s="143">
        <f t="shared" si="20"/>
        <v>55.761948721850011</v>
      </c>
      <c r="U77" s="143">
        <f t="shared" si="20"/>
        <v>54.7111084326474</v>
      </c>
      <c r="V77" s="143">
        <f t="shared" si="20"/>
        <v>55.805330601300319</v>
      </c>
      <c r="W77" s="143">
        <f t="shared" si="20"/>
        <v>56.921437213326321</v>
      </c>
      <c r="X77" s="143">
        <f t="shared" si="20"/>
        <v>58.059865957592869</v>
      </c>
      <c r="Y77" s="133"/>
      <c r="Z77" s="113"/>
    </row>
    <row r="78" spans="1:28" ht="15.75" thickBot="1">
      <c r="A78" s="112"/>
      <c r="B78" s="113"/>
      <c r="C78" s="144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3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13"/>
    </row>
    <row r="79" spans="1:28" ht="16.5" thickBot="1">
      <c r="A79" s="13" t="s">
        <v>106</v>
      </c>
      <c r="B79" s="14"/>
      <c r="C79" s="15">
        <f>IRR(D75:X75,0.3)</f>
        <v>1.2786685061136236</v>
      </c>
      <c r="D79" s="113"/>
      <c r="E79" s="145"/>
      <c r="F79" s="145"/>
      <c r="G79" s="145"/>
      <c r="H79" s="145"/>
      <c r="I79" s="145"/>
      <c r="J79" s="145"/>
      <c r="K79" s="145"/>
      <c r="L79" s="145"/>
      <c r="M79" s="145"/>
      <c r="N79" s="145"/>
      <c r="O79" s="145"/>
      <c r="P79" s="145"/>
      <c r="Q79" s="145"/>
      <c r="R79" s="145"/>
      <c r="S79" s="145"/>
      <c r="T79" s="145"/>
      <c r="U79" s="145"/>
      <c r="V79" s="145"/>
      <c r="W79" s="145"/>
      <c r="X79" s="145"/>
      <c r="Y79" s="133"/>
      <c r="Z79" s="113"/>
    </row>
    <row r="80" spans="1:28" ht="16.5" thickBot="1">
      <c r="A80" s="13" t="s">
        <v>107</v>
      </c>
      <c r="B80" s="14"/>
      <c r="C80" s="15">
        <f>IRR(D77:X77,0.3)</f>
        <v>0.27534515666981951</v>
      </c>
      <c r="D80" s="113"/>
      <c r="E80" s="145"/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145"/>
      <c r="Q80" s="145"/>
      <c r="R80" s="145"/>
      <c r="S80" s="145"/>
      <c r="T80" s="145"/>
      <c r="U80" s="145"/>
      <c r="V80" s="145"/>
      <c r="W80" s="145"/>
      <c r="X80" s="145"/>
      <c r="Y80" s="133"/>
      <c r="Z80" s="113"/>
    </row>
    <row r="81" spans="1:26" ht="15">
      <c r="A81" s="113"/>
      <c r="B81" s="113"/>
      <c r="C81" s="113"/>
      <c r="D81" s="113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145"/>
      <c r="Q81" s="145"/>
      <c r="R81" s="145"/>
      <c r="S81" s="145"/>
      <c r="T81" s="145"/>
      <c r="U81" s="145"/>
      <c r="V81" s="145"/>
      <c r="W81" s="145"/>
      <c r="X81" s="145"/>
      <c r="Y81" s="133"/>
      <c r="Z81" s="113"/>
    </row>
    <row r="82" spans="1:26" ht="15">
      <c r="A82" s="112" t="s">
        <v>108</v>
      </c>
      <c r="D82" s="134"/>
      <c r="E82" s="146">
        <f>(E66/(E68+E74))</f>
        <v>4.7502649441761724</v>
      </c>
      <c r="F82" s="146">
        <f>(F66/(F68+F74))</f>
        <v>5.0320168863209602</v>
      </c>
      <c r="G82" s="146">
        <f>(G66/(G68+G74))</f>
        <v>5.132657224047378</v>
      </c>
      <c r="H82" s="146">
        <f>(H66/(H68+H74))</f>
        <v>5.2353103685283253</v>
      </c>
      <c r="I82" s="146">
        <f>(I66/(I68+I74))</f>
        <v>5.3400165758988907</v>
      </c>
      <c r="J82" s="146">
        <f>IF(J74&gt;0.001,(J66/(J68+J74)),AVERAGEA($E$82:I82))</f>
        <v>5.4468169074168706</v>
      </c>
      <c r="K82" s="146">
        <f>IF(K74&gt;0.001,(K66/(K68+K74)),AVERAGEA($E$82:J82))</f>
        <v>5.555753245565211</v>
      </c>
      <c r="L82" s="146">
        <f>IF(L74&gt;0.001,(L66/(L68+L74)),AVERAGEA($E$82:K82))</f>
        <v>5.666868310476513</v>
      </c>
      <c r="M82" s="146">
        <f>IF(M74&gt;0.001,(M66/(M68+M74)),AVERAGEA($E$82:L82))</f>
        <v>5.7802056766860428</v>
      </c>
      <c r="N82" s="146">
        <f>IF(N74&gt;0.001,(N66/(N68+N74)),AVERAGEA($E$82:M82))</f>
        <v>5.8958097902197606</v>
      </c>
      <c r="O82" s="146">
        <f>IF(O74&gt;0.001,(O66/(O68+O74)),AVERAGEA($E$82:N82))</f>
        <v>6.0137259860241539</v>
      </c>
      <c r="P82" s="146">
        <f>IF(P74&gt;0.001,(P66/(P68+P74)),AVERAGEA($E$82:O82))</f>
        <v>6.1340005057446376</v>
      </c>
      <c r="Q82" s="146">
        <f>IF(Q74&gt;0.001,(Q66/(Q68+Q74)),AVERAGEA($E$82:P82))</f>
        <v>6.2566805158595313</v>
      </c>
      <c r="R82" s="146">
        <f>IF(R74&gt;0.001,(R66/(R68+R74)),AVERAGEA($E$82:Q82))</f>
        <v>6.3818141261767227</v>
      </c>
      <c r="S82" s="146">
        <f>IF(S74&gt;0.001,(S66/(S68+S74)),AVERAGEA($E$82:R82))</f>
        <v>6.5094504087003084</v>
      </c>
      <c r="T82" s="146">
        <f>IF(T74&gt;0.001,(T66/(T68+T74)),AVERAGEA($E$82:S82))</f>
        <v>5.6754260981227658</v>
      </c>
      <c r="U82" s="146">
        <f>IF(U74&gt;0.001,(U66/(U68+U74)),AVERAGEA($E$82:T82))</f>
        <v>5.6754260981227658</v>
      </c>
      <c r="V82" s="146">
        <f>IF(V74&gt;0.001,(V66/(V68+V74)),AVERAGEA($E$82:U82))</f>
        <v>5.6754260981227658</v>
      </c>
      <c r="W82" s="146">
        <f>IF(W74&gt;0.001,(W66/(W68+W74)),AVERAGEA($E$82:V82))</f>
        <v>5.6754260981227667</v>
      </c>
      <c r="X82" s="146">
        <f>IF(X74&gt;0.001,(X66/(X68+X74)),AVERAGEA($E$82:W82))</f>
        <v>5.6754260981227667</v>
      </c>
      <c r="Y82" s="133"/>
      <c r="Z82" s="113"/>
    </row>
    <row r="83" spans="1:26" ht="15">
      <c r="A83" s="113"/>
      <c r="B83" s="113"/>
      <c r="C83" s="113"/>
      <c r="D83" s="113"/>
      <c r="F83" s="113"/>
      <c r="G83" s="113"/>
      <c r="H83" s="113"/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</row>
    <row r="84" spans="1:26" ht="15">
      <c r="A84" s="113"/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</row>
    <row r="85" spans="1:26" ht="15">
      <c r="A85" s="112" t="s">
        <v>109</v>
      </c>
      <c r="B85" s="113"/>
      <c r="C85" s="113"/>
      <c r="D85" s="113"/>
      <c r="E85" s="133">
        <f t="shared" ref="E85:X85" si="21">(E66-E68-E74)</f>
        <v>40.395364775859207</v>
      </c>
      <c r="F85" s="133">
        <f t="shared" si="21"/>
        <v>43.430209686462099</v>
      </c>
      <c r="G85" s="133">
        <f t="shared" si="21"/>
        <v>44.514240605380905</v>
      </c>
      <c r="H85" s="133">
        <f t="shared" si="21"/>
        <v>45.619952142678123</v>
      </c>
      <c r="I85" s="133">
        <f t="shared" si="21"/>
        <v>46.747777910721261</v>
      </c>
      <c r="J85" s="133">
        <f t="shared" si="21"/>
        <v>47.898160194125289</v>
      </c>
      <c r="K85" s="133">
        <f t="shared" si="21"/>
        <v>49.071550123197419</v>
      </c>
      <c r="L85" s="133">
        <f t="shared" si="21"/>
        <v>50.268407850850927</v>
      </c>
      <c r="M85" s="133">
        <f t="shared" si="21"/>
        <v>51.489202733057532</v>
      </c>
      <c r="N85" s="133">
        <f t="shared" si="21"/>
        <v>52.73441351290824</v>
      </c>
      <c r="O85" s="133">
        <f t="shared" si="21"/>
        <v>54.004528508355968</v>
      </c>
      <c r="P85" s="133">
        <f t="shared" si="21"/>
        <v>55.300045803712678</v>
      </c>
      <c r="Q85" s="133">
        <f t="shared" si="21"/>
        <v>56.62147344497653</v>
      </c>
      <c r="R85" s="133">
        <f t="shared" si="21"/>
        <v>57.969329639065663</v>
      </c>
      <c r="S85" s="133">
        <f t="shared" si="21"/>
        <v>59.344142957036624</v>
      </c>
      <c r="T85" s="133">
        <f t="shared" si="21"/>
        <v>71.517788800846262</v>
      </c>
      <c r="U85" s="133">
        <f t="shared" si="21"/>
        <v>72.9481445768632</v>
      </c>
      <c r="V85" s="133">
        <f t="shared" si="21"/>
        <v>74.407107468400426</v>
      </c>
      <c r="W85" s="133">
        <f t="shared" si="21"/>
        <v>75.895249617768428</v>
      </c>
      <c r="X85" s="133">
        <f t="shared" si="21"/>
        <v>77.413154610123826</v>
      </c>
      <c r="Y85" s="133">
        <f>SUM(E85:X85)</f>
        <v>1127.5902449623909</v>
      </c>
      <c r="Z85" s="113"/>
    </row>
    <row r="86" spans="1:26" ht="15">
      <c r="A86" s="113"/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</row>
    <row r="87" spans="1:26" ht="15.75">
      <c r="A87" s="147" t="s">
        <v>110</v>
      </c>
      <c r="B87" s="113"/>
      <c r="C87" s="113"/>
      <c r="D87" s="143"/>
      <c r="E87" s="148">
        <f>E75</f>
        <v>31.358226907333243</v>
      </c>
      <c r="F87" s="148">
        <f>E87+F75</f>
        <v>64.924625654688953</v>
      </c>
      <c r="G87" s="148">
        <f t="shared" ref="G87:X87" si="22">F87+G75</f>
        <v>99.231736190356585</v>
      </c>
      <c r="H87" s="148">
        <f t="shared" si="22"/>
        <v>134.29119104846379</v>
      </c>
      <c r="I87" s="148">
        <f t="shared" si="22"/>
        <v>170.11465178491588</v>
      </c>
      <c r="J87" s="148">
        <f t="shared" si="22"/>
        <v>206.71379652558153</v>
      </c>
      <c r="K87" s="148">
        <f t="shared" si="22"/>
        <v>244.10030643137807</v>
      </c>
      <c r="L87" s="148">
        <f t="shared" si="22"/>
        <v>282.28585100521445</v>
      </c>
      <c r="M87" s="148">
        <f t="shared" si="22"/>
        <v>321.28207216083274</v>
      </c>
      <c r="N87" s="148">
        <f t="shared" si="22"/>
        <v>361.10056696835403</v>
      </c>
      <c r="O87" s="148">
        <f t="shared" si="22"/>
        <v>401.75286898576513</v>
      </c>
      <c r="P87" s="148">
        <f t="shared" si="22"/>
        <v>443.25042807964923</v>
      </c>
      <c r="Q87" s="148">
        <f t="shared" si="22"/>
        <v>485.60458863215376</v>
      </c>
      <c r="R87" s="148">
        <f t="shared" si="22"/>
        <v>528.82656602446878</v>
      </c>
      <c r="S87" s="148">
        <f t="shared" si="22"/>
        <v>572.92742127993733</v>
      </c>
      <c r="T87" s="148">
        <f t="shared" si="22"/>
        <v>628.68937000178732</v>
      </c>
      <c r="U87" s="148">
        <f t="shared" si="22"/>
        <v>683.40047843443472</v>
      </c>
      <c r="V87" s="148">
        <f t="shared" si="22"/>
        <v>739.205809035735</v>
      </c>
      <c r="W87" s="148">
        <f t="shared" si="22"/>
        <v>796.12724624906127</v>
      </c>
      <c r="X87" s="148">
        <f t="shared" si="22"/>
        <v>854.18711220665409</v>
      </c>
      <c r="Y87" s="113"/>
      <c r="Z87" s="113"/>
    </row>
    <row r="88" spans="1:26" ht="15.75" thickBot="1">
      <c r="A88" s="113"/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</row>
    <row r="89" spans="1:26" ht="16.5" thickBot="1">
      <c r="A89" s="149" t="s">
        <v>111</v>
      </c>
      <c r="B89" s="23" t="e">
        <f>1+LOOKUP(C61,E87:X87,E63:X63)</f>
        <v>#N/A</v>
      </c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</row>
    <row r="90" spans="1:26" ht="16.5" thickBot="1">
      <c r="A90" s="150" t="s">
        <v>112</v>
      </c>
      <c r="B90" s="23">
        <f>1+LOOKUP(C59,E87:X87,E63:X63)</f>
        <v>4</v>
      </c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</row>
    <row r="91" spans="1:26" ht="15">
      <c r="Y91" s="113"/>
      <c r="Z91" s="113"/>
    </row>
    <row r="92" spans="1:26" ht="15">
      <c r="A92" s="113"/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</row>
    <row r="93" spans="1:26" ht="15">
      <c r="A93" s="113"/>
      <c r="B93" s="112" t="s">
        <v>113</v>
      </c>
      <c r="C93" s="113"/>
      <c r="D93" s="113"/>
      <c r="E93" s="135">
        <f>$J$17</f>
        <v>2013</v>
      </c>
      <c r="F93" s="135">
        <f t="shared" ref="F93:U93" si="23">E93+1</f>
        <v>2014</v>
      </c>
      <c r="G93" s="135">
        <f t="shared" si="23"/>
        <v>2015</v>
      </c>
      <c r="H93" s="135">
        <f t="shared" si="23"/>
        <v>2016</v>
      </c>
      <c r="I93" s="135">
        <f t="shared" si="23"/>
        <v>2017</v>
      </c>
      <c r="J93" s="135">
        <f t="shared" si="23"/>
        <v>2018</v>
      </c>
      <c r="K93" s="135">
        <f t="shared" si="23"/>
        <v>2019</v>
      </c>
      <c r="L93" s="135">
        <f t="shared" si="23"/>
        <v>2020</v>
      </c>
      <c r="M93" s="135">
        <f t="shared" si="23"/>
        <v>2021</v>
      </c>
      <c r="N93" s="135">
        <f t="shared" si="23"/>
        <v>2022</v>
      </c>
      <c r="O93" s="135">
        <f t="shared" si="23"/>
        <v>2023</v>
      </c>
      <c r="P93" s="135">
        <f t="shared" si="23"/>
        <v>2024</v>
      </c>
      <c r="Q93" s="135">
        <f t="shared" si="23"/>
        <v>2025</v>
      </c>
      <c r="R93" s="135">
        <f t="shared" si="23"/>
        <v>2026</v>
      </c>
      <c r="S93" s="135">
        <f t="shared" si="23"/>
        <v>2027</v>
      </c>
      <c r="T93" s="135">
        <f t="shared" si="23"/>
        <v>2028</v>
      </c>
      <c r="U93" s="135">
        <f t="shared" si="23"/>
        <v>2029</v>
      </c>
      <c r="V93" s="135">
        <f>U93+1</f>
        <v>2030</v>
      </c>
      <c r="W93" s="135">
        <f>V93+1</f>
        <v>2031</v>
      </c>
      <c r="X93" s="135">
        <f>W93+1</f>
        <v>2032</v>
      </c>
      <c r="Y93" s="151" t="s">
        <v>78</v>
      </c>
      <c r="Z93" s="113"/>
    </row>
    <row r="94" spans="1:26" ht="15">
      <c r="A94" s="113"/>
      <c r="B94" s="113"/>
      <c r="C94" s="113"/>
      <c r="D94" s="113"/>
      <c r="E94" s="112" t="s">
        <v>114</v>
      </c>
      <c r="F94" s="112" t="s">
        <v>114</v>
      </c>
      <c r="G94" s="112" t="s">
        <v>114</v>
      </c>
      <c r="H94" s="112" t="s">
        <v>114</v>
      </c>
      <c r="I94" s="112" t="s">
        <v>114</v>
      </c>
      <c r="J94" s="112" t="s">
        <v>114</v>
      </c>
      <c r="K94" s="112" t="s">
        <v>114</v>
      </c>
      <c r="L94" s="112" t="s">
        <v>114</v>
      </c>
      <c r="M94" s="112" t="s">
        <v>114</v>
      </c>
      <c r="N94" s="112" t="s">
        <v>114</v>
      </c>
      <c r="O94" s="112" t="s">
        <v>114</v>
      </c>
      <c r="P94" s="112" t="s">
        <v>114</v>
      </c>
      <c r="Q94" s="112" t="s">
        <v>114</v>
      </c>
      <c r="R94" s="112" t="s">
        <v>114</v>
      </c>
      <c r="S94" s="112" t="s">
        <v>114</v>
      </c>
      <c r="T94" s="112" t="s">
        <v>114</v>
      </c>
      <c r="U94" s="112" t="s">
        <v>114</v>
      </c>
      <c r="V94" s="112" t="s">
        <v>114</v>
      </c>
      <c r="W94" s="112" t="s">
        <v>114</v>
      </c>
      <c r="X94" s="112" t="s">
        <v>114</v>
      </c>
      <c r="Y94" s="112" t="s">
        <v>115</v>
      </c>
      <c r="Z94" s="113"/>
    </row>
    <row r="95" spans="1:26" ht="15">
      <c r="A95" s="113"/>
      <c r="B95" s="135">
        <v>20</v>
      </c>
      <c r="C95" s="112" t="s">
        <v>116</v>
      </c>
      <c r="D95" s="113"/>
      <c r="E95" s="134">
        <f>0.75/B95</f>
        <v>3.7499999999999999E-2</v>
      </c>
      <c r="F95" s="134">
        <f>(1-SUM(E95))*MAXA(1.5/$B$95,1/($E$93+$B$95-F93))</f>
        <v>7.2187500000000002E-2</v>
      </c>
      <c r="G95" s="134">
        <f>(1-SUM($E$95:F95))*MAXA(1.5/$B$95,1/($E$93+$B$95-G93))</f>
        <v>6.6773437500000005E-2</v>
      </c>
      <c r="H95" s="134">
        <f>(1-SUM($E$95:G95))*MAXA(1.5/$B$95,1/($E$93+$B$95-H93))</f>
        <v>6.1765429687499998E-2</v>
      </c>
      <c r="I95" s="134">
        <f>(1-SUM($E$95:H95))*MAXA(1.5/$B$95,1/($E$93+$B$95-I93))</f>
        <v>5.7133022460937495E-2</v>
      </c>
      <c r="J95" s="134">
        <f>(1-SUM($E$95:I95))*MAXA(1.5/$B$95,1/($E$93+$B$95-J93))</f>
        <v>5.2848045776367189E-2</v>
      </c>
      <c r="K95" s="134">
        <f>(1-SUM($E$95:J95))*MAXA(1.5/$B$95,1/($E$93+$B$95-K93))</f>
        <v>4.8884442343139649E-2</v>
      </c>
      <c r="L95" s="134">
        <f>(1-SUM($E$95:K95))*MAXA(1.5/$B$95,1/($E$93+$B$95-L93))</f>
        <v>4.6377547864004276E-2</v>
      </c>
      <c r="M95" s="134">
        <f>(1-SUM($E$95:L95))*MAXA(1.5/$B$95,1/($E$93+$B$95-M93))</f>
        <v>4.6377547864004276E-2</v>
      </c>
      <c r="N95" s="134">
        <f>(1-SUM($E$95:M95))*MAXA(1.5/$B$95,1/($E$93+$B$95-N93))</f>
        <v>4.6377547864004276E-2</v>
      </c>
      <c r="O95" s="134">
        <f>(1-SUM($E$95:N95))*MAXA(1.5/$B$95,1/($E$93+$B$95-O93))</f>
        <v>4.6377547864004276E-2</v>
      </c>
      <c r="P95" s="134">
        <f>(1-SUM($E$95:O95))*MAXA(1.5/$B$95,1/($E$93+$B$95-P93))</f>
        <v>4.6377547864004276E-2</v>
      </c>
      <c r="Q95" s="134">
        <f>(1-SUM($E$95:P95))*MAXA(1.5/$B$95,1/($E$93+$B$95-Q93))</f>
        <v>4.6377547864004276E-2</v>
      </c>
      <c r="R95" s="134">
        <f>(1-SUM($E$95:Q95))*MAXA(1.5/$B$95,1/($E$93+$B$95-R93))</f>
        <v>4.6377547864004276E-2</v>
      </c>
      <c r="S95" s="134">
        <f>(1-SUM($E$95:R95))*MAXA(1.5/$B$95,1/($E$93+$B$95-S93))</f>
        <v>4.6377547864004276E-2</v>
      </c>
      <c r="T95" s="134">
        <f>(1-SUM($E$95:S95))*MAXA(1.5/$B$95,1/($E$93+$B$95-T93))</f>
        <v>4.6377547864004276E-2</v>
      </c>
      <c r="U95" s="134">
        <f>(1-SUM($E$95:T95))*MAXA(1.5/$B$95,1/($E$93+$B$95-U93))</f>
        <v>4.6377547864004276E-2</v>
      </c>
      <c r="V95" s="134">
        <f>(1-SUM($E$95:U95))*MAXA(1.5/$B$95,1/($E$93+$B$95-V93))</f>
        <v>4.6377547864004276E-2</v>
      </c>
      <c r="W95" s="134">
        <f>(1-SUM($E$95:V95))*MAXA(1.5/$B$95,1/($E$93+$B$95-W93))</f>
        <v>4.6377547864004276E-2</v>
      </c>
      <c r="X95" s="134">
        <f>1-SUM(E95:W95)</f>
        <v>4.6377547864004276E-2</v>
      </c>
      <c r="Y95" s="134">
        <f>SUM(E95:X95)</f>
        <v>1</v>
      </c>
      <c r="Z95" s="113"/>
    </row>
    <row r="96" spans="1:26" ht="15">
      <c r="A96" s="113"/>
      <c r="B96" s="135"/>
      <c r="C96" s="113"/>
      <c r="D96" s="113"/>
      <c r="E96" s="134"/>
      <c r="F96" s="134"/>
      <c r="G96" s="134"/>
      <c r="H96" s="134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/>
      <c r="Y96" s="134"/>
      <c r="Z96" s="113"/>
    </row>
    <row r="97" spans="1:28" ht="15">
      <c r="A97" s="113"/>
      <c r="B97" s="152">
        <f>B22</f>
        <v>15</v>
      </c>
      <c r="C97" s="112" t="s">
        <v>117</v>
      </c>
      <c r="D97" s="113"/>
      <c r="E97" s="153">
        <f t="shared" ref="E97:X97" si="24">IF(E64&gt;$J$17+$B$97,0,1)/$B$97</f>
        <v>6.6666666666666666E-2</v>
      </c>
      <c r="F97" s="153">
        <f t="shared" si="24"/>
        <v>6.6666666666666666E-2</v>
      </c>
      <c r="G97" s="153">
        <f t="shared" si="24"/>
        <v>6.6666666666666666E-2</v>
      </c>
      <c r="H97" s="153">
        <f t="shared" si="24"/>
        <v>6.6666666666666666E-2</v>
      </c>
      <c r="I97" s="153">
        <f t="shared" si="24"/>
        <v>6.6666666666666666E-2</v>
      </c>
      <c r="J97" s="153">
        <f t="shared" si="24"/>
        <v>6.6666666666666666E-2</v>
      </c>
      <c r="K97" s="153">
        <f t="shared" si="24"/>
        <v>6.6666666666666666E-2</v>
      </c>
      <c r="L97" s="153">
        <f t="shared" si="24"/>
        <v>6.6666666666666666E-2</v>
      </c>
      <c r="M97" s="153">
        <f t="shared" si="24"/>
        <v>6.6666666666666666E-2</v>
      </c>
      <c r="N97" s="153">
        <f t="shared" si="24"/>
        <v>6.6666666666666666E-2</v>
      </c>
      <c r="O97" s="153">
        <f t="shared" si="24"/>
        <v>6.6666666666666666E-2</v>
      </c>
      <c r="P97" s="153">
        <f t="shared" si="24"/>
        <v>6.6666666666666666E-2</v>
      </c>
      <c r="Q97" s="153">
        <f t="shared" si="24"/>
        <v>6.6666666666666666E-2</v>
      </c>
      <c r="R97" s="153">
        <f t="shared" si="24"/>
        <v>6.6666666666666666E-2</v>
      </c>
      <c r="S97" s="153">
        <f t="shared" si="24"/>
        <v>6.6666666666666666E-2</v>
      </c>
      <c r="T97" s="153">
        <f t="shared" si="24"/>
        <v>6.6666666666666666E-2</v>
      </c>
      <c r="U97" s="153">
        <f t="shared" si="24"/>
        <v>0</v>
      </c>
      <c r="V97" s="153">
        <f t="shared" si="24"/>
        <v>0</v>
      </c>
      <c r="W97" s="153">
        <f t="shared" si="24"/>
        <v>0</v>
      </c>
      <c r="X97" s="153">
        <f t="shared" si="24"/>
        <v>0</v>
      </c>
      <c r="Y97" s="134">
        <f>SUM(E97:X97)</f>
        <v>1.0666666666666667</v>
      </c>
      <c r="Z97" s="113"/>
    </row>
    <row r="98" spans="1:28" ht="15">
      <c r="A98" s="113"/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</row>
    <row r="99" spans="1:28" ht="15">
      <c r="A99" s="113"/>
      <c r="B99" s="113"/>
      <c r="C99" s="112" t="s">
        <v>118</v>
      </c>
      <c r="D99" s="113"/>
      <c r="E99" s="154">
        <f t="shared" ref="E99:Y99" si="25">($J$30*E95+$J$29*E97)</f>
        <v>6.6666666666666666E-2</v>
      </c>
      <c r="F99" s="154">
        <f t="shared" si="25"/>
        <v>6.6666666666666666E-2</v>
      </c>
      <c r="G99" s="154">
        <f t="shared" si="25"/>
        <v>6.6666666666666666E-2</v>
      </c>
      <c r="H99" s="154">
        <f t="shared" si="25"/>
        <v>6.6666666666666666E-2</v>
      </c>
      <c r="I99" s="154">
        <f t="shared" si="25"/>
        <v>6.6666666666666666E-2</v>
      </c>
      <c r="J99" s="154">
        <f t="shared" si="25"/>
        <v>6.6666666666666666E-2</v>
      </c>
      <c r="K99" s="154">
        <f t="shared" si="25"/>
        <v>6.6666666666666666E-2</v>
      </c>
      <c r="L99" s="154">
        <f t="shared" si="25"/>
        <v>6.6666666666666666E-2</v>
      </c>
      <c r="M99" s="154">
        <f t="shared" si="25"/>
        <v>6.6666666666666666E-2</v>
      </c>
      <c r="N99" s="154">
        <f t="shared" si="25"/>
        <v>6.6666666666666666E-2</v>
      </c>
      <c r="O99" s="154">
        <f t="shared" si="25"/>
        <v>6.6666666666666666E-2</v>
      </c>
      <c r="P99" s="154">
        <f t="shared" si="25"/>
        <v>6.6666666666666666E-2</v>
      </c>
      <c r="Q99" s="154">
        <f t="shared" si="25"/>
        <v>6.6666666666666666E-2</v>
      </c>
      <c r="R99" s="154">
        <f t="shared" si="25"/>
        <v>6.6666666666666666E-2</v>
      </c>
      <c r="S99" s="154">
        <f t="shared" si="25"/>
        <v>6.6666666666666666E-2</v>
      </c>
      <c r="T99" s="154">
        <f t="shared" si="25"/>
        <v>6.6666666666666666E-2</v>
      </c>
      <c r="U99" s="154">
        <f t="shared" si="25"/>
        <v>0</v>
      </c>
      <c r="V99" s="154">
        <f t="shared" si="25"/>
        <v>0</v>
      </c>
      <c r="W99" s="154">
        <f t="shared" si="25"/>
        <v>0</v>
      </c>
      <c r="X99" s="154">
        <f t="shared" si="25"/>
        <v>0</v>
      </c>
      <c r="Y99" s="134">
        <f t="shared" si="25"/>
        <v>1.0666666666666667</v>
      </c>
      <c r="Z99" s="113"/>
    </row>
    <row r="100" spans="1:28" ht="15">
      <c r="A100" s="113"/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</row>
    <row r="101" spans="1:28" ht="15">
      <c r="A101" s="113"/>
      <c r="B101" s="113"/>
    </row>
    <row r="102" spans="1:28" ht="15">
      <c r="A102" s="113"/>
      <c r="B102" s="113"/>
    </row>
    <row r="103" spans="1:28" ht="15">
      <c r="A103" s="113"/>
      <c r="B103" s="113"/>
    </row>
    <row r="104" spans="1:28" ht="15">
      <c r="A104" s="113"/>
      <c r="B104" s="113"/>
    </row>
    <row r="105" spans="1:28" ht="15">
      <c r="A105" s="113"/>
      <c r="B105" s="113"/>
    </row>
    <row r="106" spans="1:28" ht="15">
      <c r="A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</row>
    <row r="107" spans="1:28" ht="15">
      <c r="A107" s="113"/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</row>
    <row r="108" spans="1:28" ht="15">
      <c r="A108" s="113"/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</row>
    <row r="109" spans="1:28" ht="15">
      <c r="A109" s="113"/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</row>
    <row r="110" spans="1:28" ht="15">
      <c r="A110" s="113"/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</row>
    <row r="111" spans="1:28" ht="15">
      <c r="A111" s="113"/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</row>
    <row r="112" spans="1:28" ht="15">
      <c r="A112" s="113"/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</row>
    <row r="113" spans="1:28" ht="15">
      <c r="A113" s="113"/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</row>
    <row r="114" spans="1:28" ht="15">
      <c r="A114" s="113"/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</row>
    <row r="115" spans="1:28" ht="15">
      <c r="A115" s="113"/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</row>
    <row r="116" spans="1:28" ht="15">
      <c r="A116" s="113"/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</row>
    <row r="117" spans="1:28" ht="15">
      <c r="A117" s="113"/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  <c r="AA117" s="113"/>
      <c r="AB117" s="113"/>
    </row>
    <row r="118" spans="1:28" ht="15">
      <c r="A118" s="113"/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3"/>
      <c r="V118" s="113"/>
      <c r="W118" s="113"/>
      <c r="X118" s="113"/>
      <c r="Y118" s="113"/>
      <c r="Z118" s="113"/>
      <c r="AA118" s="113"/>
      <c r="AB118" s="113"/>
    </row>
    <row r="119" spans="1:28" ht="15">
      <c r="A119" s="113"/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  <c r="AA119" s="113"/>
      <c r="AB119" s="113"/>
    </row>
  </sheetData>
  <mergeCells count="3">
    <mergeCell ref="L15:M15"/>
    <mergeCell ref="L16:M16"/>
    <mergeCell ref="L17:M17"/>
  </mergeCells>
  <phoneticPr fontId="55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34"/>
  <sheetViews>
    <sheetView zoomScale="85" zoomScaleNormal="85" workbookViewId="0">
      <selection activeCell="D20" sqref="D20"/>
    </sheetView>
  </sheetViews>
  <sheetFormatPr defaultRowHeight="15"/>
  <cols>
    <col min="1" max="1" width="11.28515625" bestFit="1" customWidth="1"/>
    <col min="2" max="2" width="11" bestFit="1" customWidth="1"/>
  </cols>
  <sheetData>
    <row r="1" spans="1:15" ht="16.5">
      <c r="A1" s="408" t="s">
        <v>194</v>
      </c>
      <c r="B1" s="408" t="s">
        <v>195</v>
      </c>
      <c r="C1" s="409" t="s">
        <v>196</v>
      </c>
      <c r="D1" s="410"/>
      <c r="E1" s="410"/>
      <c r="F1" s="410"/>
      <c r="G1" s="410"/>
      <c r="H1" s="410"/>
      <c r="I1" s="410"/>
      <c r="J1" s="411"/>
      <c r="K1" s="408" t="s">
        <v>197</v>
      </c>
      <c r="L1" s="408"/>
      <c r="M1" s="408"/>
      <c r="N1" s="408"/>
    </row>
    <row r="2" spans="1:15" ht="16.5">
      <c r="A2" s="408"/>
      <c r="B2" s="408"/>
      <c r="C2" s="412" t="s">
        <v>198</v>
      </c>
      <c r="D2" s="413"/>
      <c r="E2" s="414" t="s">
        <v>199</v>
      </c>
      <c r="F2" s="415"/>
      <c r="G2" s="416" t="s">
        <v>200</v>
      </c>
      <c r="H2" s="417"/>
      <c r="I2" s="418" t="s">
        <v>201</v>
      </c>
      <c r="J2" s="419"/>
      <c r="K2" s="420" t="s">
        <v>198</v>
      </c>
      <c r="L2" s="422" t="s">
        <v>199</v>
      </c>
      <c r="M2" s="404" t="s">
        <v>200</v>
      </c>
      <c r="N2" s="406" t="s">
        <v>201</v>
      </c>
    </row>
    <row r="3" spans="1:15" ht="16.5">
      <c r="A3" s="309"/>
      <c r="B3" s="309"/>
      <c r="C3" s="310" t="s">
        <v>202</v>
      </c>
      <c r="D3" s="310" t="s">
        <v>203</v>
      </c>
      <c r="E3" s="310" t="s">
        <v>202</v>
      </c>
      <c r="F3" s="310" t="s">
        <v>203</v>
      </c>
      <c r="G3" s="310" t="s">
        <v>202</v>
      </c>
      <c r="H3" s="310" t="s">
        <v>203</v>
      </c>
      <c r="I3" s="310" t="s">
        <v>202</v>
      </c>
      <c r="J3" s="310" t="s">
        <v>203</v>
      </c>
      <c r="K3" s="421"/>
      <c r="L3" s="423"/>
      <c r="M3" s="405"/>
      <c r="N3" s="407"/>
    </row>
    <row r="4" spans="1:15">
      <c r="A4" s="311" t="s">
        <v>235</v>
      </c>
      <c r="B4" s="312">
        <v>31.2</v>
      </c>
      <c r="C4" s="313">
        <v>16.5</v>
      </c>
      <c r="D4" s="313">
        <v>2</v>
      </c>
      <c r="E4" s="313">
        <v>24.9</v>
      </c>
      <c r="F4" s="313">
        <v>3</v>
      </c>
      <c r="G4" s="313">
        <v>15.899999999999999</v>
      </c>
      <c r="H4" s="313">
        <v>2</v>
      </c>
      <c r="I4" s="313">
        <v>-0.2</v>
      </c>
      <c r="J4" s="313">
        <v>5</v>
      </c>
      <c r="K4" s="313">
        <v>52</v>
      </c>
      <c r="L4" s="313">
        <v>68.7</v>
      </c>
      <c r="M4" s="313">
        <v>63</v>
      </c>
      <c r="N4" s="313">
        <v>38.200000000000003</v>
      </c>
      <c r="O4" s="314"/>
    </row>
    <row r="5" spans="1:15">
      <c r="A5" s="311" t="s">
        <v>236</v>
      </c>
      <c r="B5" s="312">
        <v>3.3</v>
      </c>
      <c r="C5" s="313">
        <v>16.600000000000001</v>
      </c>
      <c r="D5" s="313">
        <v>61</v>
      </c>
      <c r="E5" s="313">
        <v>25.3</v>
      </c>
      <c r="F5" s="313">
        <v>92</v>
      </c>
      <c r="G5" s="313">
        <v>17.2</v>
      </c>
      <c r="H5" s="313">
        <v>61</v>
      </c>
      <c r="I5" s="313">
        <v>0.6</v>
      </c>
      <c r="J5" s="313">
        <v>151</v>
      </c>
      <c r="K5" s="313">
        <v>51.5</v>
      </c>
      <c r="L5" s="313">
        <v>71.3</v>
      </c>
      <c r="M5" s="313">
        <v>66.5</v>
      </c>
      <c r="N5" s="313">
        <v>45.2</v>
      </c>
      <c r="O5" s="314"/>
    </row>
    <row r="6" spans="1:15">
      <c r="A6" s="311" t="s">
        <v>237</v>
      </c>
      <c r="B6" s="312">
        <v>4.5</v>
      </c>
      <c r="C6" s="313">
        <v>16.399999999999999</v>
      </c>
      <c r="D6" s="313">
        <v>61</v>
      </c>
      <c r="E6" s="313">
        <v>25.6</v>
      </c>
      <c r="F6" s="313">
        <v>122</v>
      </c>
      <c r="G6" s="313">
        <v>15.2</v>
      </c>
      <c r="H6" s="313">
        <v>61</v>
      </c>
      <c r="I6" s="313">
        <v>5.7</v>
      </c>
      <c r="J6" s="313">
        <v>121</v>
      </c>
      <c r="K6" s="313">
        <v>67</v>
      </c>
      <c r="L6" s="313">
        <v>75</v>
      </c>
      <c r="M6" s="313">
        <v>72</v>
      </c>
      <c r="N6" s="313">
        <v>65.8</v>
      </c>
      <c r="O6" s="314"/>
    </row>
    <row r="7" spans="1:15">
      <c r="A7" s="311" t="s">
        <v>238</v>
      </c>
      <c r="B7" s="312">
        <v>259.10000000000002</v>
      </c>
      <c r="C7" s="313">
        <v>15.6</v>
      </c>
      <c r="D7" s="313">
        <v>61</v>
      </c>
      <c r="E7" s="313">
        <v>24.9</v>
      </c>
      <c r="F7" s="313">
        <v>153</v>
      </c>
      <c r="G7" s="313">
        <v>15.8</v>
      </c>
      <c r="H7" s="313">
        <v>61</v>
      </c>
      <c r="I7" s="313">
        <v>8.1999999999999993</v>
      </c>
      <c r="J7" s="313">
        <v>90</v>
      </c>
      <c r="K7" s="313">
        <v>81</v>
      </c>
      <c r="L7" s="313">
        <v>77.599999999999994</v>
      </c>
      <c r="M7" s="313">
        <v>88</v>
      </c>
      <c r="N7" s="313">
        <v>86.3</v>
      </c>
      <c r="O7" s="314"/>
    </row>
    <row r="8" spans="1:15">
      <c r="A8" s="315" t="s">
        <v>239</v>
      </c>
      <c r="B8" s="312">
        <v>80.5</v>
      </c>
      <c r="C8" s="313">
        <v>17.8</v>
      </c>
      <c r="D8" s="313">
        <v>61</v>
      </c>
      <c r="E8" s="313">
        <v>25.1</v>
      </c>
      <c r="F8" s="313">
        <v>92</v>
      </c>
      <c r="G8" s="313">
        <v>17</v>
      </c>
      <c r="H8" s="313">
        <v>61</v>
      </c>
      <c r="I8" s="313">
        <v>1.6</v>
      </c>
      <c r="J8" s="313">
        <v>151</v>
      </c>
      <c r="K8" s="313">
        <v>55</v>
      </c>
      <c r="L8" s="313">
        <v>70.7</v>
      </c>
      <c r="M8" s="313">
        <v>65.5</v>
      </c>
      <c r="N8" s="313">
        <v>43.2</v>
      </c>
      <c r="O8" s="314"/>
    </row>
    <row r="9" spans="1:15">
      <c r="A9" s="315" t="s">
        <v>240</v>
      </c>
      <c r="B9" s="312">
        <v>110.4</v>
      </c>
      <c r="C9" s="313">
        <v>14.9</v>
      </c>
      <c r="D9" s="313">
        <v>30</v>
      </c>
      <c r="E9" s="313">
        <v>25.1</v>
      </c>
      <c r="F9" s="313">
        <v>122</v>
      </c>
      <c r="G9" s="313">
        <v>18</v>
      </c>
      <c r="H9" s="313">
        <v>61</v>
      </c>
      <c r="I9" s="313">
        <v>3.8</v>
      </c>
      <c r="J9" s="313">
        <v>152</v>
      </c>
      <c r="K9" s="313">
        <v>50.3</v>
      </c>
      <c r="L9" s="313">
        <v>66</v>
      </c>
      <c r="M9" s="313">
        <v>67.5</v>
      </c>
      <c r="N9" s="313">
        <v>48.2</v>
      </c>
      <c r="O9" s="314"/>
    </row>
    <row r="10" spans="1:15">
      <c r="A10" s="311" t="s">
        <v>241</v>
      </c>
      <c r="B10" s="312">
        <v>1891.4</v>
      </c>
      <c r="C10" s="313">
        <v>17.600000000000001</v>
      </c>
      <c r="D10" s="313">
        <v>123</v>
      </c>
      <c r="E10" s="313">
        <v>17.600000000000001</v>
      </c>
      <c r="F10" s="313">
        <v>30</v>
      </c>
      <c r="G10" s="313">
        <v>15.7</v>
      </c>
      <c r="H10" s="313">
        <v>122</v>
      </c>
      <c r="I10" s="313">
        <v>8.5</v>
      </c>
      <c r="J10" s="313">
        <v>90</v>
      </c>
      <c r="K10" s="313">
        <v>66.8</v>
      </c>
      <c r="L10" s="313">
        <v>76.5</v>
      </c>
      <c r="M10" s="313">
        <v>76.5</v>
      </c>
      <c r="N10" s="313">
        <v>66.3</v>
      </c>
      <c r="O10" s="314"/>
    </row>
    <row r="11" spans="1:15">
      <c r="A11" s="315" t="s">
        <v>242</v>
      </c>
      <c r="B11" s="312">
        <v>41.6</v>
      </c>
      <c r="C11" s="313">
        <v>16.899999999999999</v>
      </c>
      <c r="D11" s="313">
        <v>31</v>
      </c>
      <c r="E11" s="313">
        <v>21.6</v>
      </c>
      <c r="F11" s="313">
        <v>92</v>
      </c>
      <c r="G11" s="313">
        <v>17.2</v>
      </c>
      <c r="H11" s="313">
        <v>30</v>
      </c>
      <c r="I11" s="313">
        <v>-1.4</v>
      </c>
      <c r="J11" s="313">
        <v>212</v>
      </c>
      <c r="K11" s="313">
        <v>63</v>
      </c>
      <c r="L11" s="313">
        <v>74.8</v>
      </c>
      <c r="M11" s="313">
        <v>68</v>
      </c>
      <c r="N11" s="313">
        <v>57.6</v>
      </c>
      <c r="O11" s="314"/>
    </row>
    <row r="12" spans="1:15">
      <c r="A12" s="315" t="s">
        <v>243</v>
      </c>
      <c r="B12" s="312">
        <v>171.7</v>
      </c>
      <c r="C12" s="313">
        <v>17.100000000000001</v>
      </c>
      <c r="D12" s="313">
        <v>61</v>
      </c>
      <c r="E12" s="313">
        <v>19.600000000000001</v>
      </c>
      <c r="F12" s="313">
        <v>61</v>
      </c>
      <c r="G12" s="313">
        <v>14.4</v>
      </c>
      <c r="H12" s="313">
        <v>30</v>
      </c>
      <c r="I12" s="313">
        <v>-7</v>
      </c>
      <c r="J12" s="313">
        <v>213</v>
      </c>
      <c r="K12" s="313">
        <v>57.5</v>
      </c>
      <c r="L12" s="313">
        <v>64.5</v>
      </c>
      <c r="M12" s="313">
        <v>59</v>
      </c>
      <c r="N12" s="313">
        <v>56.9</v>
      </c>
      <c r="O12" s="314"/>
    </row>
    <row r="13" spans="1:15">
      <c r="A13" s="315" t="s">
        <v>244</v>
      </c>
      <c r="B13" s="312">
        <v>44.9</v>
      </c>
      <c r="C13" s="313">
        <v>13.9</v>
      </c>
      <c r="D13" s="313">
        <v>61</v>
      </c>
      <c r="E13" s="313">
        <v>25.9</v>
      </c>
      <c r="F13" s="313">
        <v>153</v>
      </c>
      <c r="G13" s="313">
        <v>15.5</v>
      </c>
      <c r="H13" s="313">
        <v>61</v>
      </c>
      <c r="I13" s="313">
        <v>6</v>
      </c>
      <c r="J13" s="313">
        <v>90</v>
      </c>
      <c r="K13" s="313">
        <v>75.5</v>
      </c>
      <c r="L13" s="313">
        <v>72.400000000000006</v>
      </c>
      <c r="M13" s="313">
        <v>74.5</v>
      </c>
      <c r="N13" s="313">
        <v>72</v>
      </c>
      <c r="O13" s="314"/>
    </row>
    <row r="14" spans="1:15">
      <c r="A14" s="315" t="s">
        <v>245</v>
      </c>
      <c r="B14" s="312">
        <v>29.8</v>
      </c>
      <c r="C14" s="313">
        <v>18.100000000000001</v>
      </c>
      <c r="D14" s="313">
        <v>61</v>
      </c>
      <c r="E14" s="313">
        <v>26</v>
      </c>
      <c r="F14" s="313">
        <v>122</v>
      </c>
      <c r="G14" s="313">
        <v>13.8</v>
      </c>
      <c r="H14" s="313">
        <v>61</v>
      </c>
      <c r="I14" s="313">
        <v>5</v>
      </c>
      <c r="J14" s="313">
        <v>121</v>
      </c>
      <c r="K14" s="313">
        <v>69.5</v>
      </c>
      <c r="L14" s="313">
        <v>83.3</v>
      </c>
      <c r="M14" s="313">
        <v>74.5</v>
      </c>
      <c r="N14" s="313">
        <v>69.3</v>
      </c>
      <c r="O14" s="314"/>
    </row>
    <row r="15" spans="1:15">
      <c r="A15" s="315" t="s">
        <v>246</v>
      </c>
      <c r="B15" s="312">
        <v>51.6</v>
      </c>
      <c r="C15" s="313">
        <v>15.2</v>
      </c>
      <c r="D15" s="313">
        <v>30</v>
      </c>
      <c r="E15" s="313">
        <v>24.7</v>
      </c>
      <c r="F15" s="313">
        <v>153</v>
      </c>
      <c r="G15" s="313">
        <v>15.8</v>
      </c>
      <c r="H15" s="313">
        <v>30</v>
      </c>
      <c r="I15" s="313">
        <v>3.2</v>
      </c>
      <c r="J15" s="313">
        <v>152</v>
      </c>
      <c r="K15" s="313">
        <v>52</v>
      </c>
      <c r="L15" s="313">
        <v>69</v>
      </c>
      <c r="M15" s="313">
        <v>59</v>
      </c>
      <c r="N15" s="313">
        <v>46.2</v>
      </c>
      <c r="O15" s="314"/>
    </row>
    <row r="16" spans="1:15">
      <c r="A16" s="315" t="s">
        <v>247</v>
      </c>
      <c r="B16" s="312">
        <v>917.9</v>
      </c>
      <c r="C16" s="313">
        <v>15</v>
      </c>
      <c r="D16" s="313">
        <v>61</v>
      </c>
      <c r="E16" s="313">
        <v>24.4</v>
      </c>
      <c r="F16" s="313">
        <v>92</v>
      </c>
      <c r="G16" s="313">
        <v>17.399999999999999</v>
      </c>
      <c r="H16" s="313">
        <v>30</v>
      </c>
      <c r="I16" s="313">
        <v>-5.5</v>
      </c>
      <c r="J16" s="313">
        <v>182</v>
      </c>
      <c r="K16" s="313">
        <v>35</v>
      </c>
      <c r="L16" s="313">
        <v>35.299999999999997</v>
      </c>
      <c r="M16" s="313">
        <v>43</v>
      </c>
      <c r="N16" s="313">
        <v>66.7</v>
      </c>
      <c r="O16" s="314"/>
    </row>
    <row r="17" spans="1:15">
      <c r="A17" s="315" t="s">
        <v>248</v>
      </c>
      <c r="B17" s="312">
        <v>8.9</v>
      </c>
      <c r="C17" s="313">
        <v>17.399999999999999</v>
      </c>
      <c r="D17" s="313">
        <v>61</v>
      </c>
      <c r="E17" s="313">
        <v>25.8</v>
      </c>
      <c r="F17" s="313">
        <v>122</v>
      </c>
      <c r="G17" s="313">
        <v>13.7</v>
      </c>
      <c r="H17" s="313">
        <v>61</v>
      </c>
      <c r="I17" s="313">
        <v>4.7</v>
      </c>
      <c r="J17" s="313">
        <v>121</v>
      </c>
      <c r="K17" s="313">
        <v>67.5</v>
      </c>
      <c r="L17" s="313">
        <v>79.3</v>
      </c>
      <c r="M17" s="313">
        <v>73.5</v>
      </c>
      <c r="N17" s="313">
        <v>66.5</v>
      </c>
      <c r="O17" s="314"/>
    </row>
    <row r="18" spans="1:15">
      <c r="A18" s="315" t="s">
        <v>249</v>
      </c>
      <c r="B18" s="312">
        <v>41.7</v>
      </c>
      <c r="C18" s="313">
        <v>17.7</v>
      </c>
      <c r="D18" s="313">
        <v>61</v>
      </c>
      <c r="E18" s="313">
        <v>26.1</v>
      </c>
      <c r="F18" s="313">
        <v>122</v>
      </c>
      <c r="G18" s="313">
        <v>14.899999999999999</v>
      </c>
      <c r="H18" s="313">
        <v>61</v>
      </c>
      <c r="I18" s="313">
        <v>6.1</v>
      </c>
      <c r="J18" s="313">
        <v>121</v>
      </c>
      <c r="K18" s="313">
        <v>65</v>
      </c>
      <c r="L18" s="313">
        <v>75.5</v>
      </c>
      <c r="M18" s="313">
        <v>73.5</v>
      </c>
      <c r="N18" s="313">
        <v>66</v>
      </c>
      <c r="O18" s="314"/>
    </row>
    <row r="19" spans="1:15">
      <c r="A19" s="315" t="s">
        <v>250</v>
      </c>
      <c r="B19" s="312">
        <v>46.7</v>
      </c>
      <c r="C19" s="313">
        <v>14</v>
      </c>
      <c r="D19" s="313">
        <v>61</v>
      </c>
      <c r="E19" s="313">
        <v>26.2</v>
      </c>
      <c r="F19" s="313">
        <v>153</v>
      </c>
      <c r="G19" s="313">
        <v>16.100000000000001</v>
      </c>
      <c r="H19" s="313">
        <v>61</v>
      </c>
      <c r="I19" s="313">
        <v>6.3</v>
      </c>
      <c r="J19" s="313">
        <v>90</v>
      </c>
      <c r="K19" s="313">
        <v>70.5</v>
      </c>
      <c r="L19" s="313">
        <v>72.2</v>
      </c>
      <c r="M19" s="313">
        <v>68</v>
      </c>
      <c r="N19" s="313">
        <v>63.7</v>
      </c>
      <c r="O19" s="314"/>
    </row>
    <row r="20" spans="1:15">
      <c r="A20" s="315" t="s">
        <v>251</v>
      </c>
      <c r="B20" s="312">
        <v>23.3</v>
      </c>
      <c r="C20" s="313">
        <v>13.1</v>
      </c>
      <c r="D20" s="313">
        <v>61</v>
      </c>
      <c r="E20" s="313">
        <v>25.5</v>
      </c>
      <c r="F20" s="313">
        <v>153</v>
      </c>
      <c r="G20" s="313">
        <v>14.3</v>
      </c>
      <c r="H20" s="313">
        <v>61</v>
      </c>
      <c r="I20" s="313">
        <v>4.5</v>
      </c>
      <c r="J20" s="313">
        <v>90</v>
      </c>
      <c r="K20" s="313">
        <v>70.5</v>
      </c>
      <c r="L20" s="313">
        <v>71</v>
      </c>
      <c r="M20" s="313">
        <v>74.5</v>
      </c>
      <c r="N20" s="313">
        <v>68</v>
      </c>
      <c r="O20" s="314"/>
    </row>
    <row r="21" spans="1:15">
      <c r="A21" s="311" t="s">
        <v>252</v>
      </c>
      <c r="B21" s="312">
        <v>72.2</v>
      </c>
      <c r="C21" s="313">
        <v>14.8</v>
      </c>
      <c r="D21" s="313">
        <v>80</v>
      </c>
      <c r="E21" s="313">
        <v>25.9</v>
      </c>
      <c r="F21" s="313">
        <v>212</v>
      </c>
      <c r="G21" s="313">
        <v>16.7</v>
      </c>
      <c r="H21" s="313">
        <v>61</v>
      </c>
      <c r="I21" s="313">
        <v>14</v>
      </c>
      <c r="J21" s="313">
        <v>10</v>
      </c>
      <c r="K21" s="313">
        <v>74.7</v>
      </c>
      <c r="L21" s="313">
        <v>79.3</v>
      </c>
      <c r="M21" s="313">
        <v>73.5</v>
      </c>
      <c r="N21" s="313">
        <v>73.5</v>
      </c>
      <c r="O21" s="314"/>
    </row>
    <row r="22" spans="1:15">
      <c r="A22" s="315" t="s">
        <v>253</v>
      </c>
      <c r="B22" s="312">
        <v>1517.2</v>
      </c>
      <c r="C22" s="313">
        <v>16.2</v>
      </c>
      <c r="D22" s="313">
        <v>91</v>
      </c>
      <c r="E22" s="313">
        <v>20</v>
      </c>
      <c r="F22" s="313">
        <v>61</v>
      </c>
      <c r="G22" s="313">
        <v>15.8</v>
      </c>
      <c r="H22" s="313">
        <v>30</v>
      </c>
      <c r="I22" s="313">
        <v>0.3</v>
      </c>
      <c r="J22" s="313">
        <v>183</v>
      </c>
      <c r="K22" s="313">
        <v>40</v>
      </c>
      <c r="L22" s="313">
        <v>46.8</v>
      </c>
      <c r="M22" s="313">
        <v>71</v>
      </c>
      <c r="N22" s="313">
        <v>54.5</v>
      </c>
      <c r="O22" s="314"/>
    </row>
    <row r="23" spans="1:15">
      <c r="A23" s="315" t="s">
        <v>254</v>
      </c>
      <c r="B23" s="312">
        <v>777.9</v>
      </c>
      <c r="C23" s="313">
        <v>14.6</v>
      </c>
      <c r="D23" s="313">
        <v>61</v>
      </c>
      <c r="E23" s="313">
        <v>22.3</v>
      </c>
      <c r="F23" s="313">
        <v>92</v>
      </c>
      <c r="G23" s="313">
        <v>13</v>
      </c>
      <c r="H23" s="313">
        <v>61</v>
      </c>
      <c r="I23" s="313">
        <v>-1.8</v>
      </c>
      <c r="J23" s="313">
        <v>151</v>
      </c>
      <c r="K23" s="313">
        <v>47.5</v>
      </c>
      <c r="L23" s="313">
        <v>61.3</v>
      </c>
      <c r="M23" s="313">
        <v>65</v>
      </c>
      <c r="N23" s="313">
        <v>45.6</v>
      </c>
      <c r="O23" s="314"/>
    </row>
    <row r="24" spans="1:15">
      <c r="A24" s="315" t="s">
        <v>255</v>
      </c>
      <c r="B24" s="312">
        <v>1063</v>
      </c>
      <c r="C24" s="313">
        <v>17.700000000000003</v>
      </c>
      <c r="D24" s="313">
        <v>61</v>
      </c>
      <c r="E24" s="313">
        <v>21.9</v>
      </c>
      <c r="F24" s="313">
        <v>31</v>
      </c>
      <c r="G24" s="313">
        <v>17</v>
      </c>
      <c r="H24" s="313">
        <v>61</v>
      </c>
      <c r="I24" s="313">
        <v>-3.1000000000000005</v>
      </c>
      <c r="J24" s="313">
        <v>212</v>
      </c>
      <c r="K24" s="313">
        <v>38</v>
      </c>
      <c r="L24" s="313">
        <v>50</v>
      </c>
      <c r="M24" s="313">
        <v>63</v>
      </c>
      <c r="N24" s="313">
        <v>50.1</v>
      </c>
      <c r="O24" s="314"/>
    </row>
    <row r="25" spans="1:15">
      <c r="A25" s="315" t="s">
        <v>256</v>
      </c>
      <c r="B25" s="312">
        <v>396.9</v>
      </c>
      <c r="C25" s="313">
        <v>16.600000000000001</v>
      </c>
      <c r="D25" s="313">
        <v>61</v>
      </c>
      <c r="E25" s="313">
        <v>25.8</v>
      </c>
      <c r="F25" s="313">
        <v>92</v>
      </c>
      <c r="G25" s="313">
        <v>16.600000000000001</v>
      </c>
      <c r="H25" s="313">
        <v>61</v>
      </c>
      <c r="I25" s="313">
        <v>3.3</v>
      </c>
      <c r="J25" s="313">
        <v>151</v>
      </c>
      <c r="K25" s="313">
        <v>52</v>
      </c>
      <c r="L25" s="313">
        <v>57.7</v>
      </c>
      <c r="M25" s="313">
        <v>72.5</v>
      </c>
      <c r="N25" s="313">
        <v>55.8</v>
      </c>
      <c r="O25" s="314"/>
    </row>
    <row r="26" spans="1:15">
      <c r="A26" s="315" t="s">
        <v>257</v>
      </c>
      <c r="B26" s="312">
        <v>236.8</v>
      </c>
      <c r="C26" s="313">
        <v>17.600000000000001</v>
      </c>
      <c r="D26" s="313">
        <v>61</v>
      </c>
      <c r="E26" s="313">
        <v>19.899999999999999</v>
      </c>
      <c r="F26" s="313">
        <v>61</v>
      </c>
      <c r="G26" s="313">
        <v>15</v>
      </c>
      <c r="H26" s="313">
        <v>30</v>
      </c>
      <c r="I26" s="313">
        <v>-5.0999999999999996</v>
      </c>
      <c r="J26" s="313">
        <v>213</v>
      </c>
      <c r="K26" s="313">
        <v>58.5</v>
      </c>
      <c r="L26" s="313">
        <v>67.5</v>
      </c>
      <c r="M26" s="313">
        <v>60</v>
      </c>
      <c r="N26" s="313">
        <v>53.9</v>
      </c>
      <c r="O26" s="314"/>
    </row>
    <row r="27" spans="1:15">
      <c r="A27" s="315" t="s">
        <v>258</v>
      </c>
      <c r="B27" s="312">
        <v>84</v>
      </c>
      <c r="C27" s="313">
        <v>13.2</v>
      </c>
      <c r="D27" s="313">
        <v>92</v>
      </c>
      <c r="E27" s="313">
        <v>25.4</v>
      </c>
      <c r="F27" s="313">
        <v>184</v>
      </c>
      <c r="G27" s="313">
        <v>15.3</v>
      </c>
      <c r="H27" s="313">
        <v>61</v>
      </c>
      <c r="I27" s="313">
        <v>13</v>
      </c>
      <c r="J27" s="313">
        <v>28</v>
      </c>
      <c r="K27" s="313">
        <v>67.75</v>
      </c>
      <c r="L27" s="313">
        <v>71.3</v>
      </c>
      <c r="M27" s="313">
        <v>62</v>
      </c>
      <c r="N27" s="313">
        <v>62</v>
      </c>
      <c r="O27" s="314"/>
    </row>
    <row r="28" spans="1:15">
      <c r="A28" s="315" t="s">
        <v>259</v>
      </c>
      <c r="B28" s="312">
        <v>1071.2</v>
      </c>
      <c r="C28" s="313">
        <v>15.8</v>
      </c>
      <c r="D28" s="313">
        <v>92</v>
      </c>
      <c r="E28" s="313">
        <v>23.099999999999998</v>
      </c>
      <c r="F28" s="313">
        <v>92</v>
      </c>
      <c r="G28" s="313">
        <v>16</v>
      </c>
      <c r="H28" s="313">
        <v>92</v>
      </c>
      <c r="I28" s="313">
        <v>6.2</v>
      </c>
      <c r="J28" s="313">
        <v>89</v>
      </c>
      <c r="K28" s="313">
        <v>73.7</v>
      </c>
      <c r="L28" s="313">
        <v>78</v>
      </c>
      <c r="M28" s="313">
        <v>80</v>
      </c>
      <c r="N28" s="313">
        <v>76.7</v>
      </c>
      <c r="O28" s="314"/>
    </row>
    <row r="29" spans="1:15">
      <c r="A29" s="315" t="s">
        <v>260</v>
      </c>
      <c r="B29" s="312">
        <v>6.6</v>
      </c>
      <c r="C29" s="313">
        <v>15.200000000000001</v>
      </c>
      <c r="D29" s="313">
        <v>72</v>
      </c>
      <c r="E29" s="313">
        <v>26</v>
      </c>
      <c r="F29" s="313">
        <v>212</v>
      </c>
      <c r="G29" s="313">
        <v>17.299999999999997</v>
      </c>
      <c r="H29" s="313">
        <v>61</v>
      </c>
      <c r="I29" s="313">
        <v>15</v>
      </c>
      <c r="J29" s="313">
        <v>20</v>
      </c>
      <c r="K29" s="313">
        <v>66.7</v>
      </c>
      <c r="L29" s="313">
        <v>76</v>
      </c>
      <c r="M29" s="313">
        <v>60</v>
      </c>
      <c r="N29" s="313">
        <v>60</v>
      </c>
      <c r="O29" s="314"/>
    </row>
    <row r="30" spans="1:15">
      <c r="A30" s="315" t="s">
        <v>261</v>
      </c>
      <c r="B30" s="312">
        <v>2261.1999999999998</v>
      </c>
      <c r="C30" s="313">
        <v>13.6</v>
      </c>
      <c r="D30" s="313">
        <v>51</v>
      </c>
      <c r="E30" s="313">
        <v>16</v>
      </c>
      <c r="F30" s="313">
        <v>30</v>
      </c>
      <c r="G30" s="313">
        <v>15.3</v>
      </c>
      <c r="H30" s="313">
        <v>72</v>
      </c>
      <c r="I30" s="313">
        <v>-0.7</v>
      </c>
      <c r="J30" s="313">
        <v>212</v>
      </c>
      <c r="K30" s="313">
        <v>56.5</v>
      </c>
      <c r="L30" s="313">
        <v>66.7</v>
      </c>
      <c r="M30" s="313">
        <v>66.7</v>
      </c>
      <c r="N30" s="313">
        <v>51.9</v>
      </c>
      <c r="O30" s="314"/>
    </row>
    <row r="31" spans="1:15">
      <c r="A31" s="315" t="s">
        <v>262</v>
      </c>
      <c r="B31" s="312">
        <v>3658</v>
      </c>
      <c r="C31" s="313">
        <v>14.2</v>
      </c>
      <c r="D31" s="313">
        <v>72</v>
      </c>
      <c r="E31" s="313">
        <v>15</v>
      </c>
      <c r="F31" s="313">
        <v>30</v>
      </c>
      <c r="G31" s="313">
        <v>13.5</v>
      </c>
      <c r="H31" s="313">
        <v>51</v>
      </c>
      <c r="I31" s="313">
        <v>2.9</v>
      </c>
      <c r="J31" s="313">
        <v>212</v>
      </c>
      <c r="K31" s="313">
        <v>49.3</v>
      </c>
      <c r="L31" s="313">
        <v>40.299999999999997</v>
      </c>
      <c r="M31" s="313">
        <v>56</v>
      </c>
      <c r="N31" s="313">
        <v>27.6</v>
      </c>
      <c r="O31" s="314"/>
    </row>
    <row r="32" spans="1:15">
      <c r="A32" s="315" t="s">
        <v>263</v>
      </c>
      <c r="B32" s="312">
        <v>505.9</v>
      </c>
      <c r="C32" s="313">
        <v>16.7</v>
      </c>
      <c r="D32" s="313">
        <v>92</v>
      </c>
      <c r="E32" s="313">
        <v>23.9</v>
      </c>
      <c r="F32" s="313">
        <v>122</v>
      </c>
      <c r="G32" s="313">
        <v>14.4</v>
      </c>
      <c r="H32" s="313">
        <v>61</v>
      </c>
      <c r="I32" s="313">
        <v>6.8</v>
      </c>
      <c r="J32" s="313">
        <v>90</v>
      </c>
      <c r="K32" s="313">
        <v>71</v>
      </c>
      <c r="L32" s="313">
        <v>76.8</v>
      </c>
      <c r="M32" s="313">
        <v>78</v>
      </c>
      <c r="N32" s="313">
        <v>75.3</v>
      </c>
      <c r="O32" s="314"/>
    </row>
    <row r="33" spans="1:15">
      <c r="A33" s="315" t="s">
        <v>264</v>
      </c>
      <c r="B33" s="312">
        <v>1111.5</v>
      </c>
      <c r="C33" s="313">
        <v>13.8</v>
      </c>
      <c r="D33" s="313">
        <v>92</v>
      </c>
      <c r="E33" s="313">
        <v>22.1</v>
      </c>
      <c r="F33" s="313">
        <v>92</v>
      </c>
      <c r="G33" s="313">
        <v>16</v>
      </c>
      <c r="H33" s="313">
        <v>30</v>
      </c>
      <c r="I33" s="313">
        <v>-1.3</v>
      </c>
      <c r="J33" s="313">
        <v>151</v>
      </c>
      <c r="K33" s="313">
        <v>34.5</v>
      </c>
      <c r="L33" s="313">
        <v>49.7</v>
      </c>
      <c r="M33" s="313">
        <v>66</v>
      </c>
      <c r="N33" s="313">
        <v>51.2</v>
      </c>
      <c r="O33" s="314"/>
    </row>
    <row r="34" spans="1:15">
      <c r="A34" s="315" t="s">
        <v>265</v>
      </c>
      <c r="B34" s="312">
        <v>69.8</v>
      </c>
      <c r="C34" s="313">
        <v>19</v>
      </c>
      <c r="D34" s="313">
        <v>82</v>
      </c>
      <c r="E34" s="313">
        <v>26.2</v>
      </c>
      <c r="F34" s="313">
        <v>243</v>
      </c>
      <c r="G34" s="313">
        <v>18.7</v>
      </c>
      <c r="H34" s="313">
        <v>30</v>
      </c>
      <c r="I34" s="313">
        <v>18</v>
      </c>
      <c r="J34" s="313">
        <v>10</v>
      </c>
      <c r="K34" s="313">
        <v>81.7</v>
      </c>
      <c r="L34" s="313">
        <v>78.3</v>
      </c>
      <c r="M34" s="313">
        <v>77</v>
      </c>
      <c r="N34" s="313">
        <v>77</v>
      </c>
      <c r="O34" s="314"/>
    </row>
  </sheetData>
  <mergeCells count="12">
    <mergeCell ref="M2:M3"/>
    <mergeCell ref="N2:N3"/>
    <mergeCell ref="A1:A2"/>
    <mergeCell ref="B1:B2"/>
    <mergeCell ref="C1:J1"/>
    <mergeCell ref="K1:N1"/>
    <mergeCell ref="C2:D2"/>
    <mergeCell ref="E2:F2"/>
    <mergeCell ref="G2:H2"/>
    <mergeCell ref="I2:J2"/>
    <mergeCell ref="K2:K3"/>
    <mergeCell ref="L2:L3"/>
  </mergeCells>
  <phoneticPr fontId="5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客户输入</vt:lpstr>
      <vt:lpstr>Template</vt:lpstr>
      <vt:lpstr>TemplateSeason</vt:lpstr>
      <vt:lpstr>Template_2sets</vt:lpstr>
      <vt:lpstr>Results 6FASets2_56</vt:lpstr>
      <vt:lpstr>Template_2setsSeason</vt:lpstr>
      <vt:lpstr>ROI</vt:lpstr>
      <vt:lpstr>Weather Data</vt:lpstr>
      <vt:lpstr>hello</vt:lpstr>
      <vt:lpstr>'Results 6FASets2_56'!Print_Area</vt:lpstr>
      <vt:lpstr>Template!Print_Area</vt:lpstr>
      <vt:lpstr>Template_2setsSeason!Print_Area</vt:lpstr>
      <vt:lpstr>TemplateSeason!Print_Area</vt:lpstr>
    </vt:vector>
  </TitlesOfParts>
  <Company>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User</dc:creator>
  <cp:lastModifiedBy>GE User</cp:lastModifiedBy>
  <cp:lastPrinted>2013-11-25T07:57:05Z</cp:lastPrinted>
  <dcterms:created xsi:type="dcterms:W3CDTF">2013-03-21T02:57:41Z</dcterms:created>
  <dcterms:modified xsi:type="dcterms:W3CDTF">2013-12-24T07:36:17Z</dcterms:modified>
</cp:coreProperties>
</file>