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defaultThemeVersion="124226"/>
  <bookViews>
    <workbookView xWindow="240" yWindow="105" windowWidth="14805" windowHeight="8010"/>
  </bookViews>
  <sheets>
    <sheet name="Sheet3" sheetId="4" r:id="rId1"/>
    <sheet name="净值计算支持表" sheetId="5" r:id="rId2"/>
  </sheets>
  <calcPr calcId="145621"/>
</workbook>
</file>

<file path=xl/calcChain.xml><?xml version="1.0" encoding="utf-8"?>
<calcChain xmlns="http://schemas.openxmlformats.org/spreadsheetml/2006/main">
  <c r="C8" i="4" l="1"/>
  <c r="G8" i="4" l="1"/>
  <c r="F43" i="4"/>
  <c r="D21" i="4" s="1"/>
  <c r="G16" i="4"/>
  <c r="C6" i="4"/>
  <c r="C11" i="4" s="1"/>
  <c r="E7" i="4"/>
  <c r="D20" i="4" l="1"/>
  <c r="D17" i="4"/>
  <c r="F32" i="4"/>
  <c r="F31" i="4"/>
  <c r="F30" i="4"/>
  <c r="F29" i="4"/>
  <c r="F28" i="4"/>
  <c r="D32" i="4"/>
  <c r="D31" i="4"/>
  <c r="D30" i="4"/>
  <c r="D29" i="4"/>
  <c r="D28" i="4"/>
  <c r="B34" i="4"/>
  <c r="I15" i="4" s="1"/>
  <c r="B33" i="4"/>
  <c r="G13" i="4"/>
  <c r="C12" i="4" s="1"/>
  <c r="D13" i="4"/>
  <c r="D10" i="4"/>
  <c r="D9" i="4" l="1"/>
  <c r="D15" i="4" s="1"/>
  <c r="G15" i="4"/>
  <c r="C14" i="4" s="1"/>
  <c r="E31" i="4"/>
  <c r="E32" i="4"/>
  <c r="E28" i="4"/>
  <c r="E30" i="4"/>
  <c r="C9" i="4" l="1"/>
  <c r="C15" i="4" s="1"/>
  <c r="E29" i="4"/>
  <c r="E33" i="4" s="1"/>
  <c r="D18" i="4" s="1"/>
  <c r="D19" i="4" l="1"/>
  <c r="D23" i="4" s="1"/>
  <c r="C19" i="4"/>
</calcChain>
</file>

<file path=xl/sharedStrings.xml><?xml version="1.0" encoding="utf-8"?>
<sst xmlns="http://schemas.openxmlformats.org/spreadsheetml/2006/main" count="158" uniqueCount="148">
  <si>
    <t>序号</t>
    <phoneticPr fontId="1" type="noConversion"/>
  </si>
  <si>
    <t>内容</t>
    <phoneticPr fontId="1" type="noConversion"/>
  </si>
  <si>
    <t>备注</t>
    <phoneticPr fontId="1" type="noConversion"/>
  </si>
  <si>
    <t>（一）</t>
    <phoneticPr fontId="1" type="noConversion"/>
  </si>
  <si>
    <t>①</t>
    <phoneticPr fontId="1" type="noConversion"/>
  </si>
  <si>
    <t>②</t>
    <phoneticPr fontId="1" type="noConversion"/>
  </si>
  <si>
    <t>（二）</t>
    <phoneticPr fontId="1" type="noConversion"/>
  </si>
  <si>
    <t>年有效毛收入（元/）</t>
    <phoneticPr fontId="1" type="noConversion"/>
  </si>
  <si>
    <t>空置率和租金损失</t>
    <phoneticPr fontId="1" type="noConversion"/>
  </si>
  <si>
    <t>其他收入</t>
    <phoneticPr fontId="1" type="noConversion"/>
  </si>
  <si>
    <t>年运营费用</t>
    <phoneticPr fontId="1" type="noConversion"/>
  </si>
  <si>
    <t>年维修费</t>
    <phoneticPr fontId="1" type="noConversion"/>
  </si>
  <si>
    <t>年管理费</t>
    <phoneticPr fontId="1" type="noConversion"/>
  </si>
  <si>
    <t>年房产税</t>
    <phoneticPr fontId="1" type="noConversion"/>
  </si>
  <si>
    <t>报酬率Y</t>
    <phoneticPr fontId="1" type="noConversion"/>
  </si>
  <si>
    <t>（三）</t>
    <phoneticPr fontId="1" type="noConversion"/>
  </si>
  <si>
    <t>③</t>
    <phoneticPr fontId="1" type="noConversion"/>
  </si>
  <si>
    <t>④</t>
    <phoneticPr fontId="1" type="noConversion"/>
  </si>
  <si>
    <t>⑤</t>
    <phoneticPr fontId="1" type="noConversion"/>
  </si>
  <si>
    <t>（四）</t>
    <phoneticPr fontId="1" type="noConversion"/>
  </si>
  <si>
    <t>（五）</t>
    <phoneticPr fontId="1" type="noConversion"/>
  </si>
  <si>
    <t>（六）</t>
    <phoneticPr fontId="1" type="noConversion"/>
  </si>
  <si>
    <t>（七）</t>
    <phoneticPr fontId="1" type="noConversion"/>
  </si>
  <si>
    <t>（八）</t>
    <phoneticPr fontId="1" type="noConversion"/>
  </si>
  <si>
    <t>（九）</t>
    <phoneticPr fontId="1" type="noConversion"/>
  </si>
  <si>
    <t>（十）</t>
    <phoneticPr fontId="1" type="noConversion"/>
  </si>
  <si>
    <t>月租金（元/㎡）</t>
    <phoneticPr fontId="1" type="noConversion"/>
  </si>
  <si>
    <t>年保险费</t>
    <phoneticPr fontId="1" type="noConversion"/>
  </si>
  <si>
    <t>①-⑤加总</t>
    <phoneticPr fontId="1" type="noConversion"/>
  </si>
  <si>
    <t>年维修费=房屋重置单价×年维修费率</t>
    <phoneticPr fontId="1" type="noConversion"/>
  </si>
  <si>
    <t>年管理费=年有效毛收入×年管理费率</t>
    <phoneticPr fontId="1" type="noConversion"/>
  </si>
  <si>
    <t>年房产税=年有效毛收入×年房产税率</t>
    <phoneticPr fontId="1" type="noConversion"/>
  </si>
  <si>
    <t>年保险费=房屋重置单价×年保险费率</t>
    <phoneticPr fontId="1" type="noConversion"/>
  </si>
  <si>
    <t>年营业税及附加=年有效毛收入×营业税及附加率</t>
    <phoneticPr fontId="1" type="noConversion"/>
  </si>
  <si>
    <t>第1年净收益=年有效毛收入-年运营费用</t>
    <phoneticPr fontId="1" type="noConversion"/>
  </si>
  <si>
    <t>选取三个可比实例用比较法求得</t>
    <phoneticPr fontId="1" type="noConversion"/>
  </si>
  <si>
    <t>买卖价值V（元/㎡）</t>
    <phoneticPr fontId="1" type="noConversion"/>
  </si>
  <si>
    <t>（十一）</t>
    <phoneticPr fontId="1" type="noConversion"/>
  </si>
  <si>
    <t>租金K</t>
    <phoneticPr fontId="1" type="noConversion"/>
  </si>
  <si>
    <t>常数</t>
    <phoneticPr fontId="1" type="noConversion"/>
  </si>
  <si>
    <t>一年存款</t>
    <phoneticPr fontId="1" type="noConversion"/>
  </si>
  <si>
    <t>押金月数</t>
    <phoneticPr fontId="1" type="noConversion"/>
  </si>
  <si>
    <t>保证金利息=押金月数×月租金×1年期定期基准利率×（1-空置率)</t>
    <phoneticPr fontId="1" type="noConversion"/>
  </si>
  <si>
    <t>房屋重置价</t>
    <phoneticPr fontId="1" type="noConversion"/>
  </si>
  <si>
    <t>维修率</t>
    <phoneticPr fontId="1" type="noConversion"/>
  </si>
  <si>
    <t>管理费率</t>
    <phoneticPr fontId="1" type="noConversion"/>
  </si>
  <si>
    <t>房产税</t>
    <phoneticPr fontId="1" type="noConversion"/>
  </si>
  <si>
    <t>保险费率</t>
    <phoneticPr fontId="1" type="noConversion"/>
  </si>
  <si>
    <t>增值税起征点</t>
    <phoneticPr fontId="1" type="noConversion"/>
  </si>
  <si>
    <t>建筑面积</t>
    <phoneticPr fontId="1" type="noConversion"/>
  </si>
  <si>
    <t>物业类型</t>
    <phoneticPr fontId="1" type="noConversion"/>
  </si>
  <si>
    <t>是否满2年</t>
    <phoneticPr fontId="1" type="noConversion"/>
  </si>
  <si>
    <t>是</t>
  </si>
  <si>
    <t>权属人</t>
    <phoneticPr fontId="1" type="noConversion"/>
  </si>
  <si>
    <t>所在区域</t>
    <phoneticPr fontId="1" type="noConversion"/>
  </si>
  <si>
    <t>出租增值税率</t>
    <phoneticPr fontId="1" type="noConversion"/>
  </si>
  <si>
    <t>住宅</t>
    <phoneticPr fontId="1" type="noConversion"/>
  </si>
  <si>
    <t>商业</t>
    <phoneticPr fontId="1" type="noConversion"/>
  </si>
  <si>
    <t>办公</t>
    <phoneticPr fontId="1" type="noConversion"/>
  </si>
  <si>
    <t>个人是否免征</t>
    <phoneticPr fontId="1" type="noConversion"/>
  </si>
  <si>
    <t>合计</t>
    <phoneticPr fontId="1" type="noConversion"/>
  </si>
  <si>
    <t>住宅</t>
    <phoneticPr fontId="1" type="noConversion"/>
  </si>
  <si>
    <t>商业</t>
    <phoneticPr fontId="1" type="noConversion"/>
  </si>
  <si>
    <t>办公</t>
    <phoneticPr fontId="1" type="noConversion"/>
  </si>
  <si>
    <t>工业仓储</t>
    <phoneticPr fontId="1" type="noConversion"/>
  </si>
  <si>
    <t>工业仓储</t>
    <phoneticPr fontId="1" type="noConversion"/>
  </si>
  <si>
    <t>车位车库</t>
    <phoneticPr fontId="1" type="noConversion"/>
  </si>
  <si>
    <t>其他用房</t>
  </si>
  <si>
    <t>年增值税</t>
    <phoneticPr fontId="1" type="noConversion"/>
  </si>
  <si>
    <t>增值税附加</t>
    <phoneticPr fontId="1" type="noConversion"/>
  </si>
  <si>
    <t>递增系数</t>
    <phoneticPr fontId="1" type="noConversion"/>
  </si>
  <si>
    <t>持有转售收益法模型测算租金过程表</t>
    <phoneticPr fontId="1" type="noConversion"/>
  </si>
  <si>
    <t>持有期N（年）</t>
    <phoneticPr fontId="1" type="noConversion"/>
  </si>
  <si>
    <t>房屋价值递增率</t>
    <phoneticPr fontId="1" type="noConversion"/>
  </si>
  <si>
    <t>税种</t>
    <phoneticPr fontId="1" type="noConversion"/>
  </si>
  <si>
    <t>税率</t>
    <phoneticPr fontId="1" type="noConversion"/>
  </si>
  <si>
    <t>金额</t>
    <phoneticPr fontId="1" type="noConversion"/>
  </si>
  <si>
    <t>说明</t>
    <phoneticPr fontId="1" type="noConversion"/>
  </si>
  <si>
    <t>增值税</t>
    <phoneticPr fontId="1" type="noConversion"/>
  </si>
  <si>
    <t>附加税费</t>
    <phoneticPr fontId="1" type="noConversion"/>
  </si>
  <si>
    <t>所得税</t>
    <phoneticPr fontId="1" type="noConversion"/>
  </si>
  <si>
    <t>印花税</t>
    <phoneticPr fontId="1" type="noConversion"/>
  </si>
  <si>
    <t>土地增值税</t>
    <phoneticPr fontId="1" type="noConversion"/>
  </si>
  <si>
    <t>持有期末房屋转售价值</t>
    <phoneticPr fontId="1" type="noConversion"/>
  </si>
  <si>
    <t>转售成本</t>
    <phoneticPr fontId="1" type="noConversion"/>
  </si>
  <si>
    <t>评估价值（万元）</t>
    <phoneticPr fontId="1" type="noConversion"/>
  </si>
  <si>
    <t>是否满2年</t>
    <phoneticPr fontId="1" type="noConversion"/>
  </si>
  <si>
    <t>类型</t>
    <phoneticPr fontId="1" type="noConversion"/>
  </si>
  <si>
    <t>个人</t>
    <phoneticPr fontId="1" type="noConversion"/>
  </si>
  <si>
    <t>企业</t>
    <phoneticPr fontId="1" type="noConversion"/>
  </si>
  <si>
    <t>住房</t>
    <phoneticPr fontId="1" type="noConversion"/>
  </si>
  <si>
    <t>非住房</t>
    <phoneticPr fontId="1" type="noConversion"/>
  </si>
  <si>
    <t>个人将购买2年以上（含2年）的住房对外销售的，免征增值税</t>
    <phoneticPr fontId="1" type="noConversion"/>
  </si>
  <si>
    <t>元／m2</t>
    <phoneticPr fontId="1" type="noConversion"/>
  </si>
  <si>
    <t>增值税</t>
    <phoneticPr fontId="1" type="noConversion"/>
  </si>
  <si>
    <t>个人将购买不足2年的住房对外销售的，按照5%的征收率全额缴纳增值税</t>
    <phoneticPr fontId="1" type="noConversion"/>
  </si>
  <si>
    <t>元／m2</t>
  </si>
  <si>
    <t>个人出售其购买的除住房以外的房屋，按照其转让不动产取得的全部价款和价外费用扣除房屋购置原价后按照5%的征收率全额缴纳增值税。</t>
    <phoneticPr fontId="1" type="noConversion"/>
  </si>
  <si>
    <t>城市维护建设税、教育费附加、地方教育附加</t>
    <phoneticPr fontId="1" type="noConversion"/>
  </si>
  <si>
    <t>纳税人转让其取得的不动产，以取得的全部价款和价外费用扣除不动产购置原价或者取得不动产时的作价后的余额为销售额，按照5%的征收率计算应纳税额。</t>
    <phoneticPr fontId="1" type="noConversion"/>
  </si>
  <si>
    <t>所得税</t>
    <phoneticPr fontId="1" type="noConversion"/>
  </si>
  <si>
    <t>12%*25%</t>
    <phoneticPr fontId="1" type="noConversion"/>
  </si>
  <si>
    <t>以应纳增值税额为计税（费）依据，城市维护建设税按市区7%，县城、镇5%，不在市区、县城或镇的，税率为1%计征。教育费附加按3%的征收率计征。地方教育附加按2%的征收率计征</t>
    <phoneticPr fontId="1" type="noConversion"/>
  </si>
  <si>
    <t>车位车库</t>
    <phoneticPr fontId="1" type="noConversion"/>
  </si>
  <si>
    <t>印花税</t>
    <phoneticPr fontId="1" type="noConversion"/>
  </si>
  <si>
    <t>个人销售二手房不能核实原值的，按交易总额(增值税不含税收入)的1.5％计征。</t>
    <phoneticPr fontId="1" type="noConversion"/>
  </si>
  <si>
    <t>土地增值税</t>
    <phoneticPr fontId="1" type="noConversion"/>
  </si>
  <si>
    <t>单位销售二手房，将售房收入并入企业应纳税所得额计算，本次评估因无法取得企业应纳税所得，故暂不计算企业所得税。</t>
    <phoneticPr fontId="1" type="noConversion"/>
  </si>
  <si>
    <t>交易手续费</t>
    <phoneticPr fontId="1" type="noConversion"/>
  </si>
  <si>
    <t xml:space="preserve">售购房双方以合同记载金额为计税依据，按“产权转移书据”税目及万分之五的税率计征。 </t>
    <phoneticPr fontId="1" type="noConversion"/>
  </si>
  <si>
    <t>处置费用</t>
    <phoneticPr fontId="1" type="noConversion"/>
  </si>
  <si>
    <t>自2008年11月1日起，个人销售或购买住房暂免征收印花税。</t>
    <phoneticPr fontId="1" type="noConversion"/>
  </si>
  <si>
    <t>个人转让非住宅二手房，单位转让二手房的，按转让收入全额的5％征收土地增值税。</t>
    <phoneticPr fontId="1" type="noConversion"/>
  </si>
  <si>
    <t xml:space="preserve">自2008年11月1日起，个人销售住房暂免征收土地增值税。  </t>
    <phoneticPr fontId="1" type="noConversion"/>
  </si>
  <si>
    <t>对单位转让二手房产、地产，按照《中华人民共和国土地增值税暂行条例》及其实施细则以及现行政策规定，计算征收土地增值税，并在二手房产、地产转让前到主管税务机关申报</t>
    <phoneticPr fontId="1" type="noConversion"/>
  </si>
  <si>
    <t>交易手续费按建筑面积计取，2015年10月15日起，存量住房交易手续费由现行每平方米6元降为每平方米4元，双方各承担50%。</t>
    <phoneticPr fontId="1" type="noConversion"/>
  </si>
  <si>
    <t>市区</t>
    <phoneticPr fontId="1" type="noConversion"/>
  </si>
  <si>
    <t>自2008年11月1日起，对个人销售或购买住房暂免征收印花税。</t>
    <phoneticPr fontId="1" type="noConversion"/>
  </si>
  <si>
    <t>县镇</t>
    <phoneticPr fontId="1" type="noConversion"/>
  </si>
  <si>
    <t>售购房双方以合同记载金额为计税依据，按“产权转移书据”税目及万分之五的税率计征。</t>
    <phoneticPr fontId="1" type="noConversion"/>
  </si>
  <si>
    <t>其他</t>
    <phoneticPr fontId="1" type="noConversion"/>
  </si>
  <si>
    <t>转售收益折现到价值时点</t>
    <phoneticPr fontId="1" type="noConversion"/>
  </si>
  <si>
    <t>交易手续费按建筑面积计取，存量工业仓储交易手续费每平方米7元，双方各承担50%</t>
  </si>
  <si>
    <t>估计租金</t>
    <phoneticPr fontId="1" type="noConversion"/>
  </si>
  <si>
    <t>城市市区</t>
  </si>
  <si>
    <t>年增值税及附加</t>
    <phoneticPr fontId="1" type="noConversion"/>
  </si>
  <si>
    <t>序号</t>
  </si>
  <si>
    <t>项目</t>
  </si>
  <si>
    <t>估价对象取值</t>
  </si>
  <si>
    <t>无风险报酬率（一年期存款基准利率）</t>
  </si>
  <si>
    <t>投资风险补偿率</t>
  </si>
  <si>
    <t>管理负担补偿率</t>
  </si>
  <si>
    <t>缺乏流动性补偿率</t>
  </si>
  <si>
    <t>易于获得融资的优惠率</t>
  </si>
  <si>
    <t>所得税抵扣的优惠率</t>
  </si>
  <si>
    <t>合计</t>
  </si>
  <si>
    <t>商业</t>
  </si>
  <si>
    <t>一般纳税人</t>
  </si>
  <si>
    <t>年有效毛收入=年潜在毛收入×（1-空置率）+其他收入</t>
    <phoneticPr fontId="1" type="noConversion"/>
  </si>
  <si>
    <t>前一个是转售收益，后一个是折现到价值时点</t>
    <phoneticPr fontId="1" type="noConversion"/>
  </si>
  <si>
    <t>等额支付现值系数</t>
    <phoneticPr fontId="1" type="noConversion"/>
  </si>
  <si>
    <t>报酬率在下表计算</t>
    <phoneticPr fontId="1" type="noConversion"/>
  </si>
  <si>
    <t>K项系数</t>
    <phoneticPr fontId="1" type="noConversion"/>
  </si>
  <si>
    <t>K</t>
    <phoneticPr fontId="1" type="noConversion"/>
  </si>
  <si>
    <t>年潜在毛收入（元/㎡）</t>
    <phoneticPr fontId="1" type="noConversion"/>
  </si>
  <si>
    <t>（一）=①×12；年潜在毛租金收入=月租金×12</t>
    <phoneticPr fontId="1" type="noConversion"/>
  </si>
  <si>
    <r>
      <t>第1年净收益A</t>
    </r>
    <r>
      <rPr>
        <vertAlign val="subscript"/>
        <sz val="11"/>
        <color theme="1"/>
        <rFont val="楷体"/>
        <family val="3"/>
        <charset val="134"/>
      </rPr>
      <t>1</t>
    </r>
    <phoneticPr fontId="1" type="noConversion"/>
  </si>
  <si>
    <t>绿色部分可修改，但一般只有粉色部分才经常需要修改</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</si>
</sst>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
    <numFmt numFmtId="177" formatCode="0.00_ "/>
    <numFmt numFmtId="178" formatCode="0_ "/>
    <numFmt numFmtId="179" formatCode="0.0000"/>
    <numFmt numFmtId="180" formatCode="0.0000_ "/>
  </numFmts>
  <fonts count="13">
    <font>
      <sz val="11"/>
      <color theme="1"/>
      <name val="宋体"/>
      <family val="2"/>
      <scheme val="minor"/>
    </font>
    <font>
      <sz val="9"/>
      <name val="宋体"/>
      <family val="3"/>
      <charset val="134"/>
      <scheme val="minor"/>
    </font>
    <font>
      <sz val="11"/>
      <color theme="1"/>
      <name val="宋体"/>
      <family val="2"/>
      <scheme val="minor"/>
    </font>
    <font>
      <sz val="10.5"/>
      <name val="仿宋"/>
      <family val="3"/>
      <charset val="134"/>
    </font>
    <font>
      <sz val="10.5"/>
      <color rgb="FFFF0000"/>
      <name val="仿宋"/>
      <family val="3"/>
      <charset val="134"/>
    </font>
    <font>
      <b/>
      <sz val="11"/>
      <color theme="1"/>
      <name val="仿宋"/>
      <family val="3"/>
      <charset val="134"/>
    </font>
    <font>
      <b/>
      <sz val="10.5"/>
      <color rgb="FFFF0000"/>
      <name val="仿宋"/>
      <family val="3"/>
      <charset val="134"/>
    </font>
    <font>
      <sz val="11"/>
      <color theme="1"/>
      <name val="楷体"/>
      <family val="3"/>
      <charset val="134"/>
    </font>
    <font>
      <b/>
      <sz val="10.5"/>
      <color theme="1"/>
      <name val="仿宋_GB2312"/>
      <family val="1"/>
      <charset val="134"/>
    </font>
    <font>
      <sz val="10.5"/>
      <color theme="1"/>
      <name val="仿宋_GB2312"/>
      <family val="1"/>
      <charset val="134"/>
    </font>
    <font>
      <b/>
      <sz val="12"/>
      <color theme="1"/>
      <name val="楷体"/>
      <family val="3"/>
      <charset val="134"/>
    </font>
    <font>
      <vertAlign val="subscript"/>
      <sz val="11"/>
      <color theme="1"/>
      <name val="楷体"/>
      <family val="3"/>
      <charset val="134"/>
    </font>
    <font>
      <sz val="11"/>
      <color rgb="FFFF0000"/>
      <name val="宋体"/>
      <family val="2"/>
      <scheme val="minor"/>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right style="thin">
        <color auto="1"/>
      </right>
      <top style="double">
        <color auto="1"/>
      </top>
      <bottom style="thin">
        <color auto="1"/>
      </bottom>
      <diagonal/>
    </border>
    <border>
      <left style="thin">
        <color auto="1"/>
      </left>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auto="1"/>
      </top>
      <bottom style="double">
        <color auto="1"/>
      </bottom>
      <diagonal/>
    </border>
    <border>
      <left/>
      <right style="medium">
        <color indexed="64"/>
      </right>
      <top style="double">
        <color indexed="64"/>
      </top>
      <bottom style="medium">
        <color indexed="64"/>
      </bottom>
      <diagonal/>
    </border>
    <border>
      <left/>
      <right/>
      <top style="double">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style="double">
        <color indexed="64"/>
      </bottom>
      <diagonal/>
    </border>
    <border>
      <left/>
      <right/>
      <top/>
      <bottom style="double">
        <color indexed="64"/>
      </bottom>
      <diagonal/>
    </border>
  </borders>
  <cellStyleXfs count="2">
    <xf numFmtId="0" fontId="0" fillId="0" borderId="0"/>
    <xf numFmtId="9" fontId="2" fillId="0" borderId="0" applyFont="0" applyFill="0" applyBorder="0" applyAlignment="0" applyProtection="0">
      <alignment vertical="center"/>
    </xf>
  </cellStyleXfs>
  <cellXfs count="86">
    <xf numFmtId="0" fontId="0" fillId="0" borderId="0" xfId="0"/>
    <xf numFmtId="0" fontId="0" fillId="0" borderId="1" xfId="0" applyBorder="1" applyAlignment="1">
      <alignment horizontal="center" vertical="center"/>
    </xf>
    <xf numFmtId="0" fontId="0" fillId="2" borderId="1" xfId="0" applyFill="1" applyBorder="1" applyAlignment="1">
      <alignment horizontal="center"/>
    </xf>
    <xf numFmtId="9" fontId="0" fillId="0" borderId="0" xfId="1" applyFont="1" applyAlignment="1"/>
    <xf numFmtId="10" fontId="0" fillId="0" borderId="0" xfId="1" applyNumberFormat="1" applyFont="1" applyFill="1" applyBorder="1" applyAlignment="1"/>
    <xf numFmtId="0" fontId="0" fillId="0" borderId="2" xfId="0" applyBorder="1"/>
    <xf numFmtId="0" fontId="0" fillId="0" borderId="7" xfId="0" applyBorder="1"/>
    <xf numFmtId="0" fontId="0" fillId="0" borderId="11" xfId="0" applyBorder="1"/>
    <xf numFmtId="0" fontId="0" fillId="0" borderId="0" xfId="0" applyAlignment="1"/>
    <xf numFmtId="0" fontId="0" fillId="0" borderId="2" xfId="0" applyBorder="1" applyAlignment="1"/>
    <xf numFmtId="0" fontId="0" fillId="0" borderId="7" xfId="0" applyBorder="1" applyAlignment="1"/>
    <xf numFmtId="0" fontId="0" fillId="0" borderId="11" xfId="0" applyBorder="1" applyAlignment="1"/>
    <xf numFmtId="0" fontId="0" fillId="0" borderId="0" xfId="0" applyAlignment="1">
      <alignment wrapText="1"/>
    </xf>
    <xf numFmtId="0" fontId="0" fillId="0" borderId="5" xfId="0" applyBorder="1"/>
    <xf numFmtId="0" fontId="0" fillId="0" borderId="9" xfId="0" applyBorder="1" applyAlignment="1">
      <alignment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2" borderId="4" xfId="0" applyFill="1" applyBorder="1" applyAlignment="1">
      <alignment horizontal="center"/>
    </xf>
    <xf numFmtId="10" fontId="0" fillId="0" borderId="1" xfId="1" applyNumberFormat="1" applyFont="1" applyBorder="1" applyAlignment="1">
      <alignment horizontal="center" vertical="center"/>
    </xf>
    <xf numFmtId="10" fontId="0" fillId="0" borderId="10" xfId="1" applyNumberFormat="1" applyFont="1" applyBorder="1" applyAlignment="1">
      <alignment horizontal="center" vertical="center"/>
    </xf>
    <xf numFmtId="0" fontId="0" fillId="2" borderId="8" xfId="0" applyFill="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vertical="center"/>
    </xf>
    <xf numFmtId="10" fontId="0" fillId="0" borderId="12" xfId="1" applyNumberFormat="1" applyFont="1" applyBorder="1" applyAlignment="1">
      <alignment horizontal="center" vertical="center"/>
    </xf>
    <xf numFmtId="176" fontId="0" fillId="0" borderId="12" xfId="1" applyNumberFormat="1" applyFont="1" applyBorder="1" applyAlignment="1">
      <alignment horizontal="center" vertical="center"/>
    </xf>
    <xf numFmtId="176" fontId="0" fillId="0" borderId="15" xfId="1" applyNumberFormat="1" applyFont="1" applyBorder="1" applyAlignment="1">
      <alignment horizontal="center" vertical="center"/>
    </xf>
    <xf numFmtId="0" fontId="3" fillId="0" borderId="16" xfId="0" applyFont="1" applyBorder="1" applyAlignment="1" applyProtection="1">
      <alignment horizontal="center" vertical="center"/>
    </xf>
    <xf numFmtId="0" fontId="4" fillId="4" borderId="16" xfId="0" applyFont="1" applyFill="1" applyBorder="1" applyAlignment="1" applyProtection="1">
      <alignment horizontal="center" vertical="center"/>
    </xf>
    <xf numFmtId="0" fontId="5" fillId="0" borderId="5" xfId="0" applyFont="1" applyBorder="1" applyAlignment="1" applyProtection="1">
      <alignment horizontal="center" vertical="center"/>
    </xf>
    <xf numFmtId="0" fontId="5" fillId="0" borderId="3" xfId="0" applyFont="1" applyBorder="1" applyAlignment="1" applyProtection="1">
      <alignment horizontal="center" vertical="center"/>
    </xf>
    <xf numFmtId="0" fontId="5" fillId="0" borderId="6" xfId="0" applyFont="1" applyBorder="1" applyAlignment="1" applyProtection="1">
      <alignment horizontal="center" vertical="center"/>
    </xf>
    <xf numFmtId="0" fontId="3" fillId="0" borderId="1" xfId="0" applyFont="1" applyBorder="1" applyAlignment="1" applyProtection="1">
      <alignment horizontal="center" vertical="center"/>
    </xf>
    <xf numFmtId="0" fontId="7" fillId="0" borderId="9" xfId="0" applyFont="1" applyBorder="1" applyAlignment="1" applyProtection="1">
      <alignment horizontal="center" vertical="center"/>
    </xf>
    <xf numFmtId="9" fontId="7" fillId="0" borderId="1" xfId="1" applyNumberFormat="1" applyFont="1" applyBorder="1" applyAlignment="1" applyProtection="1">
      <alignment horizontal="center" vertical="center"/>
    </xf>
    <xf numFmtId="0" fontId="7" fillId="0" borderId="1" xfId="0" applyFont="1" applyBorder="1" applyAlignment="1" applyProtection="1">
      <alignment horizontal="center" vertical="center"/>
    </xf>
    <xf numFmtId="0" fontId="7" fillId="0" borderId="10" xfId="0" applyFont="1" applyBorder="1" applyAlignment="1" applyProtection="1">
      <alignment horizontal="left" vertical="center"/>
    </xf>
    <xf numFmtId="0" fontId="4" fillId="3" borderId="16" xfId="0" applyFont="1" applyFill="1" applyBorder="1" applyAlignment="1" applyProtection="1">
      <alignment horizontal="center" vertical="center"/>
      <protection locked="0"/>
    </xf>
    <xf numFmtId="176" fontId="7" fillId="0" borderId="1" xfId="1" applyNumberFormat="1" applyFont="1" applyBorder="1" applyAlignment="1" applyProtection="1">
      <alignment horizontal="center" vertical="center"/>
    </xf>
    <xf numFmtId="10" fontId="7" fillId="0" borderId="1" xfId="1" applyNumberFormat="1" applyFont="1" applyBorder="1" applyAlignment="1" applyProtection="1">
      <alignment horizontal="center" vertical="center"/>
    </xf>
    <xf numFmtId="9" fontId="4" fillId="0" borderId="16" xfId="1" applyFont="1" applyFill="1" applyBorder="1" applyAlignment="1" applyProtection="1">
      <alignment horizontal="center" vertical="center"/>
    </xf>
    <xf numFmtId="0" fontId="5" fillId="0" borderId="14" xfId="0" applyFont="1" applyBorder="1" applyAlignment="1" applyProtection="1">
      <alignment horizontal="center" vertical="center"/>
    </xf>
    <xf numFmtId="0" fontId="0" fillId="0" borderId="12" xfId="0" applyFont="1" applyBorder="1" applyAlignment="1" applyProtection="1">
      <alignment horizontal="center" vertical="center"/>
    </xf>
    <xf numFmtId="0" fontId="5" fillId="0" borderId="15" xfId="0" applyFont="1" applyBorder="1" applyAlignment="1" applyProtection="1">
      <alignment horizontal="center" vertical="center"/>
    </xf>
    <xf numFmtId="0" fontId="5" fillId="0" borderId="17" xfId="0" applyFont="1" applyBorder="1" applyAlignment="1" applyProtection="1">
      <alignment horizontal="center" vertical="center"/>
    </xf>
    <xf numFmtId="0" fontId="0" fillId="0" borderId="0" xfId="0" applyBorder="1" applyAlignment="1">
      <alignment horizontal="center" vertical="center"/>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2" xfId="0" applyFont="1" applyBorder="1" applyAlignment="1">
      <alignment horizontal="center" vertical="center" wrapText="1"/>
    </xf>
    <xf numFmtId="10" fontId="9" fillId="0" borderId="23" xfId="0" applyNumberFormat="1" applyFont="1" applyBorder="1" applyAlignment="1">
      <alignment horizontal="center" vertical="center" wrapText="1"/>
    </xf>
    <xf numFmtId="178" fontId="6" fillId="3" borderId="16" xfId="0" applyNumberFormat="1" applyFont="1" applyFill="1" applyBorder="1" applyAlignment="1" applyProtection="1">
      <alignment horizontal="center" vertical="center"/>
      <protection locked="0"/>
    </xf>
    <xf numFmtId="177" fontId="6" fillId="5" borderId="16" xfId="0" applyNumberFormat="1" applyFont="1" applyFill="1" applyBorder="1" applyAlignment="1" applyProtection="1">
      <alignment horizontal="center" vertical="center"/>
      <protection locked="0"/>
    </xf>
    <xf numFmtId="0" fontId="4" fillId="5" borderId="16" xfId="0" applyFont="1" applyFill="1" applyBorder="1" applyAlignment="1" applyProtection="1">
      <alignment horizontal="center" vertical="center"/>
      <protection locked="0"/>
    </xf>
    <xf numFmtId="0" fontId="0" fillId="0" borderId="0" xfId="0" applyFill="1" applyBorder="1" applyAlignment="1">
      <alignment horizontal="center"/>
    </xf>
    <xf numFmtId="0" fontId="7" fillId="0" borderId="9" xfId="0" applyFont="1" applyBorder="1" applyAlignment="1">
      <alignment horizontal="center"/>
    </xf>
    <xf numFmtId="0" fontId="7" fillId="0" borderId="1" xfId="0" applyFont="1" applyBorder="1" applyAlignment="1">
      <alignment horizontal="center"/>
    </xf>
    <xf numFmtId="0" fontId="7" fillId="0" borderId="10" xfId="0" applyFont="1" applyBorder="1" applyAlignment="1">
      <alignment horizontal="center"/>
    </xf>
    <xf numFmtId="0" fontId="7" fillId="0" borderId="10" xfId="0" applyFont="1" applyBorder="1" applyAlignment="1">
      <alignment horizontal="left"/>
    </xf>
    <xf numFmtId="0" fontId="7" fillId="0" borderId="9" xfId="0" applyFont="1" applyBorder="1" applyAlignment="1">
      <alignment horizontal="center" vertical="center"/>
    </xf>
    <xf numFmtId="0" fontId="7" fillId="0" borderId="1" xfId="0" applyFont="1" applyBorder="1" applyAlignment="1">
      <alignment horizontal="center" vertical="center"/>
    </xf>
    <xf numFmtId="179" fontId="7" fillId="0" borderId="1" xfId="0" applyNumberFormat="1" applyFont="1" applyBorder="1" applyAlignment="1">
      <alignment horizontal="center" vertical="center"/>
    </xf>
    <xf numFmtId="0" fontId="7" fillId="0" borderId="10" xfId="0" applyFont="1" applyBorder="1" applyAlignment="1">
      <alignment horizontal="left" vertical="center"/>
    </xf>
    <xf numFmtId="10" fontId="7" fillId="0" borderId="1" xfId="1" applyNumberFormat="1" applyFont="1" applyBorder="1" applyAlignment="1">
      <alignment horizontal="center"/>
    </xf>
    <xf numFmtId="179" fontId="7" fillId="0" borderId="1" xfId="0" applyNumberFormat="1" applyFont="1" applyBorder="1" applyAlignment="1">
      <alignment horizontal="center"/>
    </xf>
    <xf numFmtId="180" fontId="7" fillId="0" borderId="1" xfId="0" applyNumberFormat="1" applyFont="1" applyBorder="1" applyAlignment="1">
      <alignment horizontal="center"/>
    </xf>
    <xf numFmtId="0" fontId="7" fillId="0" borderId="1" xfId="0" applyFont="1" applyFill="1" applyBorder="1" applyAlignment="1">
      <alignment horizontal="center"/>
    </xf>
    <xf numFmtId="176" fontId="7" fillId="0" borderId="1" xfId="0" applyNumberFormat="1" applyFont="1" applyFill="1" applyBorder="1" applyAlignment="1">
      <alignment horizontal="center"/>
    </xf>
    <xf numFmtId="0" fontId="7" fillId="0" borderId="14" xfId="0" applyFont="1" applyBorder="1" applyAlignment="1">
      <alignment horizontal="center" vertical="center"/>
    </xf>
    <xf numFmtId="0" fontId="7" fillId="0" borderId="12" xfId="0" applyFont="1" applyBorder="1" applyAlignment="1">
      <alignment horizontal="center" vertical="center"/>
    </xf>
    <xf numFmtId="0" fontId="7" fillId="0" borderId="15" xfId="0" applyFont="1" applyBorder="1" applyAlignment="1">
      <alignment horizontal="center" vertical="center"/>
    </xf>
    <xf numFmtId="0" fontId="12" fillId="0" borderId="0" xfId="0" applyFont="1" applyAlignment="1"/>
    <xf numFmtId="0" fontId="10" fillId="0" borderId="5" xfId="0" applyFont="1" applyBorder="1" applyAlignment="1">
      <alignment horizontal="center" vertical="center"/>
    </xf>
    <xf numFmtId="0" fontId="10" fillId="0" borderId="3" xfId="0" applyFont="1" applyBorder="1" applyAlignment="1">
      <alignment horizontal="center" vertical="center"/>
    </xf>
    <xf numFmtId="0" fontId="10" fillId="0" borderId="6" xfId="0" applyFont="1"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7" fillId="5" borderId="1" xfId="0" applyFont="1" applyFill="1" applyBorder="1" applyAlignment="1" applyProtection="1">
      <alignment horizontal="center"/>
      <protection locked="0"/>
    </xf>
    <xf numFmtId="176" fontId="7" fillId="5" borderId="1" xfId="0" applyNumberFormat="1" applyFont="1" applyFill="1" applyBorder="1" applyAlignment="1" applyProtection="1">
      <alignment horizontal="center"/>
      <protection locked="0"/>
    </xf>
    <xf numFmtId="9" fontId="7" fillId="3" borderId="1" xfId="0" applyNumberFormat="1" applyFont="1" applyFill="1" applyBorder="1" applyAlignment="1" applyProtection="1">
      <alignment horizontal="center"/>
      <protection locked="0"/>
    </xf>
    <xf numFmtId="0" fontId="7" fillId="3" borderId="1" xfId="0" applyFont="1" applyFill="1" applyBorder="1" applyAlignment="1" applyProtection="1">
      <alignment horizontal="center"/>
      <protection locked="0"/>
    </xf>
    <xf numFmtId="0" fontId="0" fillId="3" borderId="0" xfId="0" applyFill="1" applyBorder="1" applyAlignment="1" applyProtection="1">
      <protection locked="0"/>
    </xf>
    <xf numFmtId="0" fontId="0" fillId="5" borderId="0" xfId="0" applyFill="1" applyBorder="1" applyAlignment="1" applyProtection="1">
      <protection locked="0"/>
    </xf>
    <xf numFmtId="10" fontId="0" fillId="3" borderId="0" xfId="1" applyNumberFormat="1" applyFont="1" applyFill="1" applyBorder="1" applyAlignment="1" applyProtection="1">
      <protection locked="0"/>
    </xf>
    <xf numFmtId="0" fontId="4" fillId="4" borderId="16" xfId="0" applyFont="1" applyFill="1" applyBorder="1" applyAlignment="1" applyProtection="1">
      <alignment horizontal="center" vertical="center"/>
      <protection locked="0"/>
    </xf>
    <xf numFmtId="10" fontId="9" fillId="3" borderId="21" xfId="0" applyNumberFormat="1" applyFont="1" applyFill="1" applyBorder="1" applyAlignment="1" applyProtection="1">
      <alignment horizontal="center" vertical="center" wrapText="1"/>
      <protection locked="0"/>
    </xf>
  </cellXfs>
  <cellStyles count="2">
    <cellStyle name="百分比" xfId="1" builtinId="5"/>
    <cellStyle name="常规" xfId="0" builtinId="0"/>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abSelected="1" topLeftCell="A13" workbookViewId="0">
      <selection activeCell="F40" sqref="F40"/>
    </sheetView>
  </sheetViews>
  <sheetFormatPr defaultRowHeight="13.5"/>
  <cols>
    <col min="1" max="1" width="9" style="8"/>
    <col min="2" max="2" width="26" style="8" customWidth="1"/>
    <col min="3" max="3" width="13.125" style="8" customWidth="1"/>
    <col min="4" max="4" width="15.5" style="8" customWidth="1"/>
    <col min="5" max="5" width="44.375" style="8" customWidth="1"/>
    <col min="6" max="6" width="19" style="8" customWidth="1"/>
    <col min="7" max="7" width="11.625" style="8" bestFit="1" customWidth="1"/>
    <col min="8" max="16384" width="9" style="8"/>
  </cols>
  <sheetData>
    <row r="1" spans="1:9" ht="21" customHeight="1" thickTop="1">
      <c r="A1" s="72" t="s">
        <v>71</v>
      </c>
      <c r="B1" s="73"/>
      <c r="C1" s="73"/>
      <c r="D1" s="73"/>
      <c r="E1" s="74"/>
      <c r="F1" s="71" t="s">
        <v>147</v>
      </c>
    </row>
    <row r="2" spans="1:9" ht="21" customHeight="1">
      <c r="A2" s="55" t="s">
        <v>0</v>
      </c>
      <c r="B2" s="56" t="s">
        <v>1</v>
      </c>
      <c r="C2" s="56" t="s">
        <v>142</v>
      </c>
      <c r="D2" s="56" t="s">
        <v>39</v>
      </c>
      <c r="E2" s="57" t="s">
        <v>2</v>
      </c>
    </row>
    <row r="3" spans="1:9" ht="21" customHeight="1">
      <c r="A3" s="55" t="s">
        <v>3</v>
      </c>
      <c r="B3" s="56" t="s">
        <v>36</v>
      </c>
      <c r="C3" s="56"/>
      <c r="D3" s="77">
        <v>30000</v>
      </c>
      <c r="E3" s="57" t="s">
        <v>35</v>
      </c>
    </row>
    <row r="4" spans="1:9" ht="21" customHeight="1">
      <c r="A4" s="55" t="s">
        <v>6</v>
      </c>
      <c r="B4" s="56" t="s">
        <v>144</v>
      </c>
      <c r="C4" s="56">
        <v>12</v>
      </c>
      <c r="D4" s="56"/>
      <c r="E4" s="58" t="s">
        <v>145</v>
      </c>
    </row>
    <row r="5" spans="1:9" ht="21" customHeight="1">
      <c r="A5" s="55" t="s">
        <v>4</v>
      </c>
      <c r="B5" s="56" t="s">
        <v>26</v>
      </c>
      <c r="C5" s="56" t="s">
        <v>143</v>
      </c>
      <c r="D5" s="56"/>
      <c r="E5" s="58"/>
    </row>
    <row r="6" spans="1:9" ht="33" customHeight="1">
      <c r="A6" s="59" t="s">
        <v>15</v>
      </c>
      <c r="B6" s="60" t="s">
        <v>7</v>
      </c>
      <c r="C6" s="61">
        <f>ROUND(C4*(1-D7)+C8,4)</f>
        <v>11.414300000000001</v>
      </c>
      <c r="D6" s="60"/>
      <c r="E6" s="62" t="s">
        <v>138</v>
      </c>
    </row>
    <row r="7" spans="1:9" ht="21" customHeight="1">
      <c r="A7" s="55" t="s">
        <v>4</v>
      </c>
      <c r="B7" s="56" t="s">
        <v>8</v>
      </c>
      <c r="C7" s="56"/>
      <c r="D7" s="79">
        <v>0.05</v>
      </c>
      <c r="E7" s="58" t="str">
        <f>CONCATENATE((D7-0.02)*100,"%~",(D7+0.02)*100,"%")</f>
        <v>3%~7%</v>
      </c>
    </row>
    <row r="8" spans="1:9" ht="21" customHeight="1">
      <c r="A8" s="55" t="s">
        <v>5</v>
      </c>
      <c r="B8" s="56" t="s">
        <v>9</v>
      </c>
      <c r="C8" s="63">
        <f>ROUND(G9*G8*(1-D7),4)</f>
        <v>1.43E-2</v>
      </c>
      <c r="D8" s="56"/>
      <c r="E8" s="58" t="s">
        <v>42</v>
      </c>
      <c r="F8" s="54" t="s">
        <v>40</v>
      </c>
      <c r="G8" s="4">
        <f>F37</f>
        <v>1.4999999999999999E-2</v>
      </c>
    </row>
    <row r="9" spans="1:9" ht="21" customHeight="1">
      <c r="A9" s="55" t="s">
        <v>19</v>
      </c>
      <c r="B9" s="56" t="s">
        <v>10</v>
      </c>
      <c r="C9" s="64">
        <f>SUM(C10:C14)</f>
        <v>2.2067999999999999</v>
      </c>
      <c r="D9" s="56">
        <f>SUM(D10:D14)</f>
        <v>34</v>
      </c>
      <c r="E9" s="58" t="s">
        <v>28</v>
      </c>
      <c r="F9" s="54" t="s">
        <v>41</v>
      </c>
      <c r="G9" s="81">
        <v>1</v>
      </c>
    </row>
    <row r="10" spans="1:9" ht="21" customHeight="1">
      <c r="A10" s="55" t="s">
        <v>4</v>
      </c>
      <c r="B10" s="56" t="s">
        <v>11</v>
      </c>
      <c r="C10" s="56"/>
      <c r="D10" s="56">
        <f>G10*G11</f>
        <v>30</v>
      </c>
      <c r="E10" s="58" t="s">
        <v>29</v>
      </c>
      <c r="F10" s="54" t="s">
        <v>43</v>
      </c>
      <c r="G10" s="82">
        <v>2000</v>
      </c>
    </row>
    <row r="11" spans="1:9" ht="21" customHeight="1">
      <c r="A11" s="55" t="s">
        <v>5</v>
      </c>
      <c r="B11" s="56" t="s">
        <v>12</v>
      </c>
      <c r="C11" s="56">
        <f>ROUND(C6*G12,4)</f>
        <v>0.2283</v>
      </c>
      <c r="D11" s="56"/>
      <c r="E11" s="58" t="s">
        <v>30</v>
      </c>
      <c r="F11" s="54" t="s">
        <v>44</v>
      </c>
      <c r="G11" s="83">
        <v>1.4999999999999999E-2</v>
      </c>
    </row>
    <row r="12" spans="1:9" ht="21" customHeight="1">
      <c r="A12" s="55" t="s">
        <v>16</v>
      </c>
      <c r="B12" s="56" t="s">
        <v>13</v>
      </c>
      <c r="C12" s="56">
        <f>ROUND(C6*G13,4)</f>
        <v>1.3696999999999999</v>
      </c>
      <c r="D12" s="56"/>
      <c r="E12" s="58" t="s">
        <v>31</v>
      </c>
      <c r="F12" s="54" t="s">
        <v>45</v>
      </c>
      <c r="G12" s="83">
        <v>0.02</v>
      </c>
      <c r="H12" s="3"/>
    </row>
    <row r="13" spans="1:9" ht="21" customHeight="1">
      <c r="A13" s="55" t="s">
        <v>17</v>
      </c>
      <c r="B13" s="56" t="s">
        <v>27</v>
      </c>
      <c r="C13" s="56"/>
      <c r="D13" s="56">
        <f>G10*G14</f>
        <v>4</v>
      </c>
      <c r="E13" s="58" t="s">
        <v>32</v>
      </c>
      <c r="F13" s="54" t="s">
        <v>46</v>
      </c>
      <c r="G13" s="4">
        <f>IF(B29="住宅",0.04,IF(B31="个人",0.04,0.12))</f>
        <v>0.12</v>
      </c>
    </row>
    <row r="14" spans="1:9" ht="21" customHeight="1">
      <c r="A14" s="55" t="s">
        <v>18</v>
      </c>
      <c r="B14" s="56" t="s">
        <v>125</v>
      </c>
      <c r="C14" s="56">
        <f>ROUND(C6/(1+0.05)*G15*(1+G16),4)</f>
        <v>0.60880000000000001</v>
      </c>
      <c r="D14" s="56"/>
      <c r="E14" s="58" t="s">
        <v>33</v>
      </c>
      <c r="F14" s="54" t="s">
        <v>47</v>
      </c>
      <c r="G14" s="83">
        <v>2E-3</v>
      </c>
    </row>
    <row r="15" spans="1:9" ht="21" customHeight="1">
      <c r="A15" s="55" t="s">
        <v>20</v>
      </c>
      <c r="B15" s="56" t="s">
        <v>146</v>
      </c>
      <c r="C15" s="65">
        <f>ROUND(C6+C8-C9,4)</f>
        <v>9.2218</v>
      </c>
      <c r="D15" s="56">
        <f>D6+D8-D9</f>
        <v>-34</v>
      </c>
      <c r="E15" s="58" t="s">
        <v>34</v>
      </c>
      <c r="F15" s="54" t="s">
        <v>68</v>
      </c>
      <c r="G15" s="4">
        <f>IF(B31="一般纳税人",0.05,IF(B34,0,IF(AND(B29="住宅",B31="个人"),0.015,0.05)))</f>
        <v>0.05</v>
      </c>
      <c r="I15" s="8" t="str">
        <f>IF(B31="一般纳税人","根据税务部门规定，一般纳税人出租房屋的，按5%的税率征收增值税。",IF(B34,"根据税务部门规定,小规模纳税人及个人出租房屋，月租金收入小于"&amp;B27&amp;"元，免征增值税。",IF(AND(B29="住宅",B31="个人"),"根据税务部门规定,个人出租住宅，适用1.5%的增值税率(不满足免征条件时）。","根据税务部门规定,"&amp;B31&amp;"出租"&amp;B29&amp;"，适用5%的增值税率(不满足免征条件时）。")))</f>
        <v>根据税务部门规定，一般纳税人出租房屋的，按5%的税率征收增值税。</v>
      </c>
    </row>
    <row r="16" spans="1:9" ht="21" customHeight="1">
      <c r="A16" s="55" t="s">
        <v>21</v>
      </c>
      <c r="B16" s="56" t="s">
        <v>73</v>
      </c>
      <c r="C16" s="56"/>
      <c r="D16" s="78">
        <v>4.2000000000000003E-2</v>
      </c>
      <c r="E16" s="58"/>
      <c r="F16" s="54" t="s">
        <v>69</v>
      </c>
      <c r="G16" s="4">
        <f>IF(B32="城市市区",0.12,IF(B32="县城及建制镇",0.1,0.06))</f>
        <v>0.12</v>
      </c>
    </row>
    <row r="17" spans="1:9" ht="21" customHeight="1">
      <c r="A17" s="55" t="s">
        <v>22</v>
      </c>
      <c r="B17" s="66" t="s">
        <v>83</v>
      </c>
      <c r="C17" s="56"/>
      <c r="D17" s="56">
        <f>ROUND(D3*(1+D16)^D22,0)</f>
        <v>36852</v>
      </c>
      <c r="E17" s="58"/>
    </row>
    <row r="18" spans="1:9" ht="21" customHeight="1">
      <c r="A18" s="55"/>
      <c r="B18" s="66" t="s">
        <v>84</v>
      </c>
      <c r="C18" s="56"/>
      <c r="D18" s="56">
        <f>E33</f>
        <v>3633</v>
      </c>
      <c r="E18" s="58"/>
    </row>
    <row r="19" spans="1:9" ht="21" customHeight="1">
      <c r="A19" s="55"/>
      <c r="B19" s="66" t="s">
        <v>121</v>
      </c>
      <c r="C19" s="56">
        <f>D17-D18</f>
        <v>33219</v>
      </c>
      <c r="D19" s="56">
        <f>(D17-D18)/(1+D21)^D22</f>
        <v>26656.621313706226</v>
      </c>
      <c r="E19" s="58" t="s">
        <v>139</v>
      </c>
    </row>
    <row r="20" spans="1:9" ht="21" customHeight="1">
      <c r="A20" s="55" t="s">
        <v>23</v>
      </c>
      <c r="B20" s="56" t="s">
        <v>70</v>
      </c>
      <c r="C20" s="56"/>
      <c r="D20" s="56">
        <f>1/D21*(1-1/(1+D21)^D22)</f>
        <v>4.3899767444292417</v>
      </c>
      <c r="E20" s="58" t="s">
        <v>140</v>
      </c>
    </row>
    <row r="21" spans="1:9" ht="21" customHeight="1">
      <c r="A21" s="55" t="s">
        <v>24</v>
      </c>
      <c r="B21" s="56" t="s">
        <v>14</v>
      </c>
      <c r="C21" s="56"/>
      <c r="D21" s="67">
        <f>F43</f>
        <v>4.4999999999999998E-2</v>
      </c>
      <c r="E21" s="58" t="s">
        <v>141</v>
      </c>
    </row>
    <row r="22" spans="1:9" ht="21" customHeight="1">
      <c r="A22" s="55" t="s">
        <v>25</v>
      </c>
      <c r="B22" s="56" t="s">
        <v>72</v>
      </c>
      <c r="C22" s="56"/>
      <c r="D22" s="80">
        <v>5</v>
      </c>
      <c r="E22" s="58"/>
    </row>
    <row r="23" spans="1:9" ht="26.25" customHeight="1" thickBot="1">
      <c r="A23" s="68" t="s">
        <v>37</v>
      </c>
      <c r="B23" s="69" t="s">
        <v>38</v>
      </c>
      <c r="C23" s="69"/>
      <c r="D23" s="69">
        <f>ROUND(((D3-D19)/D20-D15)/C15,0)</f>
        <v>86</v>
      </c>
      <c r="E23" s="70"/>
    </row>
    <row r="24" spans="1:9" ht="24" customHeight="1" thickTop="1">
      <c r="A24" s="45"/>
      <c r="B24" s="45"/>
      <c r="C24" s="45"/>
      <c r="D24" s="45"/>
      <c r="E24" s="45"/>
    </row>
    <row r="26" spans="1:9" ht="14.25" thickBot="1">
      <c r="A26" s="32" t="s">
        <v>123</v>
      </c>
      <c r="B26" s="52">
        <v>35</v>
      </c>
    </row>
    <row r="27" spans="1:9" ht="14.25" thickTop="1">
      <c r="A27" s="27" t="s">
        <v>48</v>
      </c>
      <c r="B27" s="84">
        <v>30000</v>
      </c>
      <c r="C27" s="29" t="s">
        <v>74</v>
      </c>
      <c r="D27" s="30" t="s">
        <v>75</v>
      </c>
      <c r="E27" s="30" t="s">
        <v>76</v>
      </c>
      <c r="F27" s="31" t="s">
        <v>77</v>
      </c>
      <c r="I27" s="9" t="s">
        <v>61</v>
      </c>
    </row>
    <row r="28" spans="1:9">
      <c r="A28" s="32" t="s">
        <v>49</v>
      </c>
      <c r="B28" s="52">
        <v>126</v>
      </c>
      <c r="C28" s="33" t="s">
        <v>78</v>
      </c>
      <c r="D28" s="34">
        <f>IF(B31="个人",IF(B29="住宅",IF(B30="是",0,0.05),0.05),0.05)</f>
        <v>0.05</v>
      </c>
      <c r="E28" s="35">
        <f>ROUND(D17/(1+D28)*D28,0)</f>
        <v>1755</v>
      </c>
      <c r="F28" s="36" t="str">
        <f>IF(B29="个人",IF(B27="住宅",IF(B28="是",净值计算支持表!G6,净值计算支持表!G7),净值计算支持表!G8),净值计算支持表!G9)</f>
        <v>纳税人转让其取得的不动产，以取得的全部价款和价外费用扣除不动产购置原价或者取得不动产时的作价后的余额为销售额，按照5%的征收率计算应纳税额。</v>
      </c>
      <c r="I28" s="10" t="s">
        <v>62</v>
      </c>
    </row>
    <row r="29" spans="1:9">
      <c r="A29" s="32" t="s">
        <v>50</v>
      </c>
      <c r="B29" s="53" t="s">
        <v>136</v>
      </c>
      <c r="C29" s="33" t="s">
        <v>79</v>
      </c>
      <c r="D29" s="34">
        <f>IF(B32="市区",0.12,IF(B32="县镇",0.1,0.06))</f>
        <v>0.06</v>
      </c>
      <c r="E29" s="35">
        <f>ROUND(E28*D29,0)</f>
        <v>105</v>
      </c>
      <c r="F29" s="36" t="str">
        <f>净值计算支持表!G10</f>
        <v>以应纳增值税额为计税（费）依据，城市维护建设税按市区7%，县城、镇5%，不在市区、县城或镇的，税率为1%计征。教育费附加按3%的征收率计征。地方教育附加按2%的征收率计征</v>
      </c>
      <c r="I29" s="10" t="s">
        <v>63</v>
      </c>
    </row>
    <row r="30" spans="1:9">
      <c r="A30" s="27" t="s">
        <v>51</v>
      </c>
      <c r="B30" s="51" t="s">
        <v>52</v>
      </c>
      <c r="C30" s="33" t="s">
        <v>80</v>
      </c>
      <c r="D30" s="38">
        <f>IF(B31="个人",0.015,0)</f>
        <v>0</v>
      </c>
      <c r="E30" s="35">
        <f>ROUND(D17/(1+D28)*D30,0)</f>
        <v>0</v>
      </c>
      <c r="F30" s="36" t="str">
        <f>IF(B29="个人",净值计算支持表!G11,净值计算支持表!G12)</f>
        <v>单位销售二手房，将售房收入并入企业应纳税所得额计算，本次评估因无法取得企业应纳税所得，故暂不计算企业所得税。</v>
      </c>
      <c r="I30" s="10" t="s">
        <v>65</v>
      </c>
    </row>
    <row r="31" spans="1:9">
      <c r="A31" s="32" t="s">
        <v>53</v>
      </c>
      <c r="B31" s="53" t="s">
        <v>137</v>
      </c>
      <c r="C31" s="33" t="s">
        <v>81</v>
      </c>
      <c r="D31" s="39">
        <f>IF(B31="个人",IF(B29="住宅",0,0.0005),0.0005)</f>
        <v>5.0000000000000001E-4</v>
      </c>
      <c r="E31" s="35">
        <f>ROUND(D17/(1+D28)*D31,0)</f>
        <v>18</v>
      </c>
      <c r="F31" s="36" t="str">
        <f>IF(B29="个人",IF(B27="住宅",净值计算支持表!G19,净值计算支持表!G20),净值计算支持表!G20)</f>
        <v>售购房双方以合同记载金额为计税依据，按“产权转移书据”税目及万分之五的税率计征。</v>
      </c>
      <c r="I31" s="10" t="s">
        <v>66</v>
      </c>
    </row>
    <row r="32" spans="1:9" ht="14.25" thickBot="1">
      <c r="A32" s="32" t="s">
        <v>54</v>
      </c>
      <c r="B32" s="37" t="s">
        <v>124</v>
      </c>
      <c r="C32" s="33" t="s">
        <v>82</v>
      </c>
      <c r="D32" s="34">
        <f>IF(B31="个人",IF(B29="住宅",0,0.05),0.05)</f>
        <v>0.05</v>
      </c>
      <c r="E32" s="35">
        <f>ROUND(D17/(1+D28)*D32,0)</f>
        <v>1755</v>
      </c>
      <c r="F32" s="36" t="str">
        <f>IF(B29="个人",IF(B27="住宅",净值计算支持表!G16,净值计算支持表!G15),净值计算支持表!G15)</f>
        <v>个人转让非住宅二手房，单位转让二手房的，按转让收入全额的5％征收土地增值税。</v>
      </c>
      <c r="I32" s="11" t="s">
        <v>67</v>
      </c>
    </row>
    <row r="33" spans="1:6" ht="15" thickTop="1" thickBot="1">
      <c r="A33" s="27" t="s">
        <v>55</v>
      </c>
      <c r="B33" s="40">
        <f>IF(B31="一般纳税人",0.11,0.05)</f>
        <v>0.11</v>
      </c>
      <c r="C33" s="41" t="s">
        <v>60</v>
      </c>
      <c r="D33" s="42"/>
      <c r="E33" s="43">
        <f>SUM(E28:E32)</f>
        <v>3633</v>
      </c>
      <c r="F33" s="44"/>
    </row>
    <row r="34" spans="1:6" ht="14.25" thickTop="1">
      <c r="A34" s="27" t="s">
        <v>59</v>
      </c>
      <c r="B34" s="28" t="b">
        <f>B26*B28&lt;=B27</f>
        <v>1</v>
      </c>
    </row>
    <row r="35" spans="1:6" ht="14.25" thickBot="1"/>
    <row r="36" spans="1:6" ht="15" thickTop="1" thickBot="1">
      <c r="D36" s="46" t="s">
        <v>126</v>
      </c>
      <c r="E36" s="46" t="s">
        <v>127</v>
      </c>
      <c r="F36" s="47" t="s">
        <v>128</v>
      </c>
    </row>
    <row r="37" spans="1:6" ht="14.25" thickBot="1">
      <c r="D37" s="48">
        <v>1</v>
      </c>
      <c r="E37" s="48" t="s">
        <v>129</v>
      </c>
      <c r="F37" s="85">
        <v>1.4999999999999999E-2</v>
      </c>
    </row>
    <row r="38" spans="1:6" ht="14.25" thickBot="1">
      <c r="D38" s="48">
        <v>2</v>
      </c>
      <c r="E38" s="48" t="s">
        <v>130</v>
      </c>
      <c r="F38" s="85">
        <v>1.4999999999999999E-2</v>
      </c>
    </row>
    <row r="39" spans="1:6" ht="14.25" thickBot="1">
      <c r="D39" s="48">
        <v>3</v>
      </c>
      <c r="E39" s="48" t="s">
        <v>131</v>
      </c>
      <c r="F39" s="85">
        <v>1.2500000000000001E-2</v>
      </c>
    </row>
    <row r="40" spans="1:6" ht="14.25" thickBot="1">
      <c r="D40" s="48">
        <v>4</v>
      </c>
      <c r="E40" s="48" t="s">
        <v>132</v>
      </c>
      <c r="F40" s="85">
        <v>0.02</v>
      </c>
    </row>
    <row r="41" spans="1:6" ht="14.25" thickBot="1">
      <c r="D41" s="48">
        <v>5</v>
      </c>
      <c r="E41" s="48" t="s">
        <v>133</v>
      </c>
      <c r="F41" s="85">
        <v>-0.01</v>
      </c>
    </row>
    <row r="42" spans="1:6" ht="14.25" thickBot="1">
      <c r="D42" s="48">
        <v>6</v>
      </c>
      <c r="E42" s="48" t="s">
        <v>134</v>
      </c>
      <c r="F42" s="85">
        <v>-7.4999999999999997E-3</v>
      </c>
    </row>
    <row r="43" spans="1:6" ht="14.25" thickBot="1">
      <c r="D43" s="49">
        <v>7</v>
      </c>
      <c r="E43" s="49" t="s">
        <v>135</v>
      </c>
      <c r="F43" s="50">
        <f>SUM(F37:F42)</f>
        <v>4.4999999999999998E-2</v>
      </c>
    </row>
    <row r="44" spans="1:6" ht="14.25" thickTop="1"/>
  </sheetData>
  <sheetProtection password="CC33" sheet="1" objects="1" scenarios="1" selectLockedCells="1"/>
  <protectedRanges>
    <protectedRange password="CC33" sqref="B28:B32" name="区域1_1"/>
  </protectedRanges>
  <mergeCells count="1">
    <mergeCell ref="A1:E1"/>
  </mergeCells>
  <phoneticPr fontId="1" type="noConversion"/>
  <dataValidations count="4">
    <dataValidation type="list" allowBlank="1" showInputMessage="1" showErrorMessage="1" sqref="B29">
      <formula1>$I$27:$I$32</formula1>
    </dataValidation>
    <dataValidation type="list" allowBlank="1" showInputMessage="1" showErrorMessage="1" sqref="B30">
      <formula1>"是,否"</formula1>
    </dataValidation>
    <dataValidation type="list" allowBlank="1" showInputMessage="1" showErrorMessage="1" sqref="B31">
      <formula1>"个人,小规模纳税人,一般纳税人"</formula1>
    </dataValidation>
    <dataValidation type="list" allowBlank="1" showInputMessage="1" showErrorMessage="1" sqref="B32">
      <formula1>"城市市区,县城及建制镇,非城市市区、县城、建制镇"</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A22" sqref="A22"/>
    </sheetView>
  </sheetViews>
  <sheetFormatPr defaultRowHeight="13.5"/>
  <cols>
    <col min="1" max="1" width="28.625" customWidth="1"/>
    <col min="6" max="6" width="8.625" customWidth="1"/>
    <col min="7" max="7" width="70.875" style="12" customWidth="1"/>
    <col min="8" max="8" width="12.875" customWidth="1"/>
  </cols>
  <sheetData>
    <row r="1" spans="1:10">
      <c r="A1" t="s">
        <v>85</v>
      </c>
    </row>
    <row r="2" spans="1:10">
      <c r="A2" t="s">
        <v>86</v>
      </c>
    </row>
    <row r="3" spans="1:10">
      <c r="A3" t="s">
        <v>87</v>
      </c>
    </row>
    <row r="4" spans="1:10" ht="14.25" thickBot="1"/>
    <row r="5" spans="1:10" ht="15" thickTop="1" thickBot="1">
      <c r="A5" s="13"/>
      <c r="B5" s="75" t="s">
        <v>88</v>
      </c>
      <c r="C5" s="75"/>
      <c r="D5" s="75" t="s">
        <v>89</v>
      </c>
      <c r="E5" s="76"/>
    </row>
    <row r="6" spans="1:10" ht="14.25" thickTop="1">
      <c r="A6" s="14"/>
      <c r="B6" s="1" t="s">
        <v>90</v>
      </c>
      <c r="C6" s="1" t="s">
        <v>91</v>
      </c>
      <c r="D6" s="1" t="s">
        <v>90</v>
      </c>
      <c r="E6" s="15" t="s">
        <v>91</v>
      </c>
      <c r="G6" s="12" t="s">
        <v>92</v>
      </c>
      <c r="H6" s="5" t="s">
        <v>56</v>
      </c>
      <c r="I6" s="16">
        <v>4</v>
      </c>
      <c r="J6" s="17" t="s">
        <v>93</v>
      </c>
    </row>
    <row r="7" spans="1:10">
      <c r="A7" s="14" t="s">
        <v>94</v>
      </c>
      <c r="B7" s="18">
        <v>0</v>
      </c>
      <c r="C7" s="18">
        <v>0.05</v>
      </c>
      <c r="D7" s="18">
        <v>0.05</v>
      </c>
      <c r="E7" s="19">
        <v>0.05</v>
      </c>
      <c r="G7" s="12" t="s">
        <v>95</v>
      </c>
      <c r="H7" s="6" t="s">
        <v>57</v>
      </c>
      <c r="I7" s="2">
        <v>20</v>
      </c>
      <c r="J7" s="20" t="s">
        <v>96</v>
      </c>
    </row>
    <row r="8" spans="1:10" ht="27">
      <c r="A8" s="14"/>
      <c r="B8" s="18">
        <v>0.05</v>
      </c>
      <c r="C8" s="18">
        <v>0.05</v>
      </c>
      <c r="D8" s="18">
        <v>0.05</v>
      </c>
      <c r="E8" s="19">
        <v>0.05</v>
      </c>
      <c r="G8" s="12" t="s">
        <v>97</v>
      </c>
      <c r="H8" s="6" t="s">
        <v>58</v>
      </c>
      <c r="I8" s="2">
        <v>12</v>
      </c>
      <c r="J8" s="20" t="s">
        <v>96</v>
      </c>
    </row>
    <row r="9" spans="1:10" ht="27">
      <c r="A9" s="14" t="s">
        <v>98</v>
      </c>
      <c r="B9" s="18">
        <v>0.12</v>
      </c>
      <c r="C9" s="18">
        <v>0.12</v>
      </c>
      <c r="D9" s="18">
        <v>0.12</v>
      </c>
      <c r="E9" s="19">
        <v>0.12</v>
      </c>
      <c r="G9" s="12" t="s">
        <v>99</v>
      </c>
      <c r="H9" s="6" t="s">
        <v>64</v>
      </c>
      <c r="I9" s="2">
        <v>7</v>
      </c>
      <c r="J9" s="20" t="s">
        <v>96</v>
      </c>
    </row>
    <row r="10" spans="1:10" ht="40.5">
      <c r="A10" s="14" t="s">
        <v>100</v>
      </c>
      <c r="B10" s="18">
        <v>1.4999999999999999E-2</v>
      </c>
      <c r="C10" s="18">
        <v>1.4999999999999999E-2</v>
      </c>
      <c r="D10" s="18">
        <v>0.03</v>
      </c>
      <c r="E10" s="19">
        <v>0.03</v>
      </c>
      <c r="F10" t="s">
        <v>101</v>
      </c>
      <c r="G10" s="12" t="s">
        <v>102</v>
      </c>
      <c r="H10" s="6" t="s">
        <v>103</v>
      </c>
      <c r="I10" s="2">
        <v>14</v>
      </c>
      <c r="J10" s="20" t="s">
        <v>96</v>
      </c>
    </row>
    <row r="11" spans="1:10" ht="14.25" thickBot="1">
      <c r="A11" s="14" t="s">
        <v>104</v>
      </c>
      <c r="B11" s="18">
        <v>0</v>
      </c>
      <c r="C11" s="18">
        <v>5.0000000000000001E-4</v>
      </c>
      <c r="D11" s="18">
        <v>5.0000000000000001E-4</v>
      </c>
      <c r="E11" s="19">
        <v>5.0000000000000001E-4</v>
      </c>
      <c r="G11" s="12" t="s">
        <v>105</v>
      </c>
      <c r="H11" s="7" t="s">
        <v>67</v>
      </c>
      <c r="I11" s="21">
        <v>4</v>
      </c>
      <c r="J11" s="22" t="s">
        <v>96</v>
      </c>
    </row>
    <row r="12" spans="1:10" ht="27.75" thickTop="1">
      <c r="A12" s="14" t="s">
        <v>106</v>
      </c>
      <c r="B12" s="18">
        <v>0</v>
      </c>
      <c r="C12" s="18">
        <v>0.05</v>
      </c>
      <c r="D12" s="18">
        <v>0.05</v>
      </c>
      <c r="E12" s="19">
        <v>0.05</v>
      </c>
      <c r="G12" s="12" t="s">
        <v>107</v>
      </c>
    </row>
    <row r="13" spans="1:10" ht="27">
      <c r="A13" s="14" t="s">
        <v>108</v>
      </c>
      <c r="B13" s="18"/>
      <c r="C13" s="18"/>
      <c r="D13" s="18"/>
      <c r="E13" s="19"/>
      <c r="G13" s="12" t="s">
        <v>109</v>
      </c>
    </row>
    <row r="14" spans="1:10" ht="14.25" thickBot="1">
      <c r="A14" s="23" t="s">
        <v>110</v>
      </c>
      <c r="B14" s="24">
        <v>2.5000000000000001E-2</v>
      </c>
      <c r="C14" s="24">
        <v>2.5000000000000001E-2</v>
      </c>
      <c r="D14" s="25">
        <v>2.5000000000000001E-2</v>
      </c>
      <c r="E14" s="26">
        <v>2.5000000000000001E-2</v>
      </c>
      <c r="G14" s="12" t="s">
        <v>111</v>
      </c>
    </row>
    <row r="15" spans="1:10" ht="27.75" thickTop="1">
      <c r="G15" s="12" t="s">
        <v>112</v>
      </c>
    </row>
    <row r="16" spans="1:10">
      <c r="G16" s="12" t="s">
        <v>113</v>
      </c>
    </row>
    <row r="17" spans="1:7" ht="40.5">
      <c r="G17" s="12" t="s">
        <v>114</v>
      </c>
    </row>
    <row r="18" spans="1:7" ht="27">
      <c r="G18" s="12" t="s">
        <v>115</v>
      </c>
    </row>
    <row r="19" spans="1:7">
      <c r="A19" t="s">
        <v>116</v>
      </c>
      <c r="G19" s="12" t="s">
        <v>117</v>
      </c>
    </row>
    <row r="20" spans="1:7" ht="27">
      <c r="A20" t="s">
        <v>118</v>
      </c>
      <c r="G20" s="12" t="s">
        <v>119</v>
      </c>
    </row>
    <row r="21" spans="1:7">
      <c r="A21" t="s">
        <v>120</v>
      </c>
      <c r="G21" s="12" t="s">
        <v>122</v>
      </c>
    </row>
  </sheetData>
  <mergeCells count="2">
    <mergeCell ref="B5:C5"/>
    <mergeCell ref="D5:E5"/>
  </mergeCells>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Sheet3</vt:lpstr>
      <vt:lpstr>净值计算支持表</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2017-06-22T02:00:19Z</dcterms:modified>
</cp:coreProperties>
</file>