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15" windowWidth="14805" windowHeight="7800" tabRatio="865" activeTab="2"/>
  </bookViews>
  <sheets>
    <sheet name="估价信息" sheetId="20" r:id="rId1"/>
    <sheet name="比较法" sheetId="21" r:id="rId2"/>
    <sheet name="持有转售" sheetId="22" r:id="rId3"/>
    <sheet name="净值计算支持表" sheetId="9" r:id="rId4"/>
    <sheet name="估价师名册" sheetId="19" r:id="rId5"/>
  </sheets>
  <calcPr calcId="145621"/>
  <fileRecoveryPr repairLoad="1"/>
</workbook>
</file>

<file path=xl/calcChain.xml><?xml version="1.0" encoding="utf-8"?>
<calcChain xmlns="http://schemas.openxmlformats.org/spreadsheetml/2006/main">
  <c r="G42" i="20" l="1"/>
  <c r="E30" i="22" l="1"/>
  <c r="F12" i="22" l="1"/>
  <c r="F5" i="22"/>
  <c r="H6" i="22"/>
  <c r="H14" i="22" l="1"/>
  <c r="H11" i="22"/>
  <c r="H10" i="22"/>
  <c r="H9" i="22"/>
  <c r="H8" i="22"/>
  <c r="H7" i="22"/>
  <c r="H4" i="22"/>
  <c r="N15" i="22"/>
  <c r="M15" i="22" s="1"/>
  <c r="M16" i="22" s="1"/>
  <c r="L15" i="22"/>
  <c r="K15" i="22" s="1"/>
  <c r="K16" i="22" s="1"/>
  <c r="J15" i="22"/>
  <c r="I15" i="22" s="1"/>
  <c r="I16" i="22" s="1"/>
  <c r="E4" i="22" s="1"/>
  <c r="M6" i="22"/>
  <c r="K6" i="22"/>
  <c r="I6" i="22"/>
  <c r="I23" i="21"/>
  <c r="I22" i="21"/>
  <c r="I21" i="21"/>
  <c r="I20" i="21"/>
  <c r="I19" i="21"/>
  <c r="G23" i="21"/>
  <c r="G22" i="21"/>
  <c r="G21" i="21"/>
  <c r="G20" i="21"/>
  <c r="G19" i="21"/>
  <c r="E23" i="21"/>
  <c r="E22" i="21"/>
  <c r="E21" i="21"/>
  <c r="E20" i="21"/>
  <c r="E19" i="21"/>
  <c r="E26" i="21"/>
  <c r="I29" i="20"/>
  <c r="J28" i="20"/>
  <c r="J30" i="20" s="1"/>
  <c r="I23" i="20"/>
  <c r="G32" i="20" s="1"/>
  <c r="B25" i="22"/>
  <c r="B31" i="22" l="1"/>
  <c r="E8" i="22" s="1"/>
  <c r="C6" i="22"/>
  <c r="G35" i="22"/>
  <c r="G41" i="22" s="1"/>
  <c r="E17" i="22" s="1"/>
  <c r="D30" i="22"/>
  <c r="F29" i="22"/>
  <c r="D29" i="22"/>
  <c r="F28" i="22"/>
  <c r="D28" i="22"/>
  <c r="F27" i="22"/>
  <c r="D27" i="22"/>
  <c r="F26" i="22"/>
  <c r="D26" i="22"/>
  <c r="E9" i="22" s="1"/>
  <c r="F25" i="22"/>
  <c r="D25" i="22"/>
  <c r="C14" i="22"/>
  <c r="C11" i="22"/>
  <c r="E10" i="22"/>
  <c r="B30" i="22"/>
  <c r="G21" i="9" l="1"/>
  <c r="F30" i="22" s="1"/>
  <c r="C4" i="22"/>
  <c r="J15" i="21"/>
  <c r="C10" i="22" l="1"/>
  <c r="C8" i="22"/>
  <c r="F43" i="22"/>
  <c r="C13" i="22"/>
  <c r="K18" i="22"/>
  <c r="J45" i="21"/>
  <c r="I45" i="21" s="1"/>
  <c r="H45" i="21"/>
  <c r="G45" i="21" s="1"/>
  <c r="F45" i="21"/>
  <c r="E45" i="21" s="1"/>
  <c r="J18" i="21"/>
  <c r="J42" i="21" s="1"/>
  <c r="I42" i="21" s="1"/>
  <c r="H18" i="21"/>
  <c r="H42" i="21" s="1"/>
  <c r="G42" i="21" s="1"/>
  <c r="F18" i="21"/>
  <c r="F42" i="21" s="1"/>
  <c r="E42" i="21" s="1"/>
  <c r="J41" i="21"/>
  <c r="I41" i="21" s="1"/>
  <c r="H41" i="21"/>
  <c r="G41" i="21" s="1"/>
  <c r="F41" i="21"/>
  <c r="E41" i="21" s="1"/>
  <c r="C7" i="22" l="1"/>
  <c r="C15" i="22"/>
  <c r="C16" i="22" s="1"/>
  <c r="G38" i="21"/>
  <c r="I38" i="21"/>
  <c r="E38" i="21"/>
  <c r="L38" i="21"/>
  <c r="L37" i="21"/>
  <c r="L39" i="21"/>
  <c r="K39" i="21" s="1"/>
  <c r="L36" i="21"/>
  <c r="L35" i="21"/>
  <c r="M32" i="21"/>
  <c r="L32" i="21"/>
  <c r="I33" i="21"/>
  <c r="G33" i="21"/>
  <c r="E33" i="21"/>
  <c r="L30" i="21"/>
  <c r="L31" i="21"/>
  <c r="L29" i="21"/>
  <c r="L28" i="21"/>
  <c r="O27" i="21"/>
  <c r="I27" i="21"/>
  <c r="G27" i="21"/>
  <c r="E27" i="21"/>
  <c r="I26" i="21"/>
  <c r="G26" i="21"/>
  <c r="O26" i="21"/>
  <c r="K26" i="21" s="1"/>
  <c r="L25" i="21"/>
  <c r="L23" i="21"/>
  <c r="R18" i="21"/>
  <c r="Q18" i="21"/>
  <c r="P18" i="21"/>
  <c r="K27" i="21" l="1"/>
  <c r="N33" i="21"/>
  <c r="M33" i="21"/>
  <c r="L33" i="21"/>
  <c r="N27" i="21"/>
  <c r="M27" i="21"/>
  <c r="L27" i="21"/>
  <c r="N26" i="21"/>
  <c r="M26" i="21"/>
  <c r="L26" i="21"/>
  <c r="M19" i="21"/>
  <c r="N19" i="21"/>
  <c r="M20" i="21"/>
  <c r="N20" i="21"/>
  <c r="M21" i="21"/>
  <c r="N21" i="21"/>
  <c r="M22" i="21"/>
  <c r="N22" i="21"/>
  <c r="L20" i="21"/>
  <c r="L21" i="21"/>
  <c r="L22" i="21"/>
  <c r="L19" i="21"/>
  <c r="D19" i="21"/>
  <c r="D30" i="21"/>
  <c r="K30" i="21" s="1"/>
  <c r="I24" i="21"/>
  <c r="S24" i="21" s="1"/>
  <c r="G24" i="21"/>
  <c r="R24" i="21" s="1"/>
  <c r="E24" i="21"/>
  <c r="Q24" i="21" s="1"/>
  <c r="D24" i="21"/>
  <c r="P24" i="21" s="1"/>
  <c r="D18" i="21"/>
  <c r="D37" i="21"/>
  <c r="K37" i="21" s="1"/>
  <c r="D36" i="21"/>
  <c r="K36" i="21" s="1"/>
  <c r="D35" i="21"/>
  <c r="K35" i="21" s="1"/>
  <c r="D34" i="21"/>
  <c r="D33" i="21"/>
  <c r="K33" i="21" s="1"/>
  <c r="D31" i="21"/>
  <c r="K31" i="21" s="1"/>
  <c r="D29" i="21"/>
  <c r="K29" i="21" s="1"/>
  <c r="D28" i="21"/>
  <c r="K28" i="21" s="1"/>
  <c r="D23" i="21"/>
  <c r="K23" i="21" s="1"/>
  <c r="D22" i="21"/>
  <c r="D21" i="21"/>
  <c r="E53" i="20"/>
  <c r="D20" i="21"/>
  <c r="G45" i="20"/>
  <c r="S25" i="21" l="1"/>
  <c r="R25" i="21"/>
  <c r="Q25" i="21"/>
  <c r="P25" i="21"/>
  <c r="D25" i="21"/>
  <c r="H15" i="21"/>
  <c r="G25" i="21"/>
  <c r="I25" i="21"/>
  <c r="G28" i="21"/>
  <c r="I28" i="21"/>
  <c r="G29" i="21"/>
  <c r="I29" i="21"/>
  <c r="G30" i="21"/>
  <c r="I30" i="21"/>
  <c r="G32" i="21"/>
  <c r="I32" i="21"/>
  <c r="G31" i="21"/>
  <c r="I31" i="21"/>
  <c r="G34" i="21"/>
  <c r="H34" i="21" s="1"/>
  <c r="H44" i="21" s="1"/>
  <c r="G44" i="21" s="1"/>
  <c r="I34" i="21"/>
  <c r="J34" i="21" s="1"/>
  <c r="J44" i="21" s="1"/>
  <c r="I44" i="21" s="1"/>
  <c r="G37" i="21"/>
  <c r="I37" i="21"/>
  <c r="E37" i="21"/>
  <c r="E34" i="21"/>
  <c r="F34" i="21" s="1"/>
  <c r="E31" i="21"/>
  <c r="E32" i="21"/>
  <c r="E30" i="21"/>
  <c r="E29" i="21"/>
  <c r="E28" i="21"/>
  <c r="E25" i="21"/>
  <c r="F15" i="21"/>
  <c r="G18" i="21"/>
  <c r="I18" i="21"/>
  <c r="E18" i="21"/>
  <c r="H16" i="21"/>
  <c r="J16" i="21"/>
  <c r="F16" i="21"/>
  <c r="G16" i="21"/>
  <c r="I16" i="21"/>
  <c r="E16" i="21"/>
  <c r="K25" i="21" l="1"/>
  <c r="K32" i="21"/>
  <c r="F44" i="21"/>
  <c r="E44" i="21" s="1"/>
  <c r="N32" i="21"/>
  <c r="K34" i="21" s="1"/>
  <c r="H24" i="21"/>
  <c r="H43" i="21" s="1"/>
  <c r="G43" i="21" s="1"/>
  <c r="H47" i="21" s="1"/>
  <c r="J24" i="21"/>
  <c r="J43" i="21" s="1"/>
  <c r="I43" i="21" s="1"/>
  <c r="J47" i="21" s="1"/>
  <c r="H57" i="20"/>
  <c r="G48" i="20"/>
  <c r="G49" i="20"/>
  <c r="G12" i="20"/>
  <c r="F24" i="21" l="1"/>
  <c r="D33" i="20"/>
  <c r="M23" i="21" l="1"/>
  <c r="K24" i="21" s="1"/>
  <c r="F43" i="21"/>
  <c r="E43" i="21" s="1"/>
  <c r="F47" i="21" s="1"/>
  <c r="K1" i="21" s="1"/>
  <c r="G13" i="20"/>
  <c r="G17" i="20"/>
  <c r="G37" i="20"/>
  <c r="C24" i="20"/>
  <c r="C23" i="20"/>
  <c r="H22" i="20" l="1"/>
  <c r="E19" i="22"/>
  <c r="E27" i="22" s="1"/>
  <c r="G46" i="20"/>
  <c r="G43" i="20"/>
  <c r="E25" i="22" l="1"/>
  <c r="E26" i="22" s="1"/>
  <c r="E29" i="22"/>
  <c r="E28" i="22"/>
  <c r="C6" i="20"/>
  <c r="E31" i="22" l="1"/>
  <c r="E20" i="22" s="1"/>
  <c r="C18" i="22" s="1"/>
  <c r="C21" i="22" s="1"/>
  <c r="J1" i="22" s="1"/>
  <c r="H23" i="20" s="1"/>
  <c r="J22" i="20" s="1"/>
  <c r="G65" i="20"/>
  <c r="G51" i="20"/>
  <c r="K22" i="20" l="1"/>
  <c r="J24" i="20"/>
  <c r="K24" i="20" s="1"/>
  <c r="F38" i="20"/>
  <c r="I9" i="20"/>
  <c r="G15" i="20" s="1"/>
  <c r="I10" i="20" s="1"/>
  <c r="F11" i="20"/>
  <c r="C27" i="20"/>
  <c r="D29" i="20"/>
  <c r="D30" i="20"/>
  <c r="D31" i="20"/>
  <c r="D12" i="20"/>
  <c r="F12" i="20" s="1"/>
  <c r="D38" i="21" l="1"/>
  <c r="K38" i="21" s="1"/>
  <c r="D28" i="20"/>
  <c r="E27" i="20"/>
  <c r="G16" i="20"/>
  <c r="F16" i="20" l="1"/>
  <c r="F15" i="20"/>
  <c r="F14" i="20" s="1"/>
  <c r="G22" i="9" l="1"/>
</calcChain>
</file>

<file path=xl/comments1.xml><?xml version="1.0" encoding="utf-8"?>
<comments xmlns="http://schemas.openxmlformats.org/spreadsheetml/2006/main">
  <authors>
    <author>作者</author>
  </authors>
  <commentList>
    <comment ref="D13" authorId="0">
      <text>
        <r>
          <rPr>
            <b/>
            <sz val="9"/>
            <color indexed="81"/>
            <rFont val="宋体"/>
            <family val="3"/>
            <charset val="134"/>
          </rPr>
          <t>作者:</t>
        </r>
        <r>
          <rPr>
            <sz val="9"/>
            <color indexed="81"/>
            <rFont val="宋体"/>
            <family val="3"/>
            <charset val="134"/>
          </rPr>
          <t xml:space="preserve">
如果无，清空，不留空格
</t>
        </r>
      </text>
    </comment>
    <comment ref="B14" authorId="0">
      <text>
        <r>
          <rPr>
            <b/>
            <sz val="9"/>
            <color indexed="81"/>
            <rFont val="宋体"/>
            <family val="3"/>
            <charset val="134"/>
          </rPr>
          <t>作者:</t>
        </r>
        <r>
          <rPr>
            <sz val="9"/>
            <color indexed="81"/>
            <rFont val="宋体"/>
            <family val="3"/>
            <charset val="134"/>
          </rPr>
          <t xml:space="preserve">
估价对象为A、B按份共有，其中A所占比例为30%；
估价对象为A、B共同共有；
估价对象为A所有，无共有权人</t>
        </r>
      </text>
    </comment>
    <comment ref="D15" authorId="0">
      <text>
        <r>
          <rPr>
            <b/>
            <sz val="9"/>
            <color indexed="81"/>
            <rFont val="宋体"/>
            <family val="3"/>
            <charset val="134"/>
          </rPr>
          <t>大叔:如果没有，填“未登记”</t>
        </r>
        <r>
          <rPr>
            <sz val="9"/>
            <color indexed="81"/>
            <rFont val="宋体"/>
            <family val="3"/>
            <charset val="134"/>
          </rPr>
          <t xml:space="preserve">
</t>
        </r>
      </text>
    </comment>
    <comment ref="F15" authorId="0">
      <text>
        <r>
          <rPr>
            <b/>
            <sz val="9"/>
            <color indexed="81"/>
            <rFont val="宋体"/>
            <family val="3"/>
            <charset val="134"/>
          </rPr>
          <t>作者:</t>
        </r>
        <r>
          <rPr>
            <sz val="9"/>
            <color indexed="81"/>
            <rFont val="宋体"/>
            <family val="3"/>
            <charset val="134"/>
          </rPr>
          <t xml:space="preserve">
这个是指当成新率过低时，取60%为最低成新率</t>
        </r>
      </text>
    </comment>
    <comment ref="F16" authorId="0">
      <text>
        <r>
          <rPr>
            <b/>
            <sz val="9"/>
            <color indexed="81"/>
            <rFont val="宋体"/>
            <family val="3"/>
            <charset val="134"/>
          </rPr>
          <t>大叔:这是综合成新率，当成新不足时可以更改</t>
        </r>
        <r>
          <rPr>
            <sz val="9"/>
            <color indexed="81"/>
            <rFont val="宋体"/>
            <family val="3"/>
            <charset val="134"/>
          </rPr>
          <t xml:space="preserve">
</t>
        </r>
      </text>
    </comment>
    <comment ref="D22" authorId="0">
      <text>
        <r>
          <rPr>
            <b/>
            <sz val="9"/>
            <color indexed="81"/>
            <rFont val="宋体"/>
            <family val="3"/>
            <charset val="134"/>
          </rPr>
          <t>作者:</t>
        </r>
        <r>
          <rPr>
            <sz val="9"/>
            <color indexed="81"/>
            <rFont val="宋体"/>
            <family val="3"/>
            <charset val="134"/>
          </rPr>
          <t xml:space="preserve">
多套：“住宅、商业等三套房地产”
</t>
        </r>
      </text>
    </comment>
    <comment ref="C37" authorId="0">
      <text>
        <r>
          <rPr>
            <b/>
            <sz val="9"/>
            <color indexed="81"/>
            <rFont val="宋体"/>
            <family val="3"/>
            <charset val="134"/>
          </rPr>
          <t>大叔:如果没有小区，要清空，连空格都不能有。</t>
        </r>
        <r>
          <rPr>
            <sz val="9"/>
            <color indexed="81"/>
            <rFont val="宋体"/>
            <family val="3"/>
            <charset val="134"/>
          </rPr>
          <t xml:space="preserve">
</t>
        </r>
      </text>
    </comment>
    <comment ref="C44" authorId="0">
      <text>
        <r>
          <rPr>
            <b/>
            <sz val="9"/>
            <color indexed="81"/>
            <rFont val="宋体"/>
            <family val="3"/>
            <charset val="134"/>
          </rPr>
          <t>作者:</t>
        </r>
        <r>
          <rPr>
            <sz val="9"/>
            <color indexed="81"/>
            <rFont val="宋体"/>
            <family val="3"/>
            <charset val="134"/>
          </rPr>
          <t xml:space="preserve">
指用于测算时的主评估物的用途</t>
        </r>
      </text>
    </comment>
    <comment ref="F51" authorId="0">
      <text>
        <r>
          <rPr>
            <b/>
            <sz val="9"/>
            <color indexed="81"/>
            <rFont val="宋体"/>
            <family val="3"/>
            <charset val="134"/>
          </rPr>
          <t xml:space="preserve">非学区房填空
</t>
        </r>
      </text>
    </comment>
  </commentList>
</comments>
</file>

<file path=xl/comments2.xml><?xml version="1.0" encoding="utf-8"?>
<comments xmlns="http://schemas.openxmlformats.org/spreadsheetml/2006/main">
  <authors>
    <author>作者</author>
  </authors>
  <commentList>
    <comment ref="E5" authorId="0">
      <text>
        <r>
          <rPr>
            <b/>
            <sz val="9"/>
            <color indexed="81"/>
            <rFont val="宋体"/>
            <family val="3"/>
            <charset val="134"/>
          </rPr>
          <t>作者:</t>
        </r>
        <r>
          <rPr>
            <sz val="9"/>
            <color indexed="81"/>
            <rFont val="宋体"/>
            <family val="3"/>
            <charset val="134"/>
          </rPr>
          <t xml:space="preserve">
单位是月，指空置的月份</t>
        </r>
      </text>
    </comment>
    <comment ref="I6" authorId="0">
      <text>
        <r>
          <rPr>
            <b/>
            <sz val="9"/>
            <color indexed="81"/>
            <rFont val="宋体"/>
            <family val="3"/>
            <charset val="134"/>
          </rPr>
          <t>作者:</t>
        </r>
        <r>
          <rPr>
            <sz val="9"/>
            <color indexed="81"/>
            <rFont val="宋体"/>
            <family val="3"/>
            <charset val="134"/>
          </rPr>
          <t xml:space="preserve">
默认与估价对象的“评估用途”相同</t>
        </r>
      </text>
    </comment>
  </commentList>
</comments>
</file>

<file path=xl/sharedStrings.xml><?xml version="1.0" encoding="utf-8"?>
<sst xmlns="http://schemas.openxmlformats.org/spreadsheetml/2006/main" count="883" uniqueCount="721">
  <si>
    <t>印花税</t>
    <phoneticPr fontId="1" type="noConversion"/>
  </si>
  <si>
    <t>土地增值税</t>
    <phoneticPr fontId="1" type="noConversion"/>
  </si>
  <si>
    <t>非住房</t>
    <phoneticPr fontId="1" type="noConversion"/>
  </si>
  <si>
    <t>所得税</t>
    <phoneticPr fontId="1" type="noConversion"/>
  </si>
  <si>
    <t>元／m2</t>
  </si>
  <si>
    <t>其他用房</t>
  </si>
  <si>
    <t>企业</t>
    <phoneticPr fontId="1" type="noConversion"/>
  </si>
  <si>
    <t>增值税</t>
    <phoneticPr fontId="1" type="noConversion"/>
  </si>
  <si>
    <t>城市维护建设税、教育费附加、地方教育附加</t>
    <phoneticPr fontId="1" type="noConversion"/>
  </si>
  <si>
    <t>所得税</t>
    <phoneticPr fontId="1" type="noConversion"/>
  </si>
  <si>
    <t>印花税</t>
    <phoneticPr fontId="1" type="noConversion"/>
  </si>
  <si>
    <t>土地增值税</t>
    <phoneticPr fontId="1" type="noConversion"/>
  </si>
  <si>
    <t>交易手续费</t>
    <phoneticPr fontId="1" type="noConversion"/>
  </si>
  <si>
    <t>处置费用</t>
    <phoneticPr fontId="1" type="noConversion"/>
  </si>
  <si>
    <t>个人</t>
    <phoneticPr fontId="1" type="noConversion"/>
  </si>
  <si>
    <t>评估价值（万元）</t>
    <phoneticPr fontId="1" type="noConversion"/>
  </si>
  <si>
    <t>住房</t>
    <phoneticPr fontId="1" type="noConversion"/>
  </si>
  <si>
    <t>非住房</t>
    <phoneticPr fontId="1" type="noConversion"/>
  </si>
  <si>
    <t>是否满2年</t>
    <phoneticPr fontId="1" type="noConversion"/>
  </si>
  <si>
    <t>12%*25%</t>
    <phoneticPr fontId="1" type="noConversion"/>
  </si>
  <si>
    <t>类型</t>
    <phoneticPr fontId="1" type="noConversion"/>
  </si>
  <si>
    <t>个人将购买2年以上（含2年）的住房对外销售的，免征增值税</t>
    <phoneticPr fontId="1" type="noConversion"/>
  </si>
  <si>
    <t>个人将购买不足2年的住房对外销售的，按照5%的征收率全额缴纳增值税</t>
    <phoneticPr fontId="1" type="noConversion"/>
  </si>
  <si>
    <t xml:space="preserve">售购房双方以合同记载金额为计税依据，按“产权转移书据”税目及万分之五的税率计征。 </t>
    <phoneticPr fontId="1" type="noConversion"/>
  </si>
  <si>
    <t>自2008年11月1日起，个人销售或购买住房暂免征收印花税。</t>
    <phoneticPr fontId="1" type="noConversion"/>
  </si>
  <si>
    <t xml:space="preserve">自2008年11月1日起，个人销售住房暂免征收土地增值税。  </t>
    <phoneticPr fontId="1" type="noConversion"/>
  </si>
  <si>
    <t>对单位转让二手房产、地产，按照《中华人民共和国土地增值税暂行条例》及其实施细则以及现行政策规定，计算征收土地增值税，并在二手房产、地产转让前到主管税务机关申报</t>
    <phoneticPr fontId="1" type="noConversion"/>
  </si>
  <si>
    <t>税种</t>
    <phoneticPr fontId="1" type="noConversion"/>
  </si>
  <si>
    <t>所在区域</t>
    <phoneticPr fontId="1" type="noConversion"/>
  </si>
  <si>
    <t>市区</t>
    <phoneticPr fontId="1" type="noConversion"/>
  </si>
  <si>
    <t>县镇</t>
    <phoneticPr fontId="1" type="noConversion"/>
  </si>
  <si>
    <t>其他</t>
    <phoneticPr fontId="1" type="noConversion"/>
  </si>
  <si>
    <t>商业</t>
    <phoneticPr fontId="1" type="noConversion"/>
  </si>
  <si>
    <t>办公</t>
    <phoneticPr fontId="1" type="noConversion"/>
  </si>
  <si>
    <t>工业仓储</t>
    <phoneticPr fontId="1" type="noConversion"/>
  </si>
  <si>
    <t>车位车库</t>
    <phoneticPr fontId="1" type="noConversion"/>
  </si>
  <si>
    <t>住宅</t>
    <phoneticPr fontId="1" type="noConversion"/>
  </si>
  <si>
    <t>金额</t>
    <phoneticPr fontId="1" type="noConversion"/>
  </si>
  <si>
    <t>说明</t>
    <phoneticPr fontId="1" type="noConversion"/>
  </si>
  <si>
    <t>税率</t>
    <phoneticPr fontId="1" type="noConversion"/>
  </si>
  <si>
    <t>元／m2</t>
    <phoneticPr fontId="1" type="noConversion"/>
  </si>
  <si>
    <t>建筑面积</t>
    <phoneticPr fontId="1" type="noConversion"/>
  </si>
  <si>
    <t>自2008年11月1日起，对个人销售或购买住房暂免征收印花税。</t>
    <phoneticPr fontId="1" type="noConversion"/>
  </si>
  <si>
    <t>售购房双方以合同记载金额为计税依据，按“产权转移书据”税目及万分之五的税率计征。</t>
    <phoneticPr fontId="1" type="noConversion"/>
  </si>
  <si>
    <t>个人转让非住宅二手房，单位转让二手房的，按转让收入全额的5％征收土地增值税。</t>
    <phoneticPr fontId="1" type="noConversion"/>
  </si>
  <si>
    <t>个人销售二手房不能核实原值的，按交易总额(增值税不含税收入)的1.5％计征。</t>
    <phoneticPr fontId="1" type="noConversion"/>
  </si>
  <si>
    <t>纳税人转让其取得的不动产，以取得的全部价款和价外费用扣除不动产购置原价或者取得不动产时的作价后的余额为销售额，按照5%的征收率计算应纳税额。</t>
    <phoneticPr fontId="1" type="noConversion"/>
  </si>
  <si>
    <t>以应纳增值税额为计税（费）依据，城市维护建设税按市区7%，县城、镇5%，不在市区、县城或镇的，税率为1%计征。教育费附加按3%的征收率计征。地方教育附加按2%的征收率计征</t>
    <phoneticPr fontId="1" type="noConversion"/>
  </si>
  <si>
    <t>附加税费</t>
    <phoneticPr fontId="1" type="noConversion"/>
  </si>
  <si>
    <t>单位销售二手房，将售房收入并入企业应纳税所得额计算，本次评估因无法取得企业应纳税所得，故暂不计算企业所得税。</t>
    <phoneticPr fontId="1" type="noConversion"/>
  </si>
  <si>
    <t>交易手续费按建筑面积计取，2015年10月15日起，存量住房交易手续费由现行每平方米6元降为每平方米4元，双方各承担50%。</t>
    <phoneticPr fontId="1" type="noConversion"/>
  </si>
  <si>
    <t>物业类型</t>
    <phoneticPr fontId="1" type="noConversion"/>
  </si>
  <si>
    <t>个人出售其购买的除住房以外的房屋，按照其转让不动产取得的全部价款和价外费用扣除房屋购置原价后按照5%的征收率全额缴纳增值税。</t>
    <phoneticPr fontId="1" type="noConversion"/>
  </si>
  <si>
    <t>是</t>
  </si>
  <si>
    <t>市区</t>
  </si>
  <si>
    <t>序号</t>
  </si>
  <si>
    <t>项目名称</t>
  </si>
  <si>
    <t>备    注</t>
  </si>
  <si>
    <t>（一）</t>
  </si>
  <si>
    <t>年有效毛收入</t>
    <phoneticPr fontId="1" type="noConversion"/>
  </si>
  <si>
    <t>①</t>
  </si>
  <si>
    <t>②</t>
  </si>
  <si>
    <t>空置率</t>
    <phoneticPr fontId="1" type="noConversion"/>
  </si>
  <si>
    <t>③</t>
  </si>
  <si>
    <t>其他收入</t>
    <phoneticPr fontId="1" type="noConversion"/>
  </si>
  <si>
    <t>年运营费用</t>
  </si>
  <si>
    <t>保险费率</t>
    <phoneticPr fontId="1" type="noConversion"/>
  </si>
  <si>
    <t>④</t>
  </si>
  <si>
    <t>维修费率</t>
    <phoneticPr fontId="1" type="noConversion"/>
  </si>
  <si>
    <t>管理费率</t>
    <phoneticPr fontId="1" type="noConversion"/>
  </si>
  <si>
    <t>（五）</t>
  </si>
  <si>
    <t>（六）</t>
  </si>
  <si>
    <t>持有期收益</t>
    <phoneticPr fontId="1" type="noConversion"/>
  </si>
  <si>
    <t>（七）</t>
  </si>
  <si>
    <t>未来价格每年上涨率b</t>
    <phoneticPr fontId="1" type="noConversion"/>
  </si>
  <si>
    <t>期末转售收益Vt(元/平方米)</t>
    <phoneticPr fontId="1" type="noConversion"/>
  </si>
  <si>
    <t>期末转售价格</t>
    <phoneticPr fontId="1" type="noConversion"/>
  </si>
  <si>
    <t>转售成本</t>
    <phoneticPr fontId="1" type="noConversion"/>
  </si>
  <si>
    <t>增值税起征点</t>
    <phoneticPr fontId="1" type="noConversion"/>
  </si>
  <si>
    <t>收益价值V</t>
    <phoneticPr fontId="1" type="noConversion"/>
  </si>
  <si>
    <t>期末转售价格-转售成本</t>
    <phoneticPr fontId="1" type="noConversion"/>
  </si>
  <si>
    <t>V*(1+b)^t</t>
    <phoneticPr fontId="1" type="noConversion"/>
  </si>
  <si>
    <t>V=A/Y*[1-1/(1+Y)^t]+期末转售收益/(1+Y)^t</t>
    <phoneticPr fontId="1" type="noConversion"/>
  </si>
  <si>
    <t>红色部分允许修改，因为是持有5年以上再转售，“是否满2年”一般固定选“是”</t>
    <phoneticPr fontId="1" type="noConversion"/>
  </si>
  <si>
    <t>权属人</t>
    <phoneticPr fontId="1" type="noConversion"/>
  </si>
  <si>
    <t>（四）</t>
    <phoneticPr fontId="1" type="noConversion"/>
  </si>
  <si>
    <t>报酬率求取表</t>
    <phoneticPr fontId="13" type="noConversion"/>
  </si>
  <si>
    <t>序号</t>
    <phoneticPr fontId="13" type="noConversion"/>
  </si>
  <si>
    <t>项目</t>
    <phoneticPr fontId="13" type="noConversion"/>
  </si>
  <si>
    <t>估价对象取值</t>
    <phoneticPr fontId="13" type="noConversion"/>
  </si>
  <si>
    <t>投资风险补偿率</t>
    <phoneticPr fontId="13" type="noConversion"/>
  </si>
  <si>
    <t>管理负担补偿率</t>
    <phoneticPr fontId="13" type="noConversion"/>
  </si>
  <si>
    <t>缺乏流动性补偿率</t>
    <phoneticPr fontId="13" type="noConversion"/>
  </si>
  <si>
    <t>易于获得融资的优惠率</t>
    <phoneticPr fontId="13" type="noConversion"/>
  </si>
  <si>
    <t>所得税抵扣的优惠率</t>
    <phoneticPr fontId="13" type="noConversion"/>
  </si>
  <si>
    <t>合计</t>
    <phoneticPr fontId="13" type="noConversion"/>
  </si>
  <si>
    <t>住宅</t>
  </si>
  <si>
    <t>月租金</t>
    <phoneticPr fontId="1" type="noConversion"/>
  </si>
  <si>
    <t>单价</t>
    <phoneticPr fontId="8" type="noConversion"/>
  </si>
  <si>
    <t>参数名称</t>
    <phoneticPr fontId="1" type="noConversion"/>
  </si>
  <si>
    <t>参数</t>
    <phoneticPr fontId="1" type="noConversion"/>
  </si>
  <si>
    <t>（二）</t>
    <phoneticPr fontId="1" type="noConversion"/>
  </si>
  <si>
    <t>房产税率</t>
    <phoneticPr fontId="1" type="noConversion"/>
  </si>
  <si>
    <t>重置价×保险费率</t>
    <phoneticPr fontId="1" type="noConversion"/>
  </si>
  <si>
    <t>房屋保险费</t>
    <phoneticPr fontId="1" type="noConversion"/>
  </si>
  <si>
    <t>重置价格×维修费率</t>
    <phoneticPr fontId="1" type="noConversion"/>
  </si>
  <si>
    <t>物业服务及管理费</t>
    <phoneticPr fontId="1" type="noConversion"/>
  </si>
  <si>
    <t>年有效毛收入(含税）×管理费率</t>
    <phoneticPr fontId="1" type="noConversion"/>
  </si>
  <si>
    <t>维修及水电费</t>
    <phoneticPr fontId="1" type="noConversion"/>
  </si>
  <si>
    <t>年净收益（A）</t>
    <phoneticPr fontId="1" type="noConversion"/>
  </si>
  <si>
    <t>（三）</t>
    <phoneticPr fontId="1" type="noConversion"/>
  </si>
  <si>
    <t>（一）+（二）-（三）</t>
    <phoneticPr fontId="1" type="noConversion"/>
  </si>
  <si>
    <t>附加税率</t>
    <phoneticPr fontId="1" type="noConversion"/>
  </si>
  <si>
    <t>月租金*12*（1-空置率）</t>
    <phoneticPr fontId="1" type="noConversion"/>
  </si>
  <si>
    <t>合计</t>
    <phoneticPr fontId="1" type="noConversion"/>
  </si>
  <si>
    <t>持有期t</t>
    <phoneticPr fontId="1" type="noConversion"/>
  </si>
  <si>
    <t>A/Y*[1-1/(1+Y)^t]</t>
    <phoneticPr fontId="1" type="noConversion"/>
  </si>
  <si>
    <t>报酬率(Y)</t>
    <phoneticPr fontId="1" type="noConversion"/>
  </si>
  <si>
    <t>一年存款利率</t>
    <phoneticPr fontId="1" type="noConversion"/>
  </si>
  <si>
    <t>重置价</t>
    <phoneticPr fontId="1" type="noConversion"/>
  </si>
  <si>
    <t>出租增值税率</t>
    <phoneticPr fontId="1" type="noConversion"/>
  </si>
  <si>
    <t>租赁增值税征收率</t>
    <phoneticPr fontId="1" type="noConversion"/>
  </si>
  <si>
    <t>朝向</t>
  </si>
  <si>
    <t>南北</t>
  </si>
  <si>
    <t>面积</t>
  </si>
  <si>
    <t>六通一平</t>
  </si>
  <si>
    <t>建筑结构</t>
  </si>
  <si>
    <t>钢混结构</t>
  </si>
  <si>
    <t>带电梯</t>
  </si>
  <si>
    <t>平层</t>
  </si>
  <si>
    <t>普通装修</t>
  </si>
  <si>
    <t>小区名称</t>
    <phoneticPr fontId="13" type="noConversion"/>
  </si>
  <si>
    <t>估价编号</t>
    <phoneticPr fontId="13" type="noConversion"/>
  </si>
  <si>
    <t>土地使用权类型</t>
    <phoneticPr fontId="13" type="noConversion"/>
  </si>
  <si>
    <t>委托方</t>
    <phoneticPr fontId="13" type="noConversion"/>
  </si>
  <si>
    <t>土地用途/房屋用途</t>
    <phoneticPr fontId="13" type="noConversion"/>
  </si>
  <si>
    <t>房屋结构</t>
    <phoneticPr fontId="13" type="noConversion"/>
  </si>
  <si>
    <t>层次/总层数</t>
    <phoneticPr fontId="13" type="noConversion"/>
  </si>
  <si>
    <t>7层（含跃层）</t>
    <phoneticPr fontId="13" type="noConversion"/>
  </si>
  <si>
    <t>基准地价级别</t>
    <phoneticPr fontId="13" type="noConversion"/>
  </si>
  <si>
    <t>C1</t>
  </si>
  <si>
    <t>建筑面积/分摊建筑面积</t>
    <phoneticPr fontId="13" type="noConversion"/>
  </si>
  <si>
    <t>宗地面积/分摊用地面积</t>
    <phoneticPr fontId="13" type="noConversion"/>
  </si>
  <si>
    <t>土地已使用年限</t>
    <phoneticPr fontId="13" type="noConversion"/>
  </si>
  <si>
    <t>土地批准使用日期</t>
    <phoneticPr fontId="13" type="noConversion"/>
  </si>
  <si>
    <t>土地剩余使用年限</t>
    <phoneticPr fontId="13" type="noConversion"/>
  </si>
  <si>
    <t>房屋来源/权利房型</t>
    <phoneticPr fontId="13" type="noConversion"/>
  </si>
  <si>
    <t>商品房</t>
    <phoneticPr fontId="13" type="noConversion"/>
  </si>
  <si>
    <t>建成年份</t>
    <phoneticPr fontId="13" type="noConversion"/>
  </si>
  <si>
    <t>图幅号/地籍号</t>
    <phoneticPr fontId="13" type="noConversion"/>
  </si>
  <si>
    <t>估价时点</t>
    <phoneticPr fontId="13" type="noConversion"/>
  </si>
  <si>
    <t>证载</t>
  </si>
  <si>
    <t>估价师1签</t>
    <phoneticPr fontId="13" type="noConversion"/>
  </si>
  <si>
    <t>估价师2签</t>
    <phoneticPr fontId="13" type="noConversion"/>
  </si>
  <si>
    <t>撰写估价员/勘查估价员</t>
    <phoneticPr fontId="13" type="noConversion"/>
  </si>
  <si>
    <t>项目经理</t>
    <phoneticPr fontId="13" type="noConversion"/>
  </si>
  <si>
    <t>[报告编号]</t>
    <phoneticPr fontId="13" type="noConversion"/>
  </si>
  <si>
    <t>[室号1]</t>
    <phoneticPr fontId="13" type="noConversion"/>
  </si>
  <si>
    <t>李志林</t>
  </si>
  <si>
    <t>吴福海</t>
  </si>
  <si>
    <t>估价师名册，增加估价师用插入方式</t>
    <phoneticPr fontId="1" type="noConversion"/>
  </si>
  <si>
    <t>权属证书</t>
    <phoneticPr fontId="1" type="noConversion"/>
  </si>
  <si>
    <t>勘察估价师</t>
    <phoneticPr fontId="1" type="noConversion"/>
  </si>
  <si>
    <t>登记状况</t>
    <phoneticPr fontId="1" type="noConversion"/>
  </si>
  <si>
    <t>《厦门市土地房屋权证》(厦地房证第</t>
    <phoneticPr fontId="1" type="noConversion"/>
  </si>
  <si>
    <t>《厦门市土地房屋共有权证》(厦地房共证第</t>
    <phoneticPr fontId="1" type="noConversion"/>
  </si>
  <si>
    <t>《不动产权证书》(闽()厦门市不动产权第</t>
    <phoneticPr fontId="1" type="noConversion"/>
  </si>
  <si>
    <t>《厦门市土地房屋权证》(厦国土房证第</t>
    <phoneticPr fontId="1" type="noConversion"/>
  </si>
  <si>
    <t>《房屋所有权证》(开字第</t>
    <phoneticPr fontId="1" type="noConversion"/>
  </si>
  <si>
    <t>《房屋所有权证》(龙房权证字第</t>
    <phoneticPr fontId="1" type="noConversion"/>
  </si>
  <si>
    <t>《国有土地使用证》(龙国用（）第</t>
    <phoneticPr fontId="1" type="noConversion"/>
  </si>
  <si>
    <t>权属人</t>
    <phoneticPr fontId="13" type="noConversion"/>
  </si>
  <si>
    <t>门牌说明</t>
    <phoneticPr fontId="1" type="noConversion"/>
  </si>
  <si>
    <t xml:space="preserve">共有情况 </t>
    <phoneticPr fontId="1" type="noConversion"/>
  </si>
  <si>
    <t>估价对象为（）所有，无共有权人。</t>
    <phoneticPr fontId="13" type="noConversion"/>
  </si>
  <si>
    <t>报告信息</t>
    <phoneticPr fontId="1" type="noConversion"/>
  </si>
  <si>
    <t>权属证号（生成）</t>
    <phoneticPr fontId="13" type="noConversion"/>
  </si>
  <si>
    <t>坐落/室号</t>
    <phoneticPr fontId="13" type="noConversion"/>
  </si>
  <si>
    <t>估价目的</t>
    <phoneticPr fontId="1" type="noConversion"/>
  </si>
  <si>
    <t>为确定房地产抵押贷款额度提供参考依据而评估房地产抵押价值</t>
    <phoneticPr fontId="1" type="noConversion"/>
  </si>
  <si>
    <t>估价目的1</t>
    <phoneticPr fontId="1" type="noConversion"/>
  </si>
  <si>
    <t>估价目的2</t>
  </si>
  <si>
    <t>估价目的3</t>
  </si>
  <si>
    <t>估价目的4</t>
  </si>
  <si>
    <t>估价目的5</t>
  </si>
  <si>
    <t>报告有效期</t>
    <phoneticPr fontId="13" type="noConversion"/>
  </si>
  <si>
    <t>建筑物剩余使用年限</t>
    <phoneticPr fontId="13" type="noConversion"/>
  </si>
  <si>
    <t>耐用年限</t>
    <phoneticPr fontId="1" type="noConversion"/>
  </si>
  <si>
    <t>建筑物标准耐用年限</t>
    <phoneticPr fontId="13" type="noConversion"/>
  </si>
  <si>
    <t>剩余经济耐用年限</t>
    <phoneticPr fontId="13" type="noConversion"/>
  </si>
  <si>
    <t>建筑物成新率</t>
    <phoneticPr fontId="13" type="noConversion"/>
  </si>
  <si>
    <t>备注</t>
    <phoneticPr fontId="13" type="noConversion"/>
  </si>
  <si>
    <t>方位</t>
    <phoneticPr fontId="8" type="noConversion"/>
  </si>
  <si>
    <t>厦禾路与文屏路交叉口北侧</t>
    <phoneticPr fontId="8" type="noConversion"/>
  </si>
  <si>
    <t>距重要场所距离</t>
    <phoneticPr fontId="8" type="noConversion"/>
  </si>
  <si>
    <t>一般</t>
    <phoneticPr fontId="8" type="noConversion"/>
  </si>
  <si>
    <t>10、20、941、951路</t>
    <phoneticPr fontId="8" type="noConversion"/>
  </si>
  <si>
    <t>公建配套</t>
    <phoneticPr fontId="8" type="noConversion"/>
  </si>
  <si>
    <t>物业管理</t>
    <phoneticPr fontId="8" type="noConversion"/>
  </si>
  <si>
    <t>学区房</t>
    <phoneticPr fontId="8" type="noConversion"/>
  </si>
  <si>
    <t>楼幢位置</t>
    <phoneticPr fontId="8" type="noConversion"/>
  </si>
  <si>
    <t>实勘信息</t>
    <phoneticPr fontId="1" type="noConversion"/>
  </si>
  <si>
    <t>基准地价</t>
    <phoneticPr fontId="1" type="noConversion"/>
  </si>
  <si>
    <r>
      <t>A</t>
    </r>
    <r>
      <rPr>
        <sz val="11"/>
        <color theme="1"/>
        <rFont val="宋体"/>
        <family val="2"/>
        <scheme val="minor"/>
      </rPr>
      <t>1</t>
    </r>
    <phoneticPr fontId="8" type="noConversion"/>
  </si>
  <si>
    <r>
      <t>A</t>
    </r>
    <r>
      <rPr>
        <sz val="11"/>
        <color theme="1"/>
        <rFont val="宋体"/>
        <family val="2"/>
        <scheme val="minor"/>
      </rPr>
      <t>2</t>
    </r>
    <phoneticPr fontId="8" type="noConversion"/>
  </si>
  <si>
    <t>B1</t>
    <phoneticPr fontId="8" type="noConversion"/>
  </si>
  <si>
    <t>B2</t>
    <phoneticPr fontId="8" type="noConversion"/>
  </si>
  <si>
    <t>B3</t>
    <phoneticPr fontId="8" type="noConversion"/>
  </si>
  <si>
    <t>B4</t>
    <phoneticPr fontId="8" type="noConversion"/>
  </si>
  <si>
    <t>C1</t>
    <phoneticPr fontId="8" type="noConversion"/>
  </si>
  <si>
    <t>C2</t>
    <phoneticPr fontId="8" type="noConversion"/>
  </si>
  <si>
    <t>C3</t>
    <phoneticPr fontId="8" type="noConversion"/>
  </si>
  <si>
    <t>C4</t>
    <phoneticPr fontId="8" type="noConversion"/>
  </si>
  <si>
    <t>D1</t>
    <phoneticPr fontId="8" type="noConversion"/>
  </si>
  <si>
    <t>D2</t>
    <phoneticPr fontId="8" type="noConversion"/>
  </si>
  <si>
    <t>D3</t>
  </si>
  <si>
    <t>D4</t>
  </si>
  <si>
    <t>D5</t>
  </si>
  <si>
    <t>E1</t>
    <phoneticPr fontId="8" type="noConversion"/>
  </si>
  <si>
    <t>E2</t>
  </si>
  <si>
    <t>E3</t>
  </si>
  <si>
    <t>E4</t>
  </si>
  <si>
    <t>E5</t>
  </si>
  <si>
    <t>F1</t>
    <phoneticPr fontId="8" type="noConversion"/>
  </si>
  <si>
    <t>F2</t>
  </si>
  <si>
    <t>H1</t>
    <phoneticPr fontId="8" type="noConversion"/>
  </si>
  <si>
    <t>H2</t>
  </si>
  <si>
    <t>H3</t>
  </si>
  <si>
    <t>H4</t>
  </si>
  <si>
    <t>H5</t>
  </si>
  <si>
    <t>H6</t>
  </si>
  <si>
    <t>H7</t>
  </si>
  <si>
    <t>H8</t>
  </si>
  <si>
    <t>H9</t>
  </si>
  <si>
    <t>J杏</t>
    <phoneticPr fontId="8" type="noConversion"/>
  </si>
  <si>
    <t>J集</t>
    <phoneticPr fontId="8" type="noConversion"/>
  </si>
  <si>
    <t>J2</t>
    <phoneticPr fontId="8" type="noConversion"/>
  </si>
  <si>
    <t>J3</t>
  </si>
  <si>
    <t>J4</t>
  </si>
  <si>
    <t>J5</t>
  </si>
  <si>
    <t>J6</t>
  </si>
  <si>
    <t>J7</t>
  </si>
  <si>
    <t>J8</t>
  </si>
  <si>
    <t>J9</t>
  </si>
  <si>
    <t>T1</t>
    <phoneticPr fontId="8" type="noConversion"/>
  </si>
  <si>
    <t>T2</t>
  </si>
  <si>
    <t>T3</t>
  </si>
  <si>
    <t>T4</t>
  </si>
  <si>
    <t>T5</t>
  </si>
  <si>
    <t>T6</t>
  </si>
  <si>
    <t>T7</t>
  </si>
  <si>
    <t>X1</t>
    <phoneticPr fontId="8" type="noConversion"/>
  </si>
  <si>
    <t>X2</t>
  </si>
  <si>
    <t>X3</t>
  </si>
  <si>
    <t>X4</t>
  </si>
  <si>
    <t>X5</t>
  </si>
  <si>
    <t>X6</t>
    <phoneticPr fontId="8" type="noConversion"/>
  </si>
  <si>
    <t>X7</t>
    <phoneticPr fontId="8" type="noConversion"/>
  </si>
  <si>
    <t>所属行政区</t>
    <phoneticPr fontId="13" type="noConversion"/>
  </si>
  <si>
    <t>思明</t>
    <phoneticPr fontId="13" type="noConversion"/>
  </si>
  <si>
    <t>评价</t>
    <phoneticPr fontId="1" type="noConversion"/>
  </si>
  <si>
    <t>好</t>
  </si>
  <si>
    <t>好</t>
    <phoneticPr fontId="1" type="noConversion"/>
  </si>
  <si>
    <t>较好</t>
    <phoneticPr fontId="1" type="noConversion"/>
  </si>
  <si>
    <t>一般</t>
  </si>
  <si>
    <t>一般</t>
    <phoneticPr fontId="1" type="noConversion"/>
  </si>
  <si>
    <t>楼层评价</t>
    <phoneticPr fontId="13" type="noConversion"/>
  </si>
  <si>
    <t>适中</t>
    <phoneticPr fontId="13" type="noConversion"/>
  </si>
  <si>
    <t xml:space="preserve">距市政府约7公里，距湖里区政府约3公里 </t>
    <phoneticPr fontId="13" type="noConversion"/>
  </si>
  <si>
    <t>高</t>
    <phoneticPr fontId="1" type="noConversion"/>
  </si>
  <si>
    <t>较高</t>
  </si>
  <si>
    <t>较高</t>
    <phoneticPr fontId="1" type="noConversion"/>
  </si>
  <si>
    <t>方便</t>
  </si>
  <si>
    <t>方便</t>
    <phoneticPr fontId="1" type="noConversion"/>
  </si>
  <si>
    <t>较方便</t>
    <phoneticPr fontId="1" type="noConversion"/>
  </si>
  <si>
    <t>不方便</t>
    <phoneticPr fontId="1" type="noConversion"/>
  </si>
  <si>
    <t>基础设施</t>
    <phoneticPr fontId="1" type="noConversion"/>
  </si>
  <si>
    <t>五通</t>
    <phoneticPr fontId="1" type="noConversion"/>
  </si>
  <si>
    <t>六通</t>
    <phoneticPr fontId="1" type="noConversion"/>
  </si>
  <si>
    <t>三通</t>
    <phoneticPr fontId="1" type="noConversion"/>
  </si>
  <si>
    <t>我还没写</t>
    <phoneticPr fontId="1" type="noConversion"/>
  </si>
  <si>
    <t>建设银行、中国银行、明发商业广场</t>
    <phoneticPr fontId="13" type="noConversion"/>
  </si>
  <si>
    <t>全面满足</t>
  </si>
  <si>
    <t>全面满足</t>
    <phoneticPr fontId="1" type="noConversion"/>
  </si>
  <si>
    <t>满足</t>
    <phoneticPr fontId="1" type="noConversion"/>
  </si>
  <si>
    <t>自然环境</t>
    <phoneticPr fontId="13" type="noConversion"/>
  </si>
  <si>
    <t>人文环境</t>
    <phoneticPr fontId="13" type="noConversion"/>
  </si>
  <si>
    <t>景观</t>
    <phoneticPr fontId="13" type="noConversion"/>
  </si>
  <si>
    <t>附近区域为较具规模的生活区，绿化面积较大，环境较整洁，无空气、噪声、水、固体废物等污染，周边没有高压输电线路、无线发射塔、垃圾站、公共厕所等，自然环境较好。</t>
    <phoneticPr fontId="13" type="noConversion"/>
  </si>
  <si>
    <t>附近区域房地产声誉较好，居民素质较高，治安状况较好，相邻房地产的利用状况以（住宅、商业）为主，人文环境较好。</t>
    <phoneticPr fontId="13" type="noConversion"/>
  </si>
  <si>
    <t>四至</t>
    <phoneticPr fontId="13" type="noConversion"/>
  </si>
  <si>
    <t>宗地面积评价</t>
    <phoneticPr fontId="13" type="noConversion"/>
  </si>
  <si>
    <t>宗地面积适中</t>
  </si>
  <si>
    <t>地基坚实，承载力较高。</t>
    <phoneticPr fontId="13" type="noConversion"/>
  </si>
  <si>
    <t>地质条件较好，无不良地质现象，亦无土壤污染。</t>
    <phoneticPr fontId="13" type="noConversion"/>
  </si>
  <si>
    <t>（即通路、通上水、下水、通电、通讯、通管道煤气）</t>
    <phoneticPr fontId="1" type="noConversion"/>
  </si>
  <si>
    <t>（即通路、通上水、下水、通电、通讯）</t>
    <phoneticPr fontId="1" type="noConversion"/>
  </si>
  <si>
    <t>东至故宫路，南至厦禾路，西至湖滨南路，北至禾祥西路。</t>
    <phoneticPr fontId="13" type="noConversion"/>
  </si>
  <si>
    <t>土地形状</t>
    <phoneticPr fontId="13" type="noConversion"/>
  </si>
  <si>
    <t>地    形</t>
    <phoneticPr fontId="13" type="noConversion"/>
  </si>
  <si>
    <t>地    势</t>
    <phoneticPr fontId="13" type="noConversion"/>
  </si>
  <si>
    <t>地    基</t>
    <phoneticPr fontId="13" type="noConversion"/>
  </si>
  <si>
    <t>地质及土壤</t>
    <phoneticPr fontId="13" type="noConversion"/>
  </si>
  <si>
    <t>电梯</t>
    <phoneticPr fontId="13" type="noConversion"/>
  </si>
  <si>
    <t>设施设备</t>
    <phoneticPr fontId="13" type="noConversion"/>
  </si>
  <si>
    <t>几梯几户</t>
    <phoneticPr fontId="13" type="noConversion"/>
  </si>
  <si>
    <t>实验小学</t>
    <phoneticPr fontId="13" type="noConversion"/>
  </si>
  <si>
    <t>木地板</t>
  </si>
  <si>
    <t>涂料</t>
  </si>
  <si>
    <t>地砖</t>
  </si>
  <si>
    <t>防滑砖</t>
  </si>
  <si>
    <t>瓷砖贴面</t>
  </si>
  <si>
    <t>塑料扣板</t>
  </si>
  <si>
    <t>洗脸台、抽水马桶</t>
  </si>
  <si>
    <t>铝合金窗；入户门为防盗门，分户门为实木门；水、电、通信、网络等配套设施齐全</t>
  </si>
  <si>
    <t>装修（地板）</t>
    <phoneticPr fontId="1" type="noConversion"/>
  </si>
  <si>
    <t>装修（墙）</t>
    <phoneticPr fontId="1" type="noConversion"/>
  </si>
  <si>
    <t>装修（天棚）</t>
    <phoneticPr fontId="1" type="noConversion"/>
  </si>
  <si>
    <t>木地板</t>
    <phoneticPr fontId="1" type="noConversion"/>
  </si>
  <si>
    <t>地砖</t>
    <phoneticPr fontId="1" type="noConversion"/>
  </si>
  <si>
    <t>防滑砖</t>
    <phoneticPr fontId="1" type="noConversion"/>
  </si>
  <si>
    <t>涂料</t>
    <phoneticPr fontId="1" type="noConversion"/>
  </si>
  <si>
    <t>瓷砖贴面</t>
    <phoneticPr fontId="1" type="noConversion"/>
  </si>
  <si>
    <t>墙纸</t>
    <phoneticPr fontId="1" type="noConversion"/>
  </si>
  <si>
    <t>木吊顶</t>
    <phoneticPr fontId="1" type="noConversion"/>
  </si>
  <si>
    <t>塑料扣板</t>
    <phoneticPr fontId="1" type="noConversion"/>
  </si>
  <si>
    <t>铝塑扣板</t>
  </si>
  <si>
    <t>铝塑扣板</t>
    <phoneticPr fontId="1" type="noConversion"/>
  </si>
  <si>
    <t>室内二次装修标准</t>
    <phoneticPr fontId="13" type="noConversion"/>
  </si>
  <si>
    <t>公共部位装修</t>
    <phoneticPr fontId="13" type="noConversion"/>
  </si>
  <si>
    <t>层高</t>
    <phoneticPr fontId="13" type="noConversion"/>
  </si>
  <si>
    <t>建筑功能</t>
    <phoneticPr fontId="13" type="noConversion"/>
  </si>
  <si>
    <t>工程质量</t>
    <phoneticPr fontId="13" type="noConversion"/>
  </si>
  <si>
    <t>建筑物使用正常，在可视范围内未发现重大质量问题。</t>
    <phoneticPr fontId="13" type="noConversion"/>
  </si>
  <si>
    <t>外观</t>
    <phoneticPr fontId="13" type="noConversion"/>
  </si>
  <si>
    <t>户型</t>
    <phoneticPr fontId="13" type="noConversion"/>
  </si>
  <si>
    <t>建筑物外墙</t>
    <phoneticPr fontId="13" type="noConversion"/>
  </si>
  <si>
    <t>墙砖</t>
    <phoneticPr fontId="13" type="noConversion"/>
  </si>
  <si>
    <t>物业管理</t>
    <phoneticPr fontId="1" type="noConversion"/>
  </si>
  <si>
    <t>全封闭式物业管理</t>
    <phoneticPr fontId="1" type="noConversion"/>
  </si>
  <si>
    <t>半封闭式物业管理</t>
    <phoneticPr fontId="1" type="noConversion"/>
  </si>
  <si>
    <t>开放式物业管理</t>
    <phoneticPr fontId="1" type="noConversion"/>
  </si>
  <si>
    <t>基本完好房</t>
    <phoneticPr fontId="1" type="noConversion"/>
  </si>
  <si>
    <t>于实地查勘之日，估价对象房屋基础稳固性较好，无超过允许范围的不均匀沉降，墙面、楼地面、门窗等未出现明显破损情况，使用正常，维护状况较好，为基本完好房。</t>
    <phoneticPr fontId="1" type="noConversion"/>
  </si>
  <si>
    <t>半封闭式物业管理</t>
    <phoneticPr fontId="13" type="noConversion"/>
  </si>
  <si>
    <t>无</t>
    <phoneticPr fontId="13" type="noConversion"/>
  </si>
  <si>
    <t>手续齐全，权属清晰，无争议。</t>
    <phoneticPr fontId="13" type="noConversion"/>
  </si>
  <si>
    <t>维护状况和完损状况</t>
    <phoneticPr fontId="13" type="noConversion"/>
  </si>
  <si>
    <t>租赁或占用情况</t>
    <phoneticPr fontId="13" type="noConversion"/>
  </si>
  <si>
    <t>实际用途</t>
    <phoneticPr fontId="13" type="noConversion"/>
  </si>
  <si>
    <t>容积率</t>
    <phoneticPr fontId="13" type="noConversion"/>
  </si>
  <si>
    <t>权属清晰情况</t>
    <phoneticPr fontId="13" type="noConversion"/>
  </si>
  <si>
    <t>绿化率</t>
    <phoneticPr fontId="13" type="noConversion"/>
  </si>
  <si>
    <t>物业管理水平</t>
    <phoneticPr fontId="13" type="noConversion"/>
  </si>
  <si>
    <t>地面</t>
    <phoneticPr fontId="13" type="noConversion"/>
  </si>
  <si>
    <t>墙面</t>
    <phoneticPr fontId="13" type="noConversion"/>
  </si>
  <si>
    <t>天棚</t>
    <phoneticPr fontId="13" type="noConversion"/>
  </si>
  <si>
    <t>备注</t>
    <phoneticPr fontId="13" type="noConversion"/>
  </si>
  <si>
    <t>卧室</t>
    <phoneticPr fontId="13" type="noConversion"/>
  </si>
  <si>
    <t>客厅</t>
    <phoneticPr fontId="13" type="noConversion"/>
  </si>
  <si>
    <t>厨房</t>
    <phoneticPr fontId="13" type="noConversion"/>
  </si>
  <si>
    <t>卫生间</t>
    <phoneticPr fontId="13" type="noConversion"/>
  </si>
  <si>
    <t>其他</t>
    <phoneticPr fontId="13" type="noConversion"/>
  </si>
  <si>
    <t>住宅</t>
    <phoneticPr fontId="13" type="noConversion"/>
  </si>
  <si>
    <t>委托人地址</t>
    <phoneticPr fontId="13" type="noConversion"/>
  </si>
  <si>
    <t>证书类型</t>
    <phoneticPr fontId="13" type="noConversion"/>
  </si>
  <si>
    <t>证号</t>
    <phoneticPr fontId="13" type="noConversion"/>
  </si>
  <si>
    <t>《厦门市土地房屋权证》(厦地房证第</t>
  </si>
  <si>
    <t>财产范围</t>
    <phoneticPr fontId="13" type="noConversion"/>
  </si>
  <si>
    <t>合法性分析</t>
    <phoneticPr fontId="13" type="noConversion"/>
  </si>
  <si>
    <t>价值类型</t>
    <phoneticPr fontId="13" type="noConversion"/>
  </si>
  <si>
    <t>估价目的</t>
    <phoneticPr fontId="13" type="noConversion"/>
  </si>
  <si>
    <t>项目名称</t>
    <phoneticPr fontId="13" type="noConversion"/>
  </si>
  <si>
    <t>估价对象已办理权属证书，抵押人依法有权处分，属于法律法规规定可以抵押的财产；并且估价对象房屋所有权、土地使用权权属明确，没有争议，未列入征收范围，未受到查封、扣押、监管或者以其他形式限制，可在公开市场上自由转让，不属于《中华人民共和国城市房地产管理法》、《中华人民共和国物权法》、《中华人民共和国担保法》、《城市房地产抵押管理办法》等法律、行政法规规定不得抵押的财产；因此估价对象作为抵押房地产，是合法的。</t>
    <phoneticPr fontId="13" type="noConversion"/>
  </si>
  <si>
    <t>说明：绿色部分不动；咖色部分可修改；黄色部分会自动生成，视情况修改；白色部分可修改，但大部分情况下不需要更改</t>
    <phoneticPr fontId="1" type="noConversion"/>
  </si>
  <si>
    <t>拟使用银行</t>
    <phoneticPr fontId="13" type="noConversion"/>
  </si>
  <si>
    <t>招商银行</t>
    <phoneticPr fontId="13" type="noConversion"/>
  </si>
  <si>
    <r>
      <t>0</t>
    </r>
    <r>
      <rPr>
        <sz val="11"/>
        <color theme="1"/>
        <rFont val="宋体"/>
        <family val="3"/>
        <charset val="134"/>
        <scheme val="minor"/>
      </rPr>
      <t>0441854</t>
    </r>
    <phoneticPr fontId="13" type="noConversion"/>
  </si>
  <si>
    <r>
      <t>2</t>
    </r>
    <r>
      <rPr>
        <sz val="11"/>
        <color theme="1"/>
        <rFont val="宋体"/>
        <family val="3"/>
        <charset val="134"/>
        <scheme val="minor"/>
      </rPr>
      <t>004年购买商品房</t>
    </r>
    <phoneticPr fontId="13" type="noConversion"/>
  </si>
  <si>
    <r>
      <t>5</t>
    </r>
    <r>
      <rPr>
        <sz val="11"/>
        <color theme="1"/>
        <rFont val="宋体"/>
        <family val="3"/>
        <charset val="134"/>
        <scheme val="minor"/>
      </rPr>
      <t>-14-2</t>
    </r>
    <phoneticPr fontId="13" type="noConversion"/>
  </si>
  <si>
    <t>包括建筑物价值（不含室内二次装修）及分摊的土地使用权价值（含土地出让金），不包括动产、债权债务、特许经营权等其他财产或权益。</t>
    <phoneticPr fontId="13" type="noConversion"/>
  </si>
  <si>
    <t>住宅房地产</t>
    <phoneticPr fontId="13" type="noConversion"/>
  </si>
  <si>
    <t>评估类型</t>
    <phoneticPr fontId="13" type="noConversion"/>
  </si>
  <si>
    <t>【委托人地址】</t>
    <phoneticPr fontId="13" type="noConversion"/>
  </si>
  <si>
    <t>作业日期起/止/勘察日期</t>
    <phoneticPr fontId="13" type="noConversion"/>
  </si>
  <si>
    <t>半年</t>
  </si>
  <si>
    <t>区域内有（    ），周边环境条件较好，景观较好。</t>
    <phoneticPr fontId="13" type="noConversion"/>
  </si>
  <si>
    <t>建筑物外墙面为涂料；电梯厅等公共部位地面铺地砖，内墙面及天棚水泥漆罩面；楼梯间普通装修，不绣钢栏杆、扶手；估价对象室内为普通二次装修。</t>
    <phoneticPr fontId="13" type="noConversion"/>
  </si>
  <si>
    <t>查封等限制权利情况</t>
    <phoneticPr fontId="13" type="noConversion"/>
  </si>
  <si>
    <t>建筑样式新颖，外观较好。</t>
    <phoneticPr fontId="13" type="noConversion"/>
  </si>
  <si>
    <t>公建评价</t>
    <phoneticPr fontId="8" type="noConversion"/>
  </si>
  <si>
    <t>小区临路状况</t>
    <phoneticPr fontId="8" type="noConversion"/>
  </si>
  <si>
    <t>【小区主入口临路】</t>
    <phoneticPr fontId="8" type="noConversion"/>
  </si>
  <si>
    <t>好</t>
    <phoneticPr fontId="8" type="noConversion"/>
  </si>
  <si>
    <t>位于小区内部</t>
    <phoneticPr fontId="8" type="noConversion"/>
  </si>
  <si>
    <t>楼幢朝向</t>
    <phoneticPr fontId="8" type="noConversion"/>
  </si>
  <si>
    <t>南北</t>
    <phoneticPr fontId="8" type="noConversion"/>
  </si>
  <si>
    <t>估价对象位置</t>
    <phoneticPr fontId="8" type="noConversion"/>
  </si>
  <si>
    <t>附近小区</t>
    <phoneticPr fontId="8" type="noConversion"/>
  </si>
  <si>
    <t>裕兴花园、江村丽苑</t>
    <phoneticPr fontId="8" type="noConversion"/>
  </si>
  <si>
    <t>生活</t>
    <phoneticPr fontId="8" type="noConversion"/>
  </si>
  <si>
    <t>聚集度评价</t>
    <phoneticPr fontId="8" type="noConversion"/>
  </si>
  <si>
    <t>高</t>
    <phoneticPr fontId="8" type="noConversion"/>
  </si>
  <si>
    <t>周边主干道</t>
    <phoneticPr fontId="8" type="noConversion"/>
  </si>
  <si>
    <t>厦禾路、禾祥西路、角滨路</t>
    <phoneticPr fontId="8" type="noConversion"/>
  </si>
  <si>
    <t>通达度评价</t>
    <phoneticPr fontId="8" type="noConversion"/>
  </si>
  <si>
    <t>公交站</t>
    <phoneticPr fontId="8" type="noConversion"/>
  </si>
  <si>
    <t>经过的线路</t>
    <phoneticPr fontId="8" type="noConversion"/>
  </si>
  <si>
    <t>交通管制</t>
    <phoneticPr fontId="8" type="noConversion"/>
  </si>
  <si>
    <t>无特殊交通管制</t>
    <phoneticPr fontId="8" type="noConversion"/>
  </si>
  <si>
    <t>停车方便程度</t>
    <phoneticPr fontId="8" type="noConversion"/>
  </si>
  <si>
    <t>小区设有地面停车场，地下有停车库</t>
    <phoneticPr fontId="8" type="noConversion"/>
  </si>
  <si>
    <t>开发程度（红线外）</t>
    <phoneticPr fontId="8" type="noConversion"/>
  </si>
  <si>
    <t>开发程度（红线内）</t>
    <phoneticPr fontId="8" type="noConversion"/>
  </si>
  <si>
    <t>小区临路评价</t>
    <phoneticPr fontId="8" type="noConversion"/>
  </si>
  <si>
    <t>楼幢位置评价</t>
    <phoneticPr fontId="8" type="noConversion"/>
  </si>
  <si>
    <t>较好</t>
    <phoneticPr fontId="13" type="noConversion"/>
  </si>
  <si>
    <t>较高</t>
    <phoneticPr fontId="13" type="noConversion"/>
  </si>
  <si>
    <t>便捷度评价</t>
    <phoneticPr fontId="13" type="noConversion"/>
  </si>
  <si>
    <t>停车方便评价</t>
    <phoneticPr fontId="13" type="noConversion"/>
  </si>
  <si>
    <t>[委托人]</t>
    <phoneticPr fontId="13" type="noConversion"/>
  </si>
  <si>
    <t>抵押价值</t>
  </si>
  <si>
    <t>抵押价值</t>
    <phoneticPr fontId="1" type="noConversion"/>
  </si>
  <si>
    <t>抵押价值1</t>
    <phoneticPr fontId="1" type="noConversion"/>
  </si>
  <si>
    <t>抵押价值2</t>
  </si>
  <si>
    <t>抵押价值3</t>
  </si>
  <si>
    <t>抵押价值4</t>
  </si>
  <si>
    <t>抵押价值5</t>
  </si>
  <si>
    <t>[权属人]</t>
    <phoneticPr fontId="13" type="noConversion"/>
  </si>
  <si>
    <t>评估用途/实际用途</t>
    <phoneticPr fontId="13" type="noConversion"/>
  </si>
  <si>
    <t>小区类型</t>
    <phoneticPr fontId="13" type="noConversion"/>
  </si>
  <si>
    <t>滨北站</t>
    <phoneticPr fontId="8" type="noConversion"/>
  </si>
  <si>
    <t>[房屋用途]</t>
    <phoneticPr fontId="13" type="noConversion"/>
  </si>
  <si>
    <t>[土地用途]</t>
    <phoneticPr fontId="13" type="noConversion"/>
  </si>
  <si>
    <t>[评估用途]</t>
    <phoneticPr fontId="13" type="noConversion"/>
  </si>
  <si>
    <t>[实际用途]</t>
    <phoneticPr fontId="13" type="noConversion"/>
  </si>
  <si>
    <t>[国有建设出让用地]</t>
    <phoneticPr fontId="13" type="noConversion"/>
  </si>
  <si>
    <t>钢混结构</t>
    <phoneticPr fontId="1" type="noConversion"/>
  </si>
  <si>
    <t>砖混结构</t>
    <phoneticPr fontId="1" type="noConversion"/>
  </si>
  <si>
    <t>勘察估价员</t>
    <phoneticPr fontId="13" type="noConversion"/>
  </si>
  <si>
    <t>撰稿估价员</t>
    <phoneticPr fontId="13" type="noConversion"/>
  </si>
  <si>
    <t>[小区名称]</t>
    <phoneticPr fontId="13" type="noConversion"/>
  </si>
  <si>
    <t>王亿彬</t>
    <phoneticPr fontId="26" type="noConversion"/>
  </si>
  <si>
    <t>陈锦钦</t>
    <phoneticPr fontId="26" type="noConversion"/>
  </si>
  <si>
    <t>金忠</t>
    <phoneticPr fontId="26" type="noConversion"/>
  </si>
  <si>
    <t>邱宏达</t>
    <phoneticPr fontId="26" type="noConversion"/>
  </si>
  <si>
    <t>廖亚香</t>
    <phoneticPr fontId="26" type="noConversion"/>
  </si>
  <si>
    <t>陈丽华</t>
    <phoneticPr fontId="26" type="noConversion"/>
  </si>
  <si>
    <t>朱黎英</t>
    <phoneticPr fontId="26" type="noConversion"/>
  </si>
  <si>
    <t>吴木兰</t>
    <phoneticPr fontId="26" type="noConversion"/>
  </si>
  <si>
    <t>项争</t>
    <phoneticPr fontId="26" type="noConversion"/>
  </si>
  <si>
    <t>陈志艳</t>
    <phoneticPr fontId="26" type="noConversion"/>
  </si>
  <si>
    <t>贾琴</t>
    <phoneticPr fontId="26" type="noConversion"/>
  </si>
  <si>
    <t>黄燕翔</t>
    <phoneticPr fontId="26" type="noConversion"/>
  </si>
  <si>
    <t>张俊林</t>
    <phoneticPr fontId="26" type="noConversion"/>
  </si>
  <si>
    <t>陈玉炜</t>
    <phoneticPr fontId="26" type="noConversion"/>
  </si>
  <si>
    <t>伍雄</t>
    <phoneticPr fontId="26" type="noConversion"/>
  </si>
  <si>
    <t>王梓瀛</t>
    <phoneticPr fontId="26" type="noConversion"/>
  </si>
  <si>
    <t>陈幼梅</t>
    <phoneticPr fontId="26" type="noConversion"/>
  </si>
  <si>
    <t>陈军勇</t>
    <phoneticPr fontId="26" type="noConversion"/>
  </si>
  <si>
    <t>蔡翠娇</t>
    <phoneticPr fontId="26" type="noConversion"/>
  </si>
  <si>
    <t>询价</t>
    <phoneticPr fontId="26" type="noConversion"/>
  </si>
  <si>
    <t>林晓</t>
    <phoneticPr fontId="26" type="noConversion"/>
  </si>
  <si>
    <t>李志林</t>
    <phoneticPr fontId="26" type="noConversion"/>
  </si>
  <si>
    <t>陈淑华</t>
    <phoneticPr fontId="26" type="noConversion"/>
  </si>
  <si>
    <t>吴丽敏</t>
    <phoneticPr fontId="26" type="noConversion"/>
  </si>
  <si>
    <t>匡滨</t>
    <phoneticPr fontId="26" type="noConversion"/>
  </si>
  <si>
    <t>李成军</t>
    <phoneticPr fontId="26" type="noConversion"/>
  </si>
  <si>
    <t>吴福海</t>
    <phoneticPr fontId="26" type="noConversion"/>
  </si>
  <si>
    <t>杨惠芝</t>
    <phoneticPr fontId="26" type="noConversion"/>
  </si>
  <si>
    <t>官丽念</t>
    <phoneticPr fontId="26" type="noConversion"/>
  </si>
  <si>
    <t>耿瑞泽</t>
    <phoneticPr fontId="26" type="noConversion"/>
  </si>
  <si>
    <t>李智婕</t>
    <phoneticPr fontId="26" type="noConversion"/>
  </si>
  <si>
    <t>张少芬</t>
    <phoneticPr fontId="26" type="noConversion"/>
  </si>
  <si>
    <t>刘一兰</t>
    <phoneticPr fontId="26" type="noConversion"/>
  </si>
  <si>
    <t>黄艺新</t>
    <phoneticPr fontId="26" type="noConversion"/>
  </si>
  <si>
    <t>李艳艳</t>
    <phoneticPr fontId="26" type="noConversion"/>
  </si>
  <si>
    <t>张德银</t>
    <phoneticPr fontId="26" type="noConversion"/>
  </si>
  <si>
    <t>陈如艳</t>
    <phoneticPr fontId="26" type="noConversion"/>
  </si>
  <si>
    <t>江芳芹</t>
    <phoneticPr fontId="26" type="noConversion"/>
  </si>
  <si>
    <t>王祥</t>
    <phoneticPr fontId="26" type="noConversion"/>
  </si>
  <si>
    <t>马文澜</t>
    <phoneticPr fontId="26" type="noConversion"/>
  </si>
  <si>
    <t>黄芳</t>
    <phoneticPr fontId="26" type="noConversion"/>
  </si>
  <si>
    <t>陈淑贞</t>
    <phoneticPr fontId="26" type="noConversion"/>
  </si>
  <si>
    <t>林雪芳</t>
    <phoneticPr fontId="26" type="noConversion"/>
  </si>
  <si>
    <t>黄纪枫</t>
    <phoneticPr fontId="26" type="noConversion"/>
  </si>
  <si>
    <t>游加丽</t>
    <phoneticPr fontId="26" type="noConversion"/>
  </si>
  <si>
    <t>黄菁</t>
    <phoneticPr fontId="26" type="noConversion"/>
  </si>
  <si>
    <t>张幼云</t>
    <phoneticPr fontId="26" type="noConversion"/>
  </si>
  <si>
    <t>许贺恩</t>
    <phoneticPr fontId="26" type="noConversion"/>
  </si>
  <si>
    <t>李信才</t>
    <phoneticPr fontId="26" type="noConversion"/>
  </si>
  <si>
    <t>朱黎英</t>
  </si>
  <si>
    <t>该用地形状呈大致长方形，较规则，有利于项目的开发建设。</t>
    <phoneticPr fontId="13" type="noConversion"/>
  </si>
  <si>
    <t>六通一平</t>
    <phoneticPr fontId="1" type="noConversion"/>
  </si>
  <si>
    <t>五通一平</t>
    <phoneticPr fontId="1" type="noConversion"/>
  </si>
  <si>
    <t>（即通路、通上水、下水、通电、通讯及场地平整）</t>
    <phoneticPr fontId="1" type="noConversion"/>
  </si>
  <si>
    <t>（即通路、通上水、下水、通电、通讯、通管道煤气及场地平整）</t>
    <phoneticPr fontId="1" type="noConversion"/>
  </si>
  <si>
    <t>有数字电视、楼宇防盗对讲系统、水电、通讯、网络、管道燃气等配套设施设备比较齐全，能满足正常使用</t>
    <phoneticPr fontId="13" type="noConversion"/>
  </si>
  <si>
    <t>二梯三户</t>
    <phoneticPr fontId="13" type="noConversion"/>
  </si>
  <si>
    <t>无占用情况</t>
    <phoneticPr fontId="13" type="noConversion"/>
  </si>
  <si>
    <t>自用无租赁</t>
    <phoneticPr fontId="13" type="noConversion"/>
  </si>
  <si>
    <t>于实地查勘之日，估价对象房屋基础稳固性较好，无超过允许范围的不均匀沉降，墙面、楼地面、门窗等未出现明显破损情况，</t>
    <phoneticPr fontId="1" type="noConversion"/>
  </si>
  <si>
    <t>使用正常，维护状况较好，为完好房。</t>
    <phoneticPr fontId="1" type="noConversion"/>
  </si>
  <si>
    <t>东南</t>
    <phoneticPr fontId="8" type="noConversion"/>
  </si>
  <si>
    <t>价值内涵</t>
    <phoneticPr fontId="13" type="noConversion"/>
  </si>
  <si>
    <t>没有扣除预期实现抵押权的费用和税金，付款方式是一次性付款，面积内涵是房屋建筑面积。</t>
    <phoneticPr fontId="13" type="noConversion"/>
  </si>
  <si>
    <t>地形平坦，便于项目规划布置。</t>
    <phoneticPr fontId="13" type="noConversion"/>
  </si>
  <si>
    <t>地势缓和，排水畅通，不容易受到降雨、积水等影响，便于土地开发利用。</t>
    <phoneticPr fontId="13" type="noConversion"/>
  </si>
  <si>
    <t>建筑物已使用年限</t>
    <phoneticPr fontId="13" type="noConversion"/>
  </si>
  <si>
    <t>担保物权</t>
    <phoneticPr fontId="13" type="noConversion"/>
  </si>
  <si>
    <t>未设立抵押权等担保物权</t>
    <phoneticPr fontId="13" type="noConversion"/>
  </si>
  <si>
    <t>拖欠税费情况</t>
    <phoneticPr fontId="13" type="noConversion"/>
  </si>
  <si>
    <t>使用正常，维护状况较好，为完好房。</t>
    <phoneticPr fontId="13" type="noConversion"/>
  </si>
  <si>
    <t>明发半岛祥湾</t>
  </si>
  <si>
    <t>翔安区浦园一里8号501室</t>
  </si>
  <si>
    <t>翔安</t>
  </si>
  <si>
    <t>2016-11-01 23:59:59.0</t>
  </si>
  <si>
    <t>正常</t>
  </si>
  <si>
    <t>27228.0000</t>
  </si>
  <si>
    <t>110.18</t>
  </si>
  <si>
    <t>5</t>
  </si>
  <si>
    <t>2014-01-01 11:06:12.0</t>
  </si>
  <si>
    <t>780、656、751、703路等线路</t>
  </si>
  <si>
    <t>翔安大道</t>
  </si>
  <si>
    <t>六通，附近有翔安区浦园小学、肖厝小学、利百家超市、见福便利店、交通银行、农村商业银行</t>
  </si>
  <si>
    <t/>
  </si>
  <si>
    <t>翔安区浦园一里9号1601室</t>
  </si>
  <si>
    <t>2017-02-16 00:00:00.0</t>
  </si>
  <si>
    <t>28744.0000</t>
  </si>
  <si>
    <t>87.67</t>
  </si>
  <si>
    <t>16</t>
  </si>
  <si>
    <t>中档装修</t>
  </si>
  <si>
    <t>锦绣祥安</t>
  </si>
  <si>
    <t>翔安区五星二里2号1706室</t>
  </si>
  <si>
    <t>2017-01-01 23:59:59.0</t>
  </si>
  <si>
    <t>24004.0000</t>
  </si>
  <si>
    <t>56.24</t>
  </si>
  <si>
    <t>南</t>
  </si>
  <si>
    <t>17</t>
  </si>
  <si>
    <t>2009-01-01 11:06:12.0</t>
  </si>
  <si>
    <t>710路、719路、754路</t>
  </si>
  <si>
    <t>临舫阳北路</t>
  </si>
  <si>
    <t>六通，周边新华都购物广场、厦门第五医院、祥安商业广场、工商银行、建设银行、兴业银行等生活设施逐步齐全，聚集了马巷中心幼儿园、马巷中心小学、舫阳小学等文教系统</t>
  </si>
  <si>
    <t>翔安区五星二里9号301室</t>
  </si>
  <si>
    <t>2016-09-01 23:59:59.0</t>
  </si>
  <si>
    <t>22573.0000</t>
  </si>
  <si>
    <t>110.75</t>
  </si>
  <si>
    <t>3</t>
  </si>
  <si>
    <t>710、719、754</t>
  </si>
  <si>
    <t>六通，周边新华都超市、马巷中心卫生院、马巷镇镇政府、马巷中心幼儿园、马巷中心小学、厦门第一中学翔安分校</t>
  </si>
  <si>
    <t>翔安区五星七里10号803室</t>
  </si>
  <si>
    <t>24065.0000</t>
  </si>
  <si>
    <t>72.72</t>
  </si>
  <si>
    <t>8</t>
  </si>
  <si>
    <t>710、719、754等</t>
  </si>
  <si>
    <t>翔安区五星三里10号1401室</t>
  </si>
  <si>
    <t>21744.0000</t>
  </si>
  <si>
    <t>82.78</t>
  </si>
  <si>
    <t>14</t>
  </si>
  <si>
    <t>2010-01-01 11:06:12.0</t>
  </si>
  <si>
    <t>翔安区五星三里2号1007室</t>
  </si>
  <si>
    <t>24108.0000</t>
  </si>
  <si>
    <t>86.28</t>
  </si>
  <si>
    <t>东北</t>
  </si>
  <si>
    <t>10</t>
  </si>
  <si>
    <t>翔安区五星三里6号1604室</t>
  </si>
  <si>
    <t>2016-12-01 23:59:59.0</t>
  </si>
  <si>
    <t>20844.0000</t>
  </si>
  <si>
    <t>81.56</t>
  </si>
  <si>
    <t>翔安北路</t>
  </si>
  <si>
    <t>东方新城</t>
  </si>
  <si>
    <t>翔安区祥福二里38号502室</t>
  </si>
  <si>
    <t>2016-12-16 00:00:00.0</t>
  </si>
  <si>
    <t>23983.0000</t>
  </si>
  <si>
    <t>74.22</t>
  </si>
  <si>
    <t>2012-01-01 11:06:12.0</t>
  </si>
  <si>
    <t>无电梯</t>
  </si>
  <si>
    <t>705路;708路;716路</t>
  </si>
  <si>
    <t>祥福路</t>
  </si>
  <si>
    <t>六通，附近有翔安市民商业广场、青少年宫、翔安体育中心、人人乐购物广场、中影国际影视城</t>
  </si>
  <si>
    <t>翔安区祥福二里40号401室</t>
  </si>
  <si>
    <t>2016-12-02 00:00:00.0</t>
  </si>
  <si>
    <t>23927.0000</t>
  </si>
  <si>
    <t>75.23</t>
  </si>
  <si>
    <t>4</t>
  </si>
  <si>
    <t>项目坐落</t>
  </si>
  <si>
    <t>所在区域</t>
  </si>
  <si>
    <t>用途</t>
  </si>
  <si>
    <t>交易日期</t>
  </si>
  <si>
    <t>交易情况</t>
  </si>
  <si>
    <t>交易价格</t>
  </si>
  <si>
    <t>户型</t>
  </si>
  <si>
    <t>层次</t>
  </si>
  <si>
    <t>建成年代</t>
  </si>
  <si>
    <t>装修情况</t>
  </si>
  <si>
    <t>是否有电梯</t>
  </si>
  <si>
    <t>交通条件及公交路线</t>
  </si>
  <si>
    <t>所临道路及繁华度</t>
  </si>
  <si>
    <t>配套设施</t>
  </si>
  <si>
    <t>环境景观</t>
  </si>
  <si>
    <t>[座落1][室号1]</t>
  </si>
  <si>
    <t>六通</t>
  </si>
  <si>
    <t>完善</t>
    <phoneticPr fontId="13" type="noConversion"/>
  </si>
  <si>
    <t>室内较明亮，空气流通，通风采光较好；建筑功能较好。</t>
    <phoneticPr fontId="13" type="noConversion"/>
  </si>
  <si>
    <t>对房地产价值无影响</t>
    <phoneticPr fontId="1" type="noConversion"/>
  </si>
  <si>
    <t>通风采光较好</t>
    <phoneticPr fontId="1" type="noConversion"/>
  </si>
  <si>
    <t>半封闭式物业管理</t>
    <phoneticPr fontId="1" type="noConversion"/>
  </si>
  <si>
    <t>楼梯房修正</t>
    <phoneticPr fontId="1" type="noConversion"/>
  </si>
  <si>
    <t>电梯房修正</t>
    <phoneticPr fontId="1" type="noConversion"/>
  </si>
  <si>
    <t>正常</t>
    <phoneticPr fontId="1" type="noConversion"/>
  </si>
  <si>
    <t>档次较高</t>
    <phoneticPr fontId="1" type="noConversion"/>
  </si>
  <si>
    <t>规模较大</t>
    <phoneticPr fontId="1" type="noConversion"/>
  </si>
  <si>
    <t>不计装饰装修</t>
    <phoneticPr fontId="1" type="noConversion"/>
  </si>
  <si>
    <t>无影响</t>
    <phoneticPr fontId="1" type="noConversion"/>
  </si>
  <si>
    <t>估价对象与案例A、B、C位于同一供应圈，其位置、交通状况、外部基础设施、周围环境状况均相似，不作调整。</t>
    <phoneticPr fontId="1" type="noConversion"/>
  </si>
  <si>
    <t>可比实例A、B、C均属正常交易，不存在特殊因素，不必进行修正，交易情况修正系数均取100/100。</t>
    <phoneticPr fontId="1" type="noConversion"/>
  </si>
  <si>
    <t>交易情况</t>
    <phoneticPr fontId="1" type="noConversion"/>
  </si>
  <si>
    <t>市场状况</t>
    <phoneticPr fontId="1" type="noConversion"/>
  </si>
  <si>
    <t>区位状况</t>
    <phoneticPr fontId="1" type="noConversion"/>
  </si>
  <si>
    <t>实物状况</t>
    <phoneticPr fontId="1" type="noConversion"/>
  </si>
  <si>
    <t>权益状况</t>
    <phoneticPr fontId="1" type="noConversion"/>
  </si>
  <si>
    <t>比较法计算结果</t>
    <phoneticPr fontId="1" type="noConversion"/>
  </si>
  <si>
    <t>每年修正</t>
    <phoneticPr fontId="8" type="noConversion"/>
  </si>
  <si>
    <t>每层调整</t>
    <phoneticPr fontId="8" type="noConversion"/>
  </si>
  <si>
    <t>估价对象指数</t>
    <phoneticPr fontId="8" type="noConversion"/>
  </si>
  <si>
    <t>A指数</t>
    <phoneticPr fontId="8" type="noConversion"/>
  </si>
  <si>
    <t>B指数</t>
    <phoneticPr fontId="8" type="noConversion"/>
  </si>
  <si>
    <t>C指数</t>
    <phoneticPr fontId="8" type="noConversion"/>
  </si>
  <si>
    <t>说明：咖色部分可修改；橄榄绿部分会自动生成，视情况修改；白色部分可修改，但大部分情况下不需要更改</t>
    <phoneticPr fontId="1" type="noConversion"/>
  </si>
  <si>
    <t>个人</t>
  </si>
  <si>
    <t>收益法结果</t>
    <phoneticPr fontId="1" type="noConversion"/>
  </si>
  <si>
    <t>比较法</t>
    <phoneticPr fontId="13" type="noConversion"/>
  </si>
  <si>
    <t>收益法</t>
    <phoneticPr fontId="13" type="noConversion"/>
  </si>
  <si>
    <t>比较法</t>
    <phoneticPr fontId="13" type="noConversion"/>
  </si>
  <si>
    <t>收益法</t>
    <phoneticPr fontId="13" type="noConversion"/>
  </si>
  <si>
    <t>总价</t>
    <phoneticPr fontId="13" type="noConversion"/>
  </si>
  <si>
    <t>总价</t>
    <phoneticPr fontId="13" type="noConversion"/>
  </si>
  <si>
    <t>计算结果（除了权重，其他不可修改）</t>
    <phoneticPr fontId="1" type="noConversion"/>
  </si>
  <si>
    <r>
      <t>可比实例A</t>
    </r>
    <r>
      <rPr>
        <vertAlign val="subscript"/>
        <sz val="10.5"/>
        <color theme="1"/>
        <rFont val="宋体"/>
        <family val="3"/>
        <charset val="134"/>
      </rPr>
      <t>2</t>
    </r>
  </si>
  <si>
    <r>
      <t>可比实例B</t>
    </r>
    <r>
      <rPr>
        <vertAlign val="subscript"/>
        <sz val="10.5"/>
        <color theme="1"/>
        <rFont val="宋体"/>
        <family val="3"/>
        <charset val="134"/>
      </rPr>
      <t>2</t>
    </r>
  </si>
  <si>
    <r>
      <t>可比实例C</t>
    </r>
    <r>
      <rPr>
        <vertAlign val="subscript"/>
        <sz val="10.5"/>
        <color theme="1"/>
        <rFont val="宋体"/>
        <family val="3"/>
        <charset val="134"/>
      </rPr>
      <t>2</t>
    </r>
  </si>
  <si>
    <t>银行家园</t>
  </si>
  <si>
    <t>租金单价</t>
  </si>
  <si>
    <t>南北不通透的朝南套</t>
  </si>
  <si>
    <t>南北不通透的朝西套</t>
  </si>
  <si>
    <t>层次/总层数</t>
  </si>
  <si>
    <t>第9层/19层（含地下1层）</t>
  </si>
  <si>
    <t>第12层/19层（含地下1层）</t>
  </si>
  <si>
    <t>第16层/19层（含地下1层）</t>
  </si>
  <si>
    <t>室内装修</t>
  </si>
  <si>
    <t>室内设备</t>
  </si>
  <si>
    <t>齐全</t>
  </si>
  <si>
    <t>建成年份</t>
  </si>
  <si>
    <t>2002年</t>
  </si>
  <si>
    <t>空间布局</t>
    <phoneticPr fontId="1" type="noConversion"/>
  </si>
  <si>
    <t>平层</t>
    <phoneticPr fontId="1" type="noConversion"/>
  </si>
  <si>
    <t>钢混结构</t>
    <phoneticPr fontId="1" type="noConversion"/>
  </si>
  <si>
    <t>规模</t>
    <phoneticPr fontId="1" type="noConversion"/>
  </si>
  <si>
    <t>建筑功能</t>
    <phoneticPr fontId="8" type="noConversion"/>
  </si>
  <si>
    <t>规划条件</t>
    <phoneticPr fontId="8" type="noConversion"/>
  </si>
  <si>
    <t>土地使用期限</t>
    <phoneticPr fontId="8" type="noConversion"/>
  </si>
  <si>
    <t>其他权利限制</t>
    <phoneticPr fontId="8" type="noConversion"/>
  </si>
  <si>
    <t>位置状况</t>
    <phoneticPr fontId="8" type="noConversion"/>
  </si>
  <si>
    <t>交通状况</t>
    <phoneticPr fontId="8" type="noConversion"/>
  </si>
  <si>
    <t>外部配套设施</t>
    <phoneticPr fontId="8" type="noConversion"/>
  </si>
  <si>
    <t>周围环境状况</t>
    <phoneticPr fontId="8" type="noConversion"/>
  </si>
  <si>
    <t>楼幢位置</t>
    <phoneticPr fontId="8" type="noConversion"/>
  </si>
  <si>
    <t>层次</t>
    <phoneticPr fontId="8" type="noConversion"/>
  </si>
  <si>
    <t>朝向</t>
    <phoneticPr fontId="8" type="noConversion"/>
  </si>
  <si>
    <t>小区规模</t>
    <phoneticPr fontId="8" type="noConversion"/>
  </si>
  <si>
    <t>小区档次</t>
    <phoneticPr fontId="8" type="noConversion"/>
  </si>
  <si>
    <t>建筑面积</t>
    <phoneticPr fontId="8" type="noConversion"/>
  </si>
  <si>
    <t>建筑结构</t>
    <phoneticPr fontId="8" type="noConversion"/>
  </si>
  <si>
    <t>设施设备</t>
    <phoneticPr fontId="8" type="noConversion"/>
  </si>
  <si>
    <t>空间布局</t>
    <phoneticPr fontId="8" type="noConversion"/>
  </si>
  <si>
    <t>装饰装修</t>
    <phoneticPr fontId="8" type="noConversion"/>
  </si>
  <si>
    <t>外观</t>
    <phoneticPr fontId="8" type="noConversion"/>
  </si>
  <si>
    <t>新旧程度</t>
    <phoneticPr fontId="8" type="noConversion"/>
  </si>
  <si>
    <t>物业管理</t>
    <phoneticPr fontId="8" type="noConversion"/>
  </si>
  <si>
    <t>座落</t>
    <phoneticPr fontId="8" type="noConversion"/>
  </si>
  <si>
    <t>交易情况</t>
    <phoneticPr fontId="8" type="noConversion"/>
  </si>
  <si>
    <t>成交日期</t>
    <phoneticPr fontId="8" type="noConversion"/>
  </si>
  <si>
    <t>修正说明</t>
    <phoneticPr fontId="8" type="noConversion"/>
  </si>
  <si>
    <t>因素名称</t>
    <phoneticPr fontId="8" type="noConversion"/>
  </si>
  <si>
    <t>估价对象</t>
    <phoneticPr fontId="8" type="noConversion"/>
  </si>
  <si>
    <t>区位状况</t>
    <phoneticPr fontId="8" type="noConversion"/>
  </si>
  <si>
    <t>实物状况</t>
    <phoneticPr fontId="8" type="noConversion"/>
  </si>
  <si>
    <t>权益状况</t>
    <phoneticPr fontId="8" type="noConversion"/>
  </si>
  <si>
    <t>小计</t>
    <phoneticPr fontId="1" type="noConversion"/>
  </si>
  <si>
    <t>调整系数</t>
    <phoneticPr fontId="1" type="noConversion"/>
  </si>
  <si>
    <t>钢混结构</t>
    <phoneticPr fontId="1" type="noConversion"/>
  </si>
  <si>
    <t>平层</t>
    <phoneticPr fontId="1" type="noConversion"/>
  </si>
  <si>
    <t>租金计算</t>
    <phoneticPr fontId="1" type="noConversion"/>
  </si>
  <si>
    <t>估价对象</t>
    <phoneticPr fontId="1" type="noConversion"/>
  </si>
  <si>
    <t>三房二厅一厨二卫二阳台</t>
    <phoneticPr fontId="13" type="noConversion"/>
  </si>
  <si>
    <t>平层</t>
    <phoneticPr fontId="13" type="noConversion"/>
  </si>
  <si>
    <t>把你筛选出来的案例复制在下面，在挑中的案例前写上1、2、3，案例就会自动出现在相应的位置。比较法中直接选择相应的调整值（一般是-3~3），其相应的评价（如“略好”）会自动调整。</t>
    <phoneticPr fontId="1" type="noConversion"/>
  </si>
  <si>
    <t>不计装修</t>
    <phoneticPr fontId="1" type="noConversion"/>
  </si>
  <si>
    <t>不计</t>
    <phoneticPr fontId="1" type="noConversion"/>
  </si>
  <si>
    <t>个人是否免征</t>
    <phoneticPr fontId="1" type="noConversion"/>
  </si>
  <si>
    <t>增值税及附加</t>
    <phoneticPr fontId="1" type="noConversion"/>
  </si>
  <si>
    <t>房产税</t>
    <phoneticPr fontId="1" type="noConversion"/>
  </si>
  <si>
    <t>（一）÷（1+5%）×增值税率×（1+附加税率）</t>
    <phoneticPr fontId="1" type="noConversion"/>
  </si>
  <si>
    <t>无风险报酬率(一年期存款基准利率)</t>
    <phoneticPr fontId="13" type="noConversion"/>
  </si>
  <si>
    <t>由于两种估价方法具有价格同一性，使用程度基本相同，并且数据可靠，测算结果之间的差异程度较小，所以本次估价采用简单算术平均数求取综合测算结果</t>
  </si>
  <si>
    <t>由于比较法的资料更完整、可靠，而且更直接地反映动态的市场价格</t>
    <phoneticPr fontId="1" type="noConversion"/>
  </si>
  <si>
    <t>计算结果试算（可修改，与报告内容无关）</t>
    <phoneticPr fontId="13" type="noConversion"/>
  </si>
  <si>
    <t>由于目前市场有泡沫化趋势，市场价远超租金收益，根据抵押估价的谨慎原则</t>
    <phoneticPr fontId="1" type="noConversion"/>
  </si>
  <si>
    <t>[座落2]</t>
    <phoneticPr fontId="13" type="noConversion"/>
  </si>
  <si>
    <t>毛坯</t>
    <phoneticPr fontId="1" type="noConversion"/>
  </si>
  <si>
    <t>石膏吊顶</t>
    <phoneticPr fontId="1" type="noConversion"/>
  </si>
  <si>
    <t>石膏脚线</t>
    <phoneticPr fontId="1" type="noConversion"/>
  </si>
  <si>
    <t>乳胶漆</t>
    <phoneticPr fontId="1" type="noConversion"/>
  </si>
  <si>
    <t>林晓</t>
    <phoneticPr fontId="1" type="noConversion"/>
  </si>
  <si>
    <t>吴丽敏</t>
    <phoneticPr fontId="1" type="noConversion"/>
  </si>
  <si>
    <t>匡滨</t>
    <phoneticPr fontId="1" type="noConversion"/>
  </si>
  <si>
    <t>陈淑华</t>
    <phoneticPr fontId="1" type="noConversion"/>
  </si>
  <si>
    <t>邱宏达</t>
    <phoneticPr fontId="1" type="noConversion"/>
  </si>
  <si>
    <t>王亿彬</t>
    <phoneticPr fontId="1" type="noConversion"/>
  </si>
  <si>
    <t>李成军</t>
    <phoneticPr fontId="1" type="noConversion"/>
  </si>
  <si>
    <t>吴丽敏</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</si>
</sst>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0.0%"/>
    <numFmt numFmtId="177" formatCode="0.00_ "/>
    <numFmt numFmtId="178" formatCode="0.0_ "/>
    <numFmt numFmtId="179" formatCode="0_ "/>
    <numFmt numFmtId="180" formatCode="0_);[Red]\(0\)"/>
    <numFmt numFmtId="181" formatCode="yyyy&quot;年&quot;m&quot;月&quot;d&quot;日&quot;;@"/>
    <numFmt numFmtId="182" formatCode="yyyy&quot;年&quot;m&quot;月&quot;;@"/>
    <numFmt numFmtId="183" formatCode="[DBNum2][$-804]General"/>
  </numFmts>
  <fonts count="36">
    <font>
      <sz val="11"/>
      <color theme="1"/>
      <name val="宋体"/>
      <family val="2"/>
      <scheme val="minor"/>
    </font>
    <font>
      <sz val="9"/>
      <name val="宋体"/>
      <family val="3"/>
      <charset val="134"/>
      <scheme val="minor"/>
    </font>
    <font>
      <sz val="11"/>
      <color theme="1"/>
      <name val="宋体"/>
      <family val="2"/>
      <scheme val="minor"/>
    </font>
    <font>
      <sz val="11"/>
      <color rgb="FFFF0000"/>
      <name val="宋体"/>
      <family val="2"/>
      <scheme val="minor"/>
    </font>
    <font>
      <sz val="11"/>
      <color rgb="FFFF0000"/>
      <name val="宋体"/>
      <family val="3"/>
      <charset val="134"/>
      <scheme val="minor"/>
    </font>
    <font>
      <b/>
      <sz val="11"/>
      <color theme="1"/>
      <name val="仿宋"/>
      <family val="3"/>
      <charset val="134"/>
    </font>
    <font>
      <sz val="11"/>
      <color theme="1"/>
      <name val="楷体"/>
      <family val="3"/>
      <charset val="134"/>
    </font>
    <font>
      <b/>
      <sz val="10.5"/>
      <name val="仿宋"/>
      <family val="3"/>
      <charset val="134"/>
    </font>
    <font>
      <sz val="9"/>
      <name val="宋体"/>
      <family val="3"/>
      <charset val="134"/>
    </font>
    <font>
      <sz val="10.5"/>
      <name val="仿宋"/>
      <family val="3"/>
      <charset val="134"/>
    </font>
    <font>
      <sz val="10.5"/>
      <color rgb="FFFF0000"/>
      <name val="仿宋"/>
      <family val="3"/>
      <charset val="134"/>
    </font>
    <font>
      <b/>
      <sz val="9"/>
      <color indexed="81"/>
      <name val="宋体"/>
      <family val="3"/>
      <charset val="134"/>
    </font>
    <font>
      <sz val="9"/>
      <color indexed="81"/>
      <name val="宋体"/>
      <family val="3"/>
      <charset val="134"/>
    </font>
    <font>
      <sz val="9"/>
      <name val="宋体"/>
      <family val="3"/>
      <charset val="134"/>
    </font>
    <font>
      <sz val="12"/>
      <name val="楷体"/>
      <family val="3"/>
      <charset val="134"/>
    </font>
    <font>
      <sz val="10.5"/>
      <color theme="1"/>
      <name val="仿宋"/>
      <family val="3"/>
      <charset val="134"/>
    </font>
    <font>
      <sz val="10.5"/>
      <color theme="1"/>
      <name val="宋体"/>
      <family val="2"/>
      <scheme val="minor"/>
    </font>
    <font>
      <sz val="10.5"/>
      <color theme="1"/>
      <name val="宋体"/>
      <family val="3"/>
      <charset val="134"/>
    </font>
    <font>
      <sz val="12"/>
      <name val="宋体"/>
      <family val="3"/>
      <charset val="134"/>
    </font>
    <font>
      <sz val="14"/>
      <color theme="1"/>
      <name val="宋体"/>
      <family val="3"/>
      <charset val="134"/>
      <scheme val="minor"/>
    </font>
    <font>
      <sz val="12"/>
      <name val="宋体"/>
      <family val="3"/>
      <charset val="134"/>
    </font>
    <font>
      <b/>
      <sz val="22"/>
      <color theme="9" tint="-0.499984740745262"/>
      <name val="宋体"/>
      <family val="3"/>
      <charset val="134"/>
      <scheme val="minor"/>
    </font>
    <font>
      <sz val="11"/>
      <name val="宋体"/>
      <family val="3"/>
      <charset val="134"/>
    </font>
    <font>
      <sz val="11"/>
      <color theme="1"/>
      <name val="宋体"/>
      <family val="3"/>
      <charset val="134"/>
    </font>
    <font>
      <sz val="11"/>
      <color theme="1"/>
      <name val="宋体"/>
      <family val="3"/>
      <charset val="134"/>
      <scheme val="minor"/>
    </font>
    <font>
      <sz val="12"/>
      <name val="宋体"/>
      <family val="3"/>
      <charset val="134"/>
    </font>
    <font>
      <sz val="9"/>
      <name val="宋体"/>
      <family val="3"/>
      <charset val="134"/>
    </font>
    <font>
      <b/>
      <sz val="12"/>
      <name val="宋体"/>
      <family val="3"/>
      <charset val="134"/>
    </font>
    <font>
      <sz val="10"/>
      <color theme="1"/>
      <name val="宋体"/>
      <family val="3"/>
      <charset val="134"/>
    </font>
    <font>
      <sz val="10"/>
      <color rgb="FF000000"/>
      <name val="宋体"/>
      <family val="3"/>
      <charset val="134"/>
    </font>
    <font>
      <sz val="10"/>
      <color theme="1"/>
      <name val="宋体"/>
      <family val="3"/>
      <charset val="134"/>
      <scheme val="minor"/>
    </font>
    <font>
      <sz val="10"/>
      <name val="宋体"/>
      <family val="3"/>
      <charset val="134"/>
    </font>
    <font>
      <sz val="10"/>
      <color theme="1"/>
      <name val="宋体"/>
      <family val="2"/>
      <scheme val="minor"/>
    </font>
    <font>
      <b/>
      <sz val="10"/>
      <color rgb="FFFF0000"/>
      <name val="宋体"/>
      <family val="3"/>
      <charset val="134"/>
      <scheme val="minor"/>
    </font>
    <font>
      <vertAlign val="subscript"/>
      <sz val="10.5"/>
      <color theme="1"/>
      <name val="宋体"/>
      <family val="3"/>
      <charset val="134"/>
    </font>
    <font>
      <sz val="12"/>
      <color theme="1"/>
      <name val="华文仿宋"/>
      <family val="3"/>
      <charset val="134"/>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indexed="42"/>
        <bgColor indexed="64"/>
      </patternFill>
    </fill>
    <fill>
      <patternFill patternType="solid">
        <fgColor indexed="43"/>
        <bgColor indexed="64"/>
      </patternFill>
    </fill>
    <fill>
      <patternFill patternType="solid">
        <fgColor theme="9" tint="0.59999389629810485"/>
        <bgColor indexed="64"/>
      </patternFill>
    </fill>
    <fill>
      <patternFill patternType="solid">
        <fgColor rgb="FFFFFF66"/>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249977111117893"/>
        <bgColor indexed="64"/>
      </patternFill>
    </fill>
  </fills>
  <borders count="26">
    <border>
      <left/>
      <right/>
      <top/>
      <bottom/>
      <diagonal/>
    </border>
    <border>
      <left style="thin">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top style="thin">
        <color indexed="64"/>
      </top>
      <bottom style="thin">
        <color indexed="64"/>
      </bottom>
      <diagonal/>
    </border>
    <border>
      <left/>
      <right/>
      <top style="double">
        <color auto="1"/>
      </top>
      <bottom style="double">
        <color auto="1"/>
      </bottom>
      <diagonal/>
    </border>
    <border>
      <left/>
      <right style="thin">
        <color auto="1"/>
      </right>
      <top style="double">
        <color auto="1"/>
      </top>
      <bottom style="double">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double">
        <color indexed="64"/>
      </right>
      <top style="thin">
        <color auto="1"/>
      </top>
      <bottom style="double">
        <color indexed="64"/>
      </bottom>
      <diagonal/>
    </border>
  </borders>
  <cellStyleXfs count="2">
    <xf numFmtId="0" fontId="0" fillId="0" borderId="0"/>
    <xf numFmtId="9" fontId="2" fillId="0" borderId="0" applyFont="0" applyFill="0" applyBorder="0" applyAlignment="0" applyProtection="0">
      <alignment vertical="center"/>
    </xf>
  </cellStyleXfs>
  <cellXfs count="256">
    <xf numFmtId="0" fontId="0" fillId="0" borderId="0" xfId="0"/>
    <xf numFmtId="0" fontId="0" fillId="0" borderId="0" xfId="0" applyAlignment="1">
      <alignment wrapText="1"/>
    </xf>
    <xf numFmtId="0" fontId="0" fillId="0" borderId="2" xfId="0" applyBorder="1"/>
    <xf numFmtId="0" fontId="0" fillId="2" borderId="3" xfId="0" applyFill="1" applyBorder="1" applyAlignment="1">
      <alignment horizontal="center"/>
    </xf>
    <xf numFmtId="0" fontId="0" fillId="0" borderId="0" xfId="0" applyAlignment="1">
      <alignment horizontal="center" vertical="center"/>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8" xfId="0" applyFont="1" applyBorder="1" applyAlignment="1">
      <alignment horizontal="center" vertical="center" wrapText="1"/>
    </xf>
    <xf numFmtId="0" fontId="6" fillId="0" borderId="6" xfId="0" applyFont="1" applyBorder="1" applyAlignment="1">
      <alignment horizontal="center" vertical="center" wrapText="1"/>
    </xf>
    <xf numFmtId="9" fontId="6" fillId="0" borderId="3" xfId="1" applyNumberFormat="1"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left" vertical="center" wrapText="1"/>
    </xf>
    <xf numFmtId="176" fontId="6" fillId="0" borderId="3" xfId="1" applyNumberFormat="1" applyFont="1" applyBorder="1" applyAlignment="1">
      <alignment horizontal="center" vertical="center" wrapText="1"/>
    </xf>
    <xf numFmtId="10" fontId="6" fillId="0" borderId="3" xfId="1" applyNumberFormat="1" applyFont="1" applyBorder="1" applyAlignment="1">
      <alignment horizontal="center" vertical="center" wrapText="1"/>
    </xf>
    <xf numFmtId="177" fontId="9" fillId="0" borderId="3" xfId="0" applyNumberFormat="1" applyFont="1" applyBorder="1" applyAlignment="1">
      <alignment horizontal="center" vertical="center" wrapText="1"/>
    </xf>
    <xf numFmtId="0" fontId="0" fillId="0" borderId="0" xfId="0" applyAlignment="1">
      <alignment horizontal="center" vertical="center" wrapText="1"/>
    </xf>
    <xf numFmtId="178" fontId="9" fillId="0" borderId="3" xfId="0" applyNumberFormat="1" applyFont="1" applyBorder="1" applyAlignment="1">
      <alignment horizontal="center" vertical="center" wrapText="1"/>
    </xf>
    <xf numFmtId="179" fontId="9" fillId="0" borderId="3" xfId="0" applyNumberFormat="1" applyFont="1" applyBorder="1" applyAlignment="1">
      <alignment horizontal="center" vertical="center" wrapText="1"/>
    </xf>
    <xf numFmtId="0" fontId="7" fillId="0" borderId="7" xfId="0" applyFont="1" applyBorder="1" applyAlignment="1">
      <alignment horizontal="center" vertical="center" wrapText="1"/>
    </xf>
    <xf numFmtId="0" fontId="7" fillId="0" borderId="1" xfId="0" applyFont="1" applyBorder="1" applyAlignment="1">
      <alignment horizontal="center" vertical="center" wrapText="1"/>
    </xf>
    <xf numFmtId="0" fontId="7" fillId="0" borderId="8" xfId="0" applyFont="1" applyBorder="1" applyAlignment="1">
      <alignment horizontal="center" vertical="center" wrapText="1"/>
    </xf>
    <xf numFmtId="0" fontId="9" fillId="0" borderId="6" xfId="0" applyFont="1" applyBorder="1" applyAlignment="1">
      <alignment horizontal="center" vertical="center" wrapText="1"/>
    </xf>
    <xf numFmtId="0" fontId="9" fillId="0" borderId="9" xfId="0" applyFont="1" applyBorder="1" applyAlignment="1">
      <alignment horizontal="center" vertical="center" wrapText="1"/>
    </xf>
    <xf numFmtId="178" fontId="9" fillId="0" borderId="4" xfId="0" applyNumberFormat="1" applyFont="1" applyBorder="1" applyAlignment="1">
      <alignment horizontal="center" vertical="center" wrapText="1"/>
    </xf>
    <xf numFmtId="0" fontId="0" fillId="0" borderId="3" xfId="0" applyBorder="1" applyAlignment="1">
      <alignment horizontal="center" vertical="center"/>
    </xf>
    <xf numFmtId="0" fontId="5" fillId="0" borderId="11" xfId="0" applyFont="1" applyBorder="1" applyAlignment="1">
      <alignment horizontal="center" vertical="center" wrapText="1"/>
    </xf>
    <xf numFmtId="0" fontId="5" fillId="0" borderId="9" xfId="0" applyFont="1" applyBorder="1" applyAlignment="1">
      <alignment horizontal="center" vertical="center" wrapText="1"/>
    </xf>
    <xf numFmtId="0" fontId="0" fillId="0" borderId="4" xfId="0" applyFont="1" applyBorder="1" applyAlignment="1">
      <alignment horizontal="center" vertical="center" wrapText="1"/>
    </xf>
    <xf numFmtId="0" fontId="5" fillId="0" borderId="10" xfId="0" applyFont="1" applyBorder="1" applyAlignment="1">
      <alignment horizontal="center" vertical="center" wrapText="1"/>
    </xf>
    <xf numFmtId="178" fontId="0" fillId="0" borderId="0" xfId="0" applyNumberFormat="1" applyAlignment="1">
      <alignment wrapText="1"/>
    </xf>
    <xf numFmtId="0" fontId="6" fillId="0" borderId="6" xfId="0" applyFont="1" applyBorder="1" applyAlignment="1">
      <alignment horizontal="center" wrapText="1"/>
    </xf>
    <xf numFmtId="0" fontId="6" fillId="0" borderId="3" xfId="0" applyFont="1" applyBorder="1" applyAlignment="1">
      <alignment horizontal="center" wrapText="1"/>
    </xf>
    <xf numFmtId="0" fontId="6" fillId="0" borderId="5" xfId="0" applyFont="1" applyBorder="1" applyAlignment="1">
      <alignment horizontal="center" wrapText="1"/>
    </xf>
    <xf numFmtId="0" fontId="14" fillId="0" borderId="3" xfId="0" applyFont="1" applyBorder="1" applyAlignment="1">
      <alignment horizontal="center" wrapText="1"/>
    </xf>
    <xf numFmtId="10" fontId="6" fillId="0" borderId="5" xfId="0" applyNumberFormat="1" applyFont="1" applyBorder="1" applyAlignment="1">
      <alignment horizontal="center" wrapText="1"/>
    </xf>
    <xf numFmtId="0" fontId="6" fillId="0" borderId="9" xfId="0" applyFont="1" applyBorder="1" applyAlignment="1">
      <alignment horizontal="center" wrapText="1"/>
    </xf>
    <xf numFmtId="0" fontId="6" fillId="0" borderId="4" xfId="0" applyFont="1" applyBorder="1" applyAlignment="1">
      <alignment horizontal="center" wrapText="1"/>
    </xf>
    <xf numFmtId="10" fontId="6" fillId="0" borderId="10" xfId="0" applyNumberFormat="1" applyFont="1" applyBorder="1" applyAlignment="1">
      <alignment horizontal="center" wrapText="1"/>
    </xf>
    <xf numFmtId="0" fontId="0" fillId="0" borderId="4" xfId="0" applyBorder="1" applyAlignment="1">
      <alignment wrapText="1"/>
    </xf>
    <xf numFmtId="10" fontId="15" fillId="0" borderId="3" xfId="1" applyNumberFormat="1" applyFont="1" applyBorder="1" applyAlignment="1">
      <alignment horizontal="center" vertical="center" wrapText="1"/>
    </xf>
    <xf numFmtId="0" fontId="15" fillId="4" borderId="12" xfId="0" applyFont="1" applyFill="1" applyBorder="1" applyAlignment="1">
      <alignment horizontal="center" vertical="center" wrapText="1"/>
    </xf>
    <xf numFmtId="0" fontId="10" fillId="3" borderId="12" xfId="0" applyFont="1" applyFill="1" applyBorder="1" applyAlignment="1" applyProtection="1">
      <alignment horizontal="center" vertical="center" wrapText="1"/>
      <protection locked="0"/>
    </xf>
    <xf numFmtId="10" fontId="10" fillId="3" borderId="12" xfId="1" applyNumberFormat="1" applyFont="1" applyFill="1" applyBorder="1" applyAlignment="1" applyProtection="1">
      <alignment horizontal="center" vertical="center" wrapText="1"/>
      <protection locked="0"/>
    </xf>
    <xf numFmtId="0" fontId="10" fillId="5" borderId="12" xfId="0" applyFont="1" applyFill="1" applyBorder="1" applyAlignment="1" applyProtection="1">
      <alignment horizontal="center" vertical="center" wrapText="1"/>
      <protection locked="0"/>
    </xf>
    <xf numFmtId="177" fontId="0" fillId="0" borderId="0" xfId="0" applyNumberFormat="1" applyAlignment="1">
      <alignment wrapText="1"/>
    </xf>
    <xf numFmtId="0" fontId="15" fillId="0" borderId="0" xfId="0" applyFont="1" applyAlignment="1">
      <alignment horizontal="center" vertical="center" wrapText="1"/>
    </xf>
    <xf numFmtId="0" fontId="0" fillId="0" borderId="14" xfId="0" applyBorder="1"/>
    <xf numFmtId="0" fontId="0" fillId="0" borderId="1" xfId="0" applyBorder="1" applyAlignment="1">
      <alignment horizontal="center" vertical="center"/>
    </xf>
    <xf numFmtId="0" fontId="0" fillId="2" borderId="15" xfId="0" applyFill="1" applyBorder="1" applyAlignment="1">
      <alignment horizontal="center"/>
    </xf>
    <xf numFmtId="0" fontId="0" fillId="2" borderId="16" xfId="0" applyFill="1" applyBorder="1" applyAlignment="1">
      <alignment horizontal="center"/>
    </xf>
    <xf numFmtId="0" fontId="0" fillId="0" borderId="17" xfId="0" applyBorder="1"/>
    <xf numFmtId="0" fontId="0" fillId="0" borderId="4" xfId="0" applyBorder="1" applyAlignment="1">
      <alignment horizontal="center"/>
    </xf>
    <xf numFmtId="0" fontId="0" fillId="0" borderId="18" xfId="0" applyBorder="1" applyAlignment="1">
      <alignment horizontal="center"/>
    </xf>
    <xf numFmtId="178" fontId="6" fillId="0" borderId="3" xfId="0" applyNumberFormat="1" applyFont="1" applyBorder="1" applyAlignment="1">
      <alignment horizontal="center" vertical="center" wrapText="1"/>
    </xf>
    <xf numFmtId="0" fontId="10" fillId="3" borderId="3" xfId="0" applyFont="1" applyFill="1" applyBorder="1" applyAlignment="1" applyProtection="1">
      <alignment horizontal="center" vertical="center" wrapText="1"/>
      <protection locked="0"/>
    </xf>
    <xf numFmtId="10" fontId="10" fillId="3" borderId="3" xfId="1" applyNumberFormat="1" applyFont="1" applyFill="1" applyBorder="1" applyAlignment="1" applyProtection="1">
      <alignment horizontal="center" vertical="center" wrapText="1"/>
      <protection locked="0"/>
    </xf>
    <xf numFmtId="179" fontId="10" fillId="3" borderId="3" xfId="1" applyNumberFormat="1" applyFont="1" applyFill="1" applyBorder="1" applyAlignment="1" applyProtection="1">
      <alignment horizontal="center" vertical="center" wrapText="1"/>
      <protection locked="0"/>
    </xf>
    <xf numFmtId="0" fontId="0" fillId="0" borderId="7" xfId="0" applyBorder="1"/>
    <xf numFmtId="0" fontId="0" fillId="0" borderId="5" xfId="0" applyBorder="1" applyAlignment="1">
      <alignment horizontal="center" vertical="center"/>
    </xf>
    <xf numFmtId="10" fontId="0" fillId="0" borderId="3" xfId="1" applyNumberFormat="1" applyFont="1" applyBorder="1" applyAlignment="1">
      <alignment horizontal="center" vertical="center"/>
    </xf>
    <xf numFmtId="10" fontId="0" fillId="0" borderId="5" xfId="1" applyNumberFormat="1" applyFont="1" applyBorder="1" applyAlignment="1">
      <alignment horizontal="center" vertical="center"/>
    </xf>
    <xf numFmtId="10" fontId="0" fillId="0" borderId="4" xfId="1" applyNumberFormat="1" applyFont="1" applyBorder="1" applyAlignment="1">
      <alignment horizontal="center" vertical="center"/>
    </xf>
    <xf numFmtId="176" fontId="0" fillId="0" borderId="4" xfId="1" applyNumberFormat="1" applyFont="1" applyBorder="1" applyAlignment="1">
      <alignment horizontal="center" vertical="center"/>
    </xf>
    <xf numFmtId="176" fontId="0" fillId="0" borderId="10" xfId="1" applyNumberFormat="1" applyFont="1" applyBorder="1" applyAlignment="1">
      <alignment horizontal="center" vertical="center"/>
    </xf>
    <xf numFmtId="0" fontId="0" fillId="0" borderId="6" xfId="0" applyBorder="1" applyAlignment="1">
      <alignment vertical="center"/>
    </xf>
    <xf numFmtId="0" fontId="0" fillId="0" borderId="9" xfId="0" applyBorder="1" applyAlignment="1">
      <alignment vertical="center"/>
    </xf>
    <xf numFmtId="0" fontId="19" fillId="0" borderId="7" xfId="0" applyFont="1" applyBorder="1"/>
    <xf numFmtId="0" fontId="19" fillId="0" borderId="8" xfId="0" applyFont="1" applyBorder="1"/>
    <xf numFmtId="0" fontId="19" fillId="0" borderId="6" xfId="0" applyFont="1" applyBorder="1"/>
    <xf numFmtId="0" fontId="19" fillId="0" borderId="5" xfId="0" applyFont="1" applyBorder="1"/>
    <xf numFmtId="0" fontId="19" fillId="0" borderId="9" xfId="0" applyFont="1" applyBorder="1"/>
    <xf numFmtId="0" fontId="19" fillId="0" borderId="10" xfId="0" applyFont="1" applyBorder="1"/>
    <xf numFmtId="0" fontId="21" fillId="0" borderId="0" xfId="0" applyFont="1"/>
    <xf numFmtId="0" fontId="0" fillId="0" borderId="3" xfId="0" applyBorder="1"/>
    <xf numFmtId="0" fontId="20" fillId="0" borderId="0" xfId="0" applyFont="1"/>
    <xf numFmtId="0" fontId="0" fillId="0" borderId="13" xfId="0" applyBorder="1"/>
    <xf numFmtId="0" fontId="0" fillId="0" borderId="19" xfId="0" applyBorder="1"/>
    <xf numFmtId="0" fontId="0" fillId="0" borderId="11" xfId="0" applyBorder="1"/>
    <xf numFmtId="0" fontId="0" fillId="0" borderId="0" xfId="0" applyBorder="1"/>
    <xf numFmtId="0" fontId="0" fillId="0" borderId="0" xfId="0" applyAlignment="1">
      <alignment vertical="center"/>
    </xf>
    <xf numFmtId="0" fontId="3" fillId="0" borderId="0" xfId="0" applyFont="1"/>
    <xf numFmtId="0" fontId="0" fillId="6" borderId="3" xfId="0" applyFont="1" applyFill="1" applyBorder="1" applyAlignment="1">
      <alignment horizontal="center" vertical="center"/>
    </xf>
    <xf numFmtId="0" fontId="22" fillId="8" borderId="3" xfId="0" applyFont="1" applyFill="1" applyBorder="1" applyAlignment="1">
      <alignment horizontal="center" vertical="center"/>
    </xf>
    <xf numFmtId="0" fontId="0" fillId="0" borderId="0" xfId="0" applyFont="1"/>
    <xf numFmtId="0" fontId="22" fillId="6" borderId="3" xfId="0" applyFont="1" applyFill="1" applyBorder="1" applyAlignment="1">
      <alignment horizontal="center" vertical="center"/>
    </xf>
    <xf numFmtId="0" fontId="22" fillId="7" borderId="3" xfId="0" applyFont="1" applyFill="1" applyBorder="1" applyAlignment="1">
      <alignment horizontal="center" vertical="center"/>
    </xf>
    <xf numFmtId="0" fontId="0" fillId="6" borderId="22" xfId="0" applyFont="1" applyFill="1" applyBorder="1" applyAlignment="1">
      <alignment horizontal="center" vertical="center"/>
    </xf>
    <xf numFmtId="0" fontId="0" fillId="6" borderId="3" xfId="0" applyFont="1" applyFill="1" applyBorder="1" applyAlignment="1">
      <alignment horizontal="center" vertical="center" wrapText="1"/>
    </xf>
    <xf numFmtId="0" fontId="22" fillId="8" borderId="22" xfId="0" applyFont="1" applyFill="1" applyBorder="1" applyAlignment="1">
      <alignment horizontal="center" vertical="center"/>
    </xf>
    <xf numFmtId="49" fontId="22" fillId="8" borderId="3" xfId="0" applyNumberFormat="1" applyFont="1" applyFill="1" applyBorder="1" applyAlignment="1">
      <alignment horizontal="center" vertical="center"/>
    </xf>
    <xf numFmtId="181" fontId="22" fillId="8" borderId="3" xfId="0" applyNumberFormat="1" applyFont="1" applyFill="1" applyBorder="1" applyAlignment="1">
      <alignment horizontal="center" vertical="center"/>
    </xf>
    <xf numFmtId="177" fontId="22" fillId="8" borderId="3" xfId="0" applyNumberFormat="1" applyFont="1" applyFill="1" applyBorder="1" applyAlignment="1">
      <alignment horizontal="center" vertical="center"/>
    </xf>
    <xf numFmtId="0" fontId="22" fillId="8" borderId="3" xfId="0" applyNumberFormat="1" applyFont="1" applyFill="1" applyBorder="1" applyAlignment="1">
      <alignment horizontal="center" vertical="center"/>
    </xf>
    <xf numFmtId="0" fontId="24" fillId="8" borderId="3" xfId="0" applyFont="1" applyFill="1" applyBorder="1" applyAlignment="1">
      <alignment horizontal="center" vertical="center"/>
    </xf>
    <xf numFmtId="0" fontId="0" fillId="6" borderId="23" xfId="0" applyFont="1" applyFill="1" applyBorder="1" applyAlignment="1">
      <alignment horizontal="center" vertical="center"/>
    </xf>
    <xf numFmtId="181" fontId="22" fillId="8" borderId="23" xfId="0" applyNumberFormat="1" applyFont="1" applyFill="1" applyBorder="1" applyAlignment="1">
      <alignment horizontal="center" vertical="center"/>
    </xf>
    <xf numFmtId="0" fontId="22" fillId="5" borderId="3" xfId="0" applyFont="1" applyFill="1" applyBorder="1" applyAlignment="1">
      <alignment horizontal="center" vertical="center"/>
    </xf>
    <xf numFmtId="0" fontId="0" fillId="5" borderId="0" xfId="0" applyFill="1"/>
    <xf numFmtId="9" fontId="22" fillId="5" borderId="3" xfId="1" applyFont="1" applyFill="1" applyBorder="1" applyAlignment="1">
      <alignment horizontal="center" vertical="center"/>
    </xf>
    <xf numFmtId="9" fontId="18" fillId="5" borderId="6" xfId="1" applyFont="1" applyFill="1" applyBorder="1" applyAlignment="1">
      <alignment horizontal="center" vertical="center"/>
    </xf>
    <xf numFmtId="0" fontId="22" fillId="8" borderId="5" xfId="0" applyFont="1" applyFill="1" applyBorder="1" applyAlignment="1">
      <alignment vertical="center"/>
    </xf>
    <xf numFmtId="0" fontId="22" fillId="8" borderId="19" xfId="0" applyFont="1" applyFill="1" applyBorder="1" applyAlignment="1">
      <alignment vertical="center"/>
    </xf>
    <xf numFmtId="0" fontId="22" fillId="8" borderId="6" xfId="0" applyFont="1" applyFill="1" applyBorder="1" applyAlignment="1">
      <alignment vertical="center"/>
    </xf>
    <xf numFmtId="0" fontId="22" fillId="8" borderId="3" xfId="0" applyFont="1" applyFill="1" applyBorder="1" applyAlignment="1">
      <alignment horizontal="left" vertical="center"/>
    </xf>
    <xf numFmtId="0" fontId="22" fillId="8" borderId="6" xfId="0" applyFont="1" applyFill="1" applyBorder="1" applyAlignment="1">
      <alignment horizontal="center" vertical="center"/>
    </xf>
    <xf numFmtId="0" fontId="22" fillId="8" borderId="3" xfId="0" applyFont="1" applyFill="1" applyBorder="1" applyAlignment="1">
      <alignment horizontal="center" vertical="center"/>
    </xf>
    <xf numFmtId="0" fontId="22" fillId="8" borderId="5" xfId="0" applyFont="1" applyFill="1" applyBorder="1" applyAlignment="1">
      <alignment vertical="center" wrapText="1"/>
    </xf>
    <xf numFmtId="0" fontId="22" fillId="5" borderId="5" xfId="0" applyFont="1" applyFill="1" applyBorder="1" applyAlignment="1">
      <alignment vertical="center"/>
    </xf>
    <xf numFmtId="0" fontId="22" fillId="5" borderId="19" xfId="0" applyFont="1" applyFill="1" applyBorder="1" applyAlignment="1">
      <alignment vertical="center"/>
    </xf>
    <xf numFmtId="0" fontId="22" fillId="5" borderId="6" xfId="0" applyFont="1" applyFill="1" applyBorder="1" applyAlignment="1">
      <alignment vertical="center"/>
    </xf>
    <xf numFmtId="0" fontId="22" fillId="5" borderId="5" xfId="0" applyFont="1" applyFill="1" applyBorder="1" applyAlignment="1">
      <alignment vertical="center" wrapText="1"/>
    </xf>
    <xf numFmtId="0" fontId="0" fillId="6" borderId="24" xfId="0" applyFont="1" applyFill="1" applyBorder="1" applyAlignment="1">
      <alignment horizontal="center" vertical="center"/>
    </xf>
    <xf numFmtId="0" fontId="0" fillId="8" borderId="5" xfId="0" applyFont="1" applyFill="1" applyBorder="1" applyAlignment="1">
      <alignment horizontal="left" vertical="center"/>
    </xf>
    <xf numFmtId="0" fontId="0" fillId="8" borderId="6" xfId="0" applyFont="1" applyFill="1" applyBorder="1" applyAlignment="1">
      <alignment horizontal="left" vertical="center"/>
    </xf>
    <xf numFmtId="0" fontId="0" fillId="6" borderId="5" xfId="0" applyFont="1" applyFill="1" applyBorder="1" applyAlignment="1">
      <alignment horizontal="center" vertical="center"/>
    </xf>
    <xf numFmtId="0" fontId="22" fillId="8" borderId="6" xfId="0" applyFont="1" applyFill="1" applyBorder="1" applyAlignment="1">
      <alignment horizontal="left" vertical="center"/>
    </xf>
    <xf numFmtId="0" fontId="22" fillId="5" borderId="6" xfId="0" applyFont="1" applyFill="1" applyBorder="1" applyAlignment="1">
      <alignment vertical="center" wrapText="1"/>
    </xf>
    <xf numFmtId="0" fontId="22" fillId="8" borderId="3" xfId="0" applyFont="1" applyFill="1" applyBorder="1" applyAlignment="1">
      <alignment vertical="center" wrapText="1"/>
    </xf>
    <xf numFmtId="0" fontId="0" fillId="6" borderId="16" xfId="0" applyFont="1" applyFill="1" applyBorder="1" applyAlignment="1">
      <alignment horizontal="center" vertical="center"/>
    </xf>
    <xf numFmtId="0" fontId="0" fillId="6" borderId="2" xfId="0" applyFont="1" applyFill="1" applyBorder="1" applyAlignment="1">
      <alignment horizontal="center" vertical="center"/>
    </xf>
    <xf numFmtId="0" fontId="22" fillId="8" borderId="16" xfId="0" applyFont="1" applyFill="1" applyBorder="1" applyAlignment="1">
      <alignment horizontal="center" vertical="center"/>
    </xf>
    <xf numFmtId="0" fontId="0" fillId="6" borderId="17" xfId="0" applyFont="1" applyFill="1" applyBorder="1" applyAlignment="1">
      <alignment horizontal="center" vertical="center"/>
    </xf>
    <xf numFmtId="0" fontId="23" fillId="0" borderId="2" xfId="0" applyFont="1" applyBorder="1" applyAlignment="1">
      <alignment horizontal="center" vertical="center" wrapText="1"/>
    </xf>
    <xf numFmtId="0" fontId="22" fillId="8" borderId="10" xfId="0" applyFont="1" applyFill="1" applyBorder="1" applyAlignment="1">
      <alignment vertical="center"/>
    </xf>
    <xf numFmtId="0" fontId="22" fillId="8" borderId="11" xfId="0" applyFont="1" applyFill="1" applyBorder="1" applyAlignment="1">
      <alignment vertical="center"/>
    </xf>
    <xf numFmtId="0" fontId="22" fillId="8" borderId="25" xfId="0" applyFont="1" applyFill="1" applyBorder="1" applyAlignment="1">
      <alignment vertical="center"/>
    </xf>
    <xf numFmtId="0" fontId="22" fillId="7" borderId="5" xfId="0" applyFont="1" applyFill="1" applyBorder="1" applyAlignment="1">
      <alignment vertical="center"/>
    </xf>
    <xf numFmtId="0" fontId="22" fillId="7" borderId="19" xfId="0" applyFont="1" applyFill="1" applyBorder="1" applyAlignment="1">
      <alignment vertical="center"/>
    </xf>
    <xf numFmtId="0" fontId="22" fillId="7" borderId="6" xfId="0" applyFont="1" applyFill="1" applyBorder="1" applyAlignment="1">
      <alignment vertical="center"/>
    </xf>
    <xf numFmtId="181" fontId="22" fillId="9" borderId="3" xfId="0" applyNumberFormat="1" applyFont="1" applyFill="1" applyBorder="1" applyAlignment="1">
      <alignment horizontal="center" vertical="center"/>
    </xf>
    <xf numFmtId="0" fontId="22" fillId="9" borderId="3" xfId="0" applyFont="1" applyFill="1" applyBorder="1" applyAlignment="1">
      <alignment horizontal="center" vertical="center"/>
    </xf>
    <xf numFmtId="181" fontId="22" fillId="9" borderId="23" xfId="0" applyNumberFormat="1" applyFont="1" applyFill="1" applyBorder="1" applyAlignment="1">
      <alignment horizontal="center" vertical="center"/>
    </xf>
    <xf numFmtId="0" fontId="24" fillId="8" borderId="5" xfId="0" applyFont="1" applyFill="1" applyBorder="1" applyAlignment="1"/>
    <xf numFmtId="0" fontId="24" fillId="8" borderId="19" xfId="0" applyFont="1" applyFill="1" applyBorder="1" applyAlignment="1"/>
    <xf numFmtId="0" fontId="24" fillId="8" borderId="6" xfId="0" applyFont="1" applyFill="1" applyBorder="1" applyAlignment="1"/>
    <xf numFmtId="0" fontId="22" fillId="8" borderId="3" xfId="0" applyFont="1" applyFill="1" applyBorder="1" applyAlignment="1">
      <alignment horizontal="center" vertical="center"/>
    </xf>
    <xf numFmtId="0" fontId="22" fillId="0" borderId="5" xfId="0" applyFont="1" applyFill="1" applyBorder="1" applyAlignment="1">
      <alignment vertical="center"/>
    </xf>
    <xf numFmtId="0" fontId="22" fillId="0" borderId="19" xfId="0" applyFont="1" applyFill="1" applyBorder="1" applyAlignment="1">
      <alignment vertical="center"/>
    </xf>
    <xf numFmtId="0" fontId="22" fillId="0" borderId="6" xfId="0" applyFont="1" applyFill="1" applyBorder="1" applyAlignment="1">
      <alignment vertical="center"/>
    </xf>
    <xf numFmtId="181" fontId="22" fillId="8" borderId="6" xfId="0" applyNumberFormat="1" applyFont="1" applyFill="1" applyBorder="1" applyAlignment="1">
      <alignment vertical="center"/>
    </xf>
    <xf numFmtId="181" fontId="22" fillId="8" borderId="5" xfId="0" applyNumberFormat="1" applyFont="1" applyFill="1" applyBorder="1" applyAlignment="1">
      <alignment horizontal="center" vertical="center"/>
    </xf>
    <xf numFmtId="0" fontId="22" fillId="8" borderId="5" xfId="0" applyFont="1" applyFill="1" applyBorder="1" applyAlignment="1">
      <alignment horizontal="center" vertical="center"/>
    </xf>
    <xf numFmtId="0" fontId="22" fillId="8" borderId="6" xfId="0" applyNumberFormat="1" applyFont="1" applyFill="1" applyBorder="1" applyAlignment="1">
      <alignment vertical="center"/>
    </xf>
    <xf numFmtId="0" fontId="22" fillId="5" borderId="3" xfId="0" applyNumberFormat="1" applyFont="1" applyFill="1" applyBorder="1" applyAlignment="1">
      <alignment vertical="center" wrapText="1"/>
    </xf>
    <xf numFmtId="0" fontId="25" fillId="0" borderId="3" xfId="0" applyFont="1" applyBorder="1" applyAlignment="1">
      <alignment horizontal="center" vertical="center"/>
    </xf>
    <xf numFmtId="0" fontId="25" fillId="0" borderId="3" xfId="0" applyFont="1" applyFill="1" applyBorder="1" applyAlignment="1">
      <alignment horizontal="center" vertical="center"/>
    </xf>
    <xf numFmtId="0" fontId="0" fillId="0" borderId="3" xfId="0" applyFill="1" applyBorder="1" applyAlignment="1">
      <alignment horizontal="center" vertical="center"/>
    </xf>
    <xf numFmtId="1" fontId="0" fillId="0" borderId="0" xfId="0" applyNumberFormat="1"/>
    <xf numFmtId="1" fontId="25" fillId="0" borderId="3" xfId="0" applyNumberFormat="1" applyFont="1" applyBorder="1" applyAlignment="1">
      <alignment horizontal="center" vertical="center"/>
    </xf>
    <xf numFmtId="1" fontId="25" fillId="0" borderId="3" xfId="0" applyNumberFormat="1" applyFont="1" applyFill="1" applyBorder="1" applyAlignment="1">
      <alignment horizontal="center" vertical="center"/>
    </xf>
    <xf numFmtId="1" fontId="0" fillId="0" borderId="3" xfId="0" applyNumberFormat="1" applyBorder="1" applyAlignment="1">
      <alignment horizontal="center" vertical="center"/>
    </xf>
    <xf numFmtId="1" fontId="27" fillId="0" borderId="3" xfId="0" applyNumberFormat="1" applyFont="1" applyFill="1" applyBorder="1" applyAlignment="1">
      <alignment horizontal="center" vertical="center"/>
    </xf>
    <xf numFmtId="1" fontId="0" fillId="0" borderId="3" xfId="0" applyNumberFormat="1" applyFill="1" applyBorder="1" applyAlignment="1">
      <alignment horizontal="center" vertical="center"/>
    </xf>
    <xf numFmtId="0" fontId="0" fillId="0" borderId="0" xfId="0" applyFont="1" applyAlignment="1">
      <alignment vertical="center" wrapText="1"/>
    </xf>
    <xf numFmtId="0" fontId="22" fillId="8" borderId="19" xfId="0" applyFont="1" applyFill="1" applyBorder="1" applyAlignment="1">
      <alignment horizontal="center" vertical="center"/>
    </xf>
    <xf numFmtId="0" fontId="17" fillId="0" borderId="0" xfId="0" applyFont="1" applyBorder="1" applyAlignment="1">
      <alignment horizontal="center" vertical="center" wrapText="1"/>
    </xf>
    <xf numFmtId="0" fontId="3" fillId="0" borderId="0" xfId="0" applyFont="1" applyAlignment="1">
      <alignment horizontal="left"/>
    </xf>
    <xf numFmtId="0" fontId="28" fillId="0" borderId="3" xfId="0" applyFont="1" applyBorder="1" applyAlignment="1">
      <alignment vertical="center" wrapText="1"/>
    </xf>
    <xf numFmtId="0" fontId="29" fillId="0" borderId="3" xfId="0" applyFont="1" applyBorder="1" applyAlignment="1">
      <alignment horizontal="center" vertical="center" wrapText="1"/>
    </xf>
    <xf numFmtId="0" fontId="28" fillId="0" borderId="3" xfId="0" applyFont="1" applyBorder="1" applyAlignment="1">
      <alignment horizontal="center" vertical="center" wrapText="1"/>
    </xf>
    <xf numFmtId="0" fontId="30" fillId="8" borderId="3" xfId="0" applyFont="1" applyFill="1" applyBorder="1" applyAlignment="1">
      <alignment horizontal="center" vertical="center" wrapText="1"/>
    </xf>
    <xf numFmtId="14" fontId="28" fillId="0" borderId="3" xfId="0" applyNumberFormat="1" applyFont="1" applyBorder="1" applyAlignment="1">
      <alignment horizontal="center" vertical="center" wrapText="1"/>
    </xf>
    <xf numFmtId="0" fontId="28" fillId="0" borderId="3" xfId="0" applyFont="1" applyBorder="1" applyAlignment="1">
      <alignment horizontal="left" vertical="center" wrapText="1"/>
    </xf>
    <xf numFmtId="0" fontId="30" fillId="8" borderId="4" xfId="0" applyFont="1" applyFill="1" applyBorder="1" applyAlignment="1">
      <alignment horizontal="center" vertical="center" wrapText="1"/>
    </xf>
    <xf numFmtId="0" fontId="28" fillId="0" borderId="0" xfId="0" applyFont="1" applyBorder="1" applyAlignment="1">
      <alignment vertical="center" wrapText="1"/>
    </xf>
    <xf numFmtId="0" fontId="17" fillId="0" borderId="1" xfId="0" applyFont="1" applyBorder="1" applyAlignment="1">
      <alignment horizontal="center" vertical="center" wrapText="1"/>
    </xf>
    <xf numFmtId="0" fontId="28" fillId="0" borderId="0" xfId="0" applyFont="1" applyBorder="1" applyAlignment="1">
      <alignment horizontal="center" vertical="center" wrapText="1"/>
    </xf>
    <xf numFmtId="181" fontId="0" fillId="0" borderId="3" xfId="0" applyNumberFormat="1" applyBorder="1" applyAlignment="1">
      <alignment horizontal="center" vertical="center"/>
    </xf>
    <xf numFmtId="0" fontId="28" fillId="0" borderId="0" xfId="0" applyFont="1" applyFill="1" applyBorder="1" applyAlignment="1">
      <alignment horizontal="center" vertical="center" wrapText="1"/>
    </xf>
    <xf numFmtId="0" fontId="0" fillId="12" borderId="3" xfId="0" applyFill="1" applyBorder="1" applyAlignment="1">
      <alignment horizontal="center"/>
    </xf>
    <xf numFmtId="0" fontId="31" fillId="5" borderId="3" xfId="0" applyFont="1" applyFill="1" applyBorder="1" applyAlignment="1">
      <alignment horizontal="center" vertical="center"/>
    </xf>
    <xf numFmtId="0" fontId="31" fillId="5" borderId="3" xfId="0" applyFont="1" applyFill="1" applyBorder="1" applyAlignment="1">
      <alignment horizontal="center" vertical="center" wrapText="1"/>
    </xf>
    <xf numFmtId="0" fontId="22" fillId="5" borderId="1" xfId="0" applyFont="1" applyFill="1" applyBorder="1" applyAlignment="1">
      <alignment horizontal="center" vertical="center"/>
    </xf>
    <xf numFmtId="0" fontId="32" fillId="6" borderId="3" xfId="0" applyFont="1" applyFill="1" applyBorder="1" applyAlignment="1">
      <alignment horizontal="center" vertical="center"/>
    </xf>
    <xf numFmtId="0" fontId="32" fillId="6" borderId="3" xfId="0" applyFont="1" applyFill="1" applyBorder="1" applyAlignment="1">
      <alignment horizontal="center" vertical="center" wrapText="1"/>
    </xf>
    <xf numFmtId="9" fontId="30" fillId="11" borderId="3" xfId="1" applyNumberFormat="1" applyFont="1" applyFill="1" applyBorder="1" applyAlignment="1">
      <alignment horizontal="center" vertical="center" wrapText="1"/>
    </xf>
    <xf numFmtId="0" fontId="31" fillId="11" borderId="3" xfId="0" applyFont="1" applyFill="1" applyBorder="1" applyAlignment="1">
      <alignment horizontal="center" vertical="center"/>
    </xf>
    <xf numFmtId="0" fontId="0" fillId="10" borderId="3" xfId="0" applyFill="1" applyBorder="1"/>
    <xf numFmtId="0" fontId="3" fillId="10" borderId="3" xfId="0" applyFont="1" applyFill="1" applyBorder="1"/>
    <xf numFmtId="9" fontId="22" fillId="8" borderId="3" xfId="1" applyFont="1" applyFill="1" applyBorder="1" applyAlignment="1">
      <alignment horizontal="center" vertical="center"/>
    </xf>
    <xf numFmtId="183" fontId="0" fillId="6" borderId="3" xfId="0" applyNumberFormat="1" applyFont="1" applyFill="1" applyBorder="1" applyAlignment="1">
      <alignment horizontal="center" vertical="center"/>
    </xf>
    <xf numFmtId="179" fontId="22" fillId="8" borderId="3" xfId="0" applyNumberFormat="1" applyFont="1" applyFill="1" applyBorder="1" applyAlignment="1">
      <alignment horizontal="center" vertical="center"/>
    </xf>
    <xf numFmtId="0" fontId="33" fillId="8" borderId="3" xfId="0" applyFont="1" applyFill="1" applyBorder="1" applyAlignment="1">
      <alignment horizontal="center" vertical="center" wrapText="1"/>
    </xf>
    <xf numFmtId="0" fontId="30" fillId="5" borderId="19" xfId="0" applyFont="1" applyFill="1" applyBorder="1" applyAlignment="1">
      <alignment horizontal="center" vertical="center" wrapText="1"/>
    </xf>
    <xf numFmtId="0" fontId="31" fillId="5" borderId="6" xfId="0" applyFont="1" applyFill="1" applyBorder="1" applyAlignment="1">
      <alignment vertical="center" wrapText="1"/>
    </xf>
    <xf numFmtId="0" fontId="22" fillId="5" borderId="15" xfId="0" applyFont="1" applyFill="1" applyBorder="1" applyAlignment="1">
      <alignment horizontal="center" vertical="center"/>
    </xf>
    <xf numFmtId="0" fontId="31" fillId="5" borderId="16" xfId="0" applyFont="1" applyFill="1" applyBorder="1" applyAlignment="1">
      <alignment horizontal="center" vertical="center" wrapText="1"/>
    </xf>
    <xf numFmtId="0" fontId="31" fillId="5" borderId="16" xfId="0" applyFont="1" applyFill="1" applyBorder="1" applyAlignment="1">
      <alignment horizontal="center" vertical="center"/>
    </xf>
    <xf numFmtId="9" fontId="30" fillId="11" borderId="16" xfId="1" applyNumberFormat="1" applyFont="1" applyFill="1" applyBorder="1" applyAlignment="1">
      <alignment horizontal="center" vertical="center" wrapText="1"/>
    </xf>
    <xf numFmtId="0" fontId="30" fillId="8" borderId="16" xfId="0" applyFont="1" applyFill="1" applyBorder="1" applyAlignment="1">
      <alignment horizontal="center" vertical="center" wrapText="1"/>
    </xf>
    <xf numFmtId="0" fontId="33" fillId="8" borderId="16" xfId="0" applyFont="1" applyFill="1" applyBorder="1" applyAlignment="1">
      <alignment horizontal="center" vertical="center" wrapText="1"/>
    </xf>
    <xf numFmtId="0" fontId="31" fillId="11" borderId="16" xfId="0" applyFont="1" applyFill="1" applyBorder="1" applyAlignment="1">
      <alignment horizontal="center" vertical="center"/>
    </xf>
    <xf numFmtId="0" fontId="30" fillId="8" borderId="18" xfId="0" applyFont="1" applyFill="1" applyBorder="1" applyAlignment="1">
      <alignment horizontal="center" vertical="center" wrapText="1"/>
    </xf>
    <xf numFmtId="180" fontId="18" fillId="5" borderId="6" xfId="0" applyNumberFormat="1" applyFont="1" applyFill="1" applyBorder="1" applyAlignment="1">
      <alignment horizontal="center" vertical="center"/>
    </xf>
    <xf numFmtId="180" fontId="22" fillId="5" borderId="3" xfId="0" applyNumberFormat="1" applyFont="1" applyFill="1" applyBorder="1" applyAlignment="1">
      <alignment horizontal="center" vertical="center"/>
    </xf>
    <xf numFmtId="0" fontId="32" fillId="0" borderId="0" xfId="0" applyFont="1"/>
    <xf numFmtId="49" fontId="32" fillId="8" borderId="3" xfId="0" applyNumberFormat="1" applyFont="1" applyFill="1" applyBorder="1"/>
    <xf numFmtId="49" fontId="30" fillId="0" borderId="0" xfId="0" applyNumberFormat="1" applyFont="1"/>
    <xf numFmtId="182" fontId="30" fillId="8" borderId="3" xfId="0" applyNumberFormat="1" applyFont="1" applyFill="1" applyBorder="1"/>
    <xf numFmtId="0" fontId="32" fillId="6" borderId="6" xfId="0" applyFont="1" applyFill="1" applyBorder="1" applyAlignment="1">
      <alignment horizontal="center" vertical="center" wrapText="1"/>
    </xf>
    <xf numFmtId="0" fontId="32" fillId="6" borderId="1" xfId="0" applyFont="1" applyFill="1" applyBorder="1" applyAlignment="1">
      <alignment horizontal="center" vertical="center" wrapText="1"/>
    </xf>
    <xf numFmtId="0" fontId="32" fillId="6" borderId="4"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0" xfId="0" applyFont="1" applyBorder="1" applyAlignment="1">
      <alignment horizontal="center" vertical="center" wrapText="1"/>
    </xf>
    <xf numFmtId="0" fontId="9" fillId="0" borderId="3" xfId="0" applyFont="1" applyBorder="1" applyAlignment="1">
      <alignment horizontal="center" vertical="center" wrapText="1"/>
    </xf>
    <xf numFmtId="0" fontId="15" fillId="4" borderId="3" xfId="0" applyFont="1" applyFill="1" applyBorder="1" applyAlignment="1">
      <alignment horizontal="center" vertical="center" wrapText="1"/>
    </xf>
    <xf numFmtId="0" fontId="9" fillId="0" borderId="5" xfId="0" applyFont="1" applyBorder="1" applyAlignment="1">
      <alignment horizontal="center" vertical="center" wrapText="1"/>
    </xf>
    <xf numFmtId="0" fontId="15"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5" fillId="0" borderId="5" xfId="0" applyFont="1" applyBorder="1" applyAlignment="1">
      <alignment horizontal="center" vertical="center" wrapText="1"/>
    </xf>
    <xf numFmtId="0" fontId="9" fillId="0" borderId="5" xfId="0" quotePrefix="1" applyFont="1" applyBorder="1" applyAlignment="1">
      <alignment horizontal="center" vertical="center" wrapText="1"/>
    </xf>
    <xf numFmtId="0" fontId="16" fillId="0" borderId="5" xfId="0" applyFont="1" applyBorder="1" applyAlignment="1">
      <alignment horizontal="center" vertical="center" wrapText="1"/>
    </xf>
    <xf numFmtId="0" fontId="9" fillId="0" borderId="4" xfId="0" applyFont="1" applyBorder="1" applyAlignment="1">
      <alignment horizontal="center" vertical="center" wrapText="1"/>
    </xf>
    <xf numFmtId="0" fontId="0" fillId="0" borderId="4" xfId="0" applyBorder="1" applyAlignment="1">
      <alignment horizontal="center" vertical="center" wrapText="1"/>
    </xf>
    <xf numFmtId="0" fontId="9"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15" xfId="0" applyBorder="1" applyAlignment="1">
      <alignment horizontal="center" vertical="center" wrapText="1"/>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0" fillId="0" borderId="16" xfId="0" applyBorder="1" applyAlignment="1">
      <alignment horizontal="center" vertical="center" wrapText="1"/>
    </xf>
    <xf numFmtId="179" fontId="15" fillId="3" borderId="3" xfId="1" applyNumberFormat="1" applyFont="1" applyFill="1" applyBorder="1" applyAlignment="1" applyProtection="1">
      <alignment horizontal="center" vertical="center" wrapText="1"/>
      <protection locked="0"/>
    </xf>
    <xf numFmtId="177" fontId="15" fillId="3" borderId="3" xfId="1" applyNumberFormat="1" applyFont="1" applyFill="1" applyBorder="1" applyAlignment="1" applyProtection="1">
      <alignment horizontal="center" vertical="center" wrapText="1"/>
      <protection locked="0"/>
    </xf>
    <xf numFmtId="179" fontId="15" fillId="3" borderId="16" xfId="1" applyNumberFormat="1" applyFont="1" applyFill="1" applyBorder="1" applyAlignment="1" applyProtection="1">
      <alignment horizontal="center" vertical="center" wrapText="1"/>
      <protection locked="0"/>
    </xf>
    <xf numFmtId="0" fontId="32" fillId="0" borderId="2"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18" xfId="0" applyFont="1" applyBorder="1" applyAlignment="1">
      <alignment horizontal="center" vertical="center" wrapText="1"/>
    </xf>
    <xf numFmtId="10" fontId="9" fillId="5" borderId="3" xfId="1" applyNumberFormat="1" applyFont="1" applyFill="1" applyBorder="1" applyAlignment="1" applyProtection="1">
      <alignment horizontal="center" vertical="center" wrapText="1"/>
      <protection locked="0"/>
    </xf>
    <xf numFmtId="177" fontId="0" fillId="0" borderId="0" xfId="0" applyNumberFormat="1" applyAlignment="1">
      <alignment horizontal="center" vertical="center" wrapText="1"/>
    </xf>
    <xf numFmtId="0" fontId="0" fillId="0" borderId="0" xfId="0" applyAlignment="1"/>
    <xf numFmtId="0" fontId="35" fillId="0" borderId="0" xfId="0" applyFont="1"/>
    <xf numFmtId="10" fontId="15" fillId="0" borderId="3" xfId="1" applyNumberFormat="1" applyFont="1" applyFill="1" applyBorder="1" applyAlignment="1">
      <alignment horizontal="center" vertical="center" wrapText="1"/>
    </xf>
    <xf numFmtId="9" fontId="10" fillId="0" borderId="12" xfId="1" applyFont="1" applyFill="1" applyBorder="1" applyAlignment="1" applyProtection="1">
      <alignment horizontal="center" vertical="center" wrapText="1"/>
      <protection locked="0"/>
    </xf>
    <xf numFmtId="0" fontId="10" fillId="11" borderId="3" xfId="0" applyFont="1" applyFill="1" applyBorder="1" applyAlignment="1" applyProtection="1">
      <alignment horizontal="center" vertical="center" wrapText="1"/>
      <protection locked="0"/>
    </xf>
    <xf numFmtId="0" fontId="0" fillId="0" borderId="14" xfId="0" applyFont="1" applyBorder="1" applyAlignment="1">
      <alignment horizontal="center"/>
    </xf>
    <xf numFmtId="0" fontId="0" fillId="0" borderId="1" xfId="0" applyFont="1" applyBorder="1" applyAlignment="1">
      <alignment horizontal="center"/>
    </xf>
    <xf numFmtId="0" fontId="0" fillId="0" borderId="15" xfId="0" applyFont="1" applyBorder="1" applyAlignment="1">
      <alignment horizontal="center"/>
    </xf>
    <xf numFmtId="0" fontId="24" fillId="8" borderId="3" xfId="0" applyFont="1" applyFill="1" applyBorder="1" applyAlignment="1">
      <alignment horizontal="center"/>
    </xf>
    <xf numFmtId="0" fontId="0" fillId="6" borderId="5" xfId="0" applyFont="1" applyFill="1" applyBorder="1" applyAlignment="1">
      <alignment horizontal="center" vertical="center"/>
    </xf>
    <xf numFmtId="0" fontId="0" fillId="6" borderId="19" xfId="0" applyFont="1" applyFill="1" applyBorder="1" applyAlignment="1">
      <alignment horizontal="center" vertical="center"/>
    </xf>
    <xf numFmtId="0" fontId="0" fillId="6" borderId="6" xfId="0" applyFont="1" applyFill="1" applyBorder="1" applyAlignment="1">
      <alignment horizontal="center" vertical="center"/>
    </xf>
    <xf numFmtId="0" fontId="32" fillId="6" borderId="2" xfId="0" applyFont="1" applyFill="1" applyBorder="1" applyAlignment="1">
      <alignment horizontal="center" vertical="center" wrapText="1"/>
    </xf>
    <xf numFmtId="0" fontId="32" fillId="6" borderId="17" xfId="0" applyFont="1" applyFill="1" applyBorder="1" applyAlignment="1">
      <alignment horizontal="center" vertical="center" wrapText="1"/>
    </xf>
    <xf numFmtId="0" fontId="32" fillId="6" borderId="14" xfId="0" applyFont="1" applyFill="1" applyBorder="1" applyAlignment="1">
      <alignment horizontal="center" vertical="center" wrapText="1"/>
    </xf>
    <xf numFmtId="0" fontId="32" fillId="6" borderId="1" xfId="0" applyFont="1" applyFill="1" applyBorder="1" applyAlignment="1">
      <alignment horizontal="center" vertical="center" wrapText="1"/>
    </xf>
    <xf numFmtId="0" fontId="32" fillId="6" borderId="3" xfId="0" applyFont="1" applyFill="1" applyBorder="1" applyAlignment="1">
      <alignment horizontal="center" vertical="center" wrapText="1"/>
    </xf>
    <xf numFmtId="0" fontId="3" fillId="0" borderId="0" xfId="0" applyFont="1" applyAlignment="1">
      <alignment horizontal="center" wrapText="1"/>
    </xf>
    <xf numFmtId="0" fontId="4" fillId="0" borderId="0" xfId="0" applyFont="1" applyAlignment="1">
      <alignment horizontal="center" wrapText="1"/>
    </xf>
    <xf numFmtId="0" fontId="0" fillId="0" borderId="13" xfId="0" applyBorder="1" applyAlignment="1">
      <alignment horizontal="center" wrapText="1"/>
    </xf>
    <xf numFmtId="0" fontId="0" fillId="0" borderId="1" xfId="0" applyBorder="1" applyAlignment="1">
      <alignment horizontal="center" vertical="center"/>
    </xf>
    <xf numFmtId="0" fontId="0" fillId="0" borderId="8" xfId="0" applyBorder="1" applyAlignment="1">
      <alignment horizontal="center" vertical="center"/>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cellXfs>
  <cellStyles count="2">
    <cellStyle name="百分比" xfId="1" builtinId="5"/>
    <cellStyle name="常规"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9"/>
  <sheetViews>
    <sheetView workbookViewId="0">
      <pane ySplit="1" topLeftCell="A12" activePane="bottomLeft" state="frozen"/>
      <selection activeCell="B1" sqref="B1"/>
      <selection pane="bottomLeft" activeCell="C32" sqref="C32"/>
    </sheetView>
  </sheetViews>
  <sheetFormatPr defaultRowHeight="13.5"/>
  <cols>
    <col min="1" max="1" width="5.75" customWidth="1"/>
    <col min="2" max="2" width="21" customWidth="1"/>
    <col min="3" max="3" width="21.375" customWidth="1"/>
    <col min="4" max="4" width="21.75" customWidth="1"/>
    <col min="5" max="5" width="20.125" customWidth="1"/>
    <col min="6" max="6" width="17.375" customWidth="1"/>
    <col min="7" max="7" width="18.75" customWidth="1"/>
    <col min="8" max="8" width="17.5" customWidth="1"/>
    <col min="11" max="11" width="23.375" customWidth="1"/>
  </cols>
  <sheetData>
    <row r="1" spans="2:10">
      <c r="B1" s="80" t="s">
        <v>374</v>
      </c>
    </row>
    <row r="3" spans="2:10" ht="27">
      <c r="B3" s="72" t="s">
        <v>163</v>
      </c>
    </row>
    <row r="4" spans="2:10">
      <c r="B4" s="81" t="s">
        <v>150</v>
      </c>
      <c r="C4" s="140">
        <v>42814</v>
      </c>
      <c r="D4" s="139"/>
      <c r="E4" s="84" t="s">
        <v>132</v>
      </c>
      <c r="F4" s="82" t="s">
        <v>156</v>
      </c>
    </row>
    <row r="5" spans="2:10">
      <c r="B5" s="81" t="s">
        <v>365</v>
      </c>
      <c r="C5" s="240" t="s">
        <v>367</v>
      </c>
      <c r="D5" s="240"/>
      <c r="E5" s="81" t="s">
        <v>366</v>
      </c>
      <c r="F5" s="89" t="s">
        <v>377</v>
      </c>
    </row>
    <row r="6" spans="2:10">
      <c r="B6" s="81" t="s">
        <v>176</v>
      </c>
      <c r="C6" s="126" t="str">
        <f>CONCATENATE(C5,F5,"号)")</f>
        <v>《厦门市土地房屋权证》(厦地房证第00441854号)</v>
      </c>
      <c r="D6" s="127"/>
      <c r="E6" s="127"/>
      <c r="F6" s="128"/>
    </row>
    <row r="7" spans="2:10">
      <c r="B7" s="81" t="s">
        <v>177</v>
      </c>
      <c r="C7" s="82" t="s">
        <v>708</v>
      </c>
      <c r="D7" s="82" t="s">
        <v>157</v>
      </c>
      <c r="E7" s="81" t="s">
        <v>171</v>
      </c>
      <c r="F7" s="82" t="s">
        <v>428</v>
      </c>
    </row>
    <row r="8" spans="2:10">
      <c r="B8" s="81" t="s">
        <v>172</v>
      </c>
      <c r="C8" s="132"/>
      <c r="D8" s="133"/>
      <c r="E8" s="133"/>
      <c r="F8" s="134"/>
    </row>
    <row r="9" spans="2:10">
      <c r="B9" s="81" t="s">
        <v>146</v>
      </c>
      <c r="C9" s="89" t="s">
        <v>378</v>
      </c>
      <c r="D9" s="82" t="s">
        <v>147</v>
      </c>
      <c r="E9" s="84" t="s">
        <v>136</v>
      </c>
      <c r="F9" s="82" t="s">
        <v>127</v>
      </c>
      <c r="H9" s="84" t="s">
        <v>188</v>
      </c>
      <c r="I9" s="96">
        <f>VLOOKUP(F9,估价师名册!G2:H6,2,0)</f>
        <v>60</v>
      </c>
    </row>
    <row r="10" spans="2:10">
      <c r="B10" s="81" t="s">
        <v>135</v>
      </c>
      <c r="C10" s="82" t="s">
        <v>433</v>
      </c>
      <c r="D10" s="82" t="s">
        <v>432</v>
      </c>
      <c r="E10" s="84" t="s">
        <v>133</v>
      </c>
      <c r="F10" s="82" t="s">
        <v>436</v>
      </c>
      <c r="H10" s="84" t="s">
        <v>508</v>
      </c>
      <c r="I10" s="194">
        <f>I9-G15</f>
        <v>25</v>
      </c>
    </row>
    <row r="11" spans="2:10">
      <c r="B11" s="81" t="s">
        <v>149</v>
      </c>
      <c r="C11" s="89" t="s">
        <v>379</v>
      </c>
      <c r="D11" s="82">
        <v>60000510025</v>
      </c>
      <c r="E11" s="84" t="s">
        <v>143</v>
      </c>
      <c r="F11" s="130">
        <f>ROUND((C4-C12)/365.25,0)</f>
        <v>27</v>
      </c>
    </row>
    <row r="12" spans="2:10">
      <c r="B12" s="81" t="s">
        <v>144</v>
      </c>
      <c r="C12" s="90">
        <v>33001</v>
      </c>
      <c r="D12" s="90">
        <f>DATE(YEAR(C12)+70,MONTH(C12),DAY(C12)-1)</f>
        <v>58568</v>
      </c>
      <c r="E12" s="84" t="s">
        <v>145</v>
      </c>
      <c r="F12" s="130">
        <f>ROUND((D12-C4)/365.25,0)</f>
        <v>43</v>
      </c>
      <c r="G12">
        <f>ROUND((D12-C12)/365.25,0)</f>
        <v>70</v>
      </c>
    </row>
    <row r="13" spans="2:10">
      <c r="B13" s="81" t="s">
        <v>142</v>
      </c>
      <c r="C13" s="82">
        <v>11902.43</v>
      </c>
      <c r="D13" s="82">
        <v>52</v>
      </c>
      <c r="E13" s="84" t="s">
        <v>291</v>
      </c>
      <c r="F13" s="82" t="s">
        <v>292</v>
      </c>
      <c r="G13" t="str">
        <f>IF(D13="","未登记",D13&amp;"平方米")</f>
        <v>52平方米</v>
      </c>
    </row>
    <row r="14" spans="2:10">
      <c r="B14" s="81" t="s">
        <v>173</v>
      </c>
      <c r="C14" s="132" t="s">
        <v>174</v>
      </c>
      <c r="D14" s="134"/>
      <c r="E14" s="84" t="s">
        <v>189</v>
      </c>
      <c r="F14" s="194">
        <f>MIN(F12,F15)</f>
        <v>36</v>
      </c>
      <c r="J14" s="97"/>
    </row>
    <row r="15" spans="2:10" ht="14.25">
      <c r="B15" s="81" t="s">
        <v>141</v>
      </c>
      <c r="C15" s="91">
        <v>72.650000000000006</v>
      </c>
      <c r="D15" s="82"/>
      <c r="E15" s="84" t="s">
        <v>186</v>
      </c>
      <c r="F15" s="194">
        <f>IF(G16&gt;0.6,G15,I9*0.6)</f>
        <v>36</v>
      </c>
      <c r="G15" s="193">
        <f>I9+C16-YEAR(C4)</f>
        <v>35</v>
      </c>
    </row>
    <row r="16" spans="2:10" ht="14.25">
      <c r="B16" s="81" t="s">
        <v>148</v>
      </c>
      <c r="C16" s="92">
        <v>1992</v>
      </c>
      <c r="D16" s="93" t="s">
        <v>151</v>
      </c>
      <c r="E16" s="84" t="s">
        <v>190</v>
      </c>
      <c r="F16" s="98">
        <f>IF(G16&gt;0.6,G16,0.6)</f>
        <v>0.6</v>
      </c>
      <c r="G16" s="99">
        <f>1-(YEAR(C4)-C16)/I9</f>
        <v>0.58333333333333326</v>
      </c>
    </row>
    <row r="17" spans="2:11">
      <c r="B17" s="84" t="s">
        <v>137</v>
      </c>
      <c r="C17" s="82">
        <v>2</v>
      </c>
      <c r="D17" s="82" t="s">
        <v>138</v>
      </c>
      <c r="E17" s="84" t="s">
        <v>266</v>
      </c>
      <c r="F17" s="82" t="s">
        <v>267</v>
      </c>
      <c r="G17" s="4" t="str">
        <f>CONCATENATE("第",C17,"层")</f>
        <v>第2层</v>
      </c>
    </row>
    <row r="18" spans="2:11">
      <c r="B18" s="81" t="s">
        <v>191</v>
      </c>
      <c r="C18" s="81" t="s">
        <v>368</v>
      </c>
      <c r="D18" s="81" t="s">
        <v>369</v>
      </c>
      <c r="E18" s="81" t="s">
        <v>504</v>
      </c>
      <c r="F18" s="142"/>
    </row>
    <row r="19" spans="2:11" ht="174" customHeight="1">
      <c r="B19" s="73"/>
      <c r="C19" s="143" t="s">
        <v>380</v>
      </c>
      <c r="D19" s="143" t="s">
        <v>373</v>
      </c>
      <c r="E19" s="143" t="s">
        <v>505</v>
      </c>
      <c r="F19" s="143"/>
    </row>
    <row r="20" spans="2:11" ht="22.5" customHeight="1"/>
    <row r="21" spans="2:11" ht="27">
      <c r="B21" s="72" t="s">
        <v>175</v>
      </c>
      <c r="G21" s="72" t="s">
        <v>637</v>
      </c>
    </row>
    <row r="22" spans="2:11">
      <c r="B22" s="81" t="s">
        <v>370</v>
      </c>
      <c r="C22" s="82" t="s">
        <v>421</v>
      </c>
      <c r="D22" s="81" t="s">
        <v>382</v>
      </c>
      <c r="E22" s="82" t="s">
        <v>381</v>
      </c>
      <c r="G22" s="81" t="s">
        <v>631</v>
      </c>
      <c r="H22" s="81">
        <f>比较法!K1</f>
        <v>20939</v>
      </c>
      <c r="I22" s="179">
        <v>0.6</v>
      </c>
      <c r="J22" s="81">
        <f>ROUND(H22*I22+H23*I23,0)</f>
        <v>20920</v>
      </c>
      <c r="K22" s="180">
        <f>J22</f>
        <v>20920</v>
      </c>
    </row>
    <row r="23" spans="2:11">
      <c r="B23" s="81" t="s">
        <v>372</v>
      </c>
      <c r="C23" s="107" t="str">
        <f>"厦门市"&amp;C7&amp;D7&amp;E22&amp;C22&amp;"估价"</f>
        <v>厦门市[座落2][室号1]住宅房地产抵押价值估价</v>
      </c>
      <c r="D23" s="108"/>
      <c r="E23" s="109"/>
      <c r="G23" s="81" t="s">
        <v>632</v>
      </c>
      <c r="H23" s="81">
        <f>持有转售!J1</f>
        <v>20891</v>
      </c>
      <c r="I23" s="179">
        <f>1-I22</f>
        <v>0.4</v>
      </c>
    </row>
    <row r="24" spans="2:11">
      <c r="B24" s="81" t="s">
        <v>371</v>
      </c>
      <c r="C24" s="136" t="str">
        <f>VLOOKUP(C22,估价师名册!D13:E18,2,0)</f>
        <v>为确定房地产抵押贷款额度提供参考依据而评估房地产抵押价值</v>
      </c>
      <c r="D24" s="137"/>
      <c r="E24" s="138"/>
      <c r="G24" s="241" t="s">
        <v>636</v>
      </c>
      <c r="H24" s="242"/>
      <c r="I24" s="243"/>
      <c r="J24" s="81">
        <f>ROUND(J22*C15/10000,2)</f>
        <v>151.97999999999999</v>
      </c>
      <c r="K24" s="180">
        <f>J24*10000</f>
        <v>1519800</v>
      </c>
    </row>
    <row r="25" spans="2:11">
      <c r="B25" s="81" t="s">
        <v>134</v>
      </c>
      <c r="C25" s="100" t="s">
        <v>420</v>
      </c>
      <c r="D25" s="101"/>
      <c r="E25" s="102"/>
    </row>
    <row r="26" spans="2:11">
      <c r="B26" s="81" t="s">
        <v>364</v>
      </c>
      <c r="C26" s="100" t="s">
        <v>383</v>
      </c>
      <c r="D26" s="101"/>
      <c r="E26" s="102"/>
    </row>
    <row r="27" spans="2:11">
      <c r="B27" s="94" t="s">
        <v>384</v>
      </c>
      <c r="C27" s="95">
        <f>估价信息!C4</f>
        <v>42814</v>
      </c>
      <c r="D27" s="95">
        <v>42095</v>
      </c>
      <c r="E27" s="131">
        <f>C27</f>
        <v>42814</v>
      </c>
      <c r="G27" t="s">
        <v>706</v>
      </c>
    </row>
    <row r="28" spans="2:11">
      <c r="B28" s="81" t="s">
        <v>185</v>
      </c>
      <c r="C28" s="95" t="s">
        <v>385</v>
      </c>
      <c r="D28" s="129">
        <f>IF(C28="半年",DATE(YEAR(D27),MONTH(D27)+6,DAY(D27)-1),DATE(YEAR(D27)+1,MONTH(D27),DAY(D27)-1))</f>
        <v>42277</v>
      </c>
      <c r="G28" s="81" t="s">
        <v>633</v>
      </c>
      <c r="H28" s="181">
        <v>22000</v>
      </c>
      <c r="I28" s="179">
        <v>0.6</v>
      </c>
      <c r="J28" s="81">
        <f>ROUND(H28*I28+H29*I29,0)</f>
        <v>21600</v>
      </c>
    </row>
    <row r="29" spans="2:11">
      <c r="B29" s="81" t="s">
        <v>152</v>
      </c>
      <c r="C29" s="82" t="s">
        <v>158</v>
      </c>
      <c r="D29" s="130">
        <f>VLOOKUP(估价信息!C29,估价师名册!A2:B10,2,0)</f>
        <v>3520110018</v>
      </c>
      <c r="G29" s="81" t="s">
        <v>634</v>
      </c>
      <c r="H29" s="181">
        <v>21000</v>
      </c>
      <c r="I29" s="179">
        <f>1-I28</f>
        <v>0.4</v>
      </c>
    </row>
    <row r="30" spans="2:11">
      <c r="B30" s="81" t="s">
        <v>153</v>
      </c>
      <c r="C30" s="82" t="s">
        <v>720</v>
      </c>
      <c r="D30" s="130">
        <f>VLOOKUP(估价信息!C30,估价师名册!A2:B10,2,0)</f>
        <v>3520120066</v>
      </c>
      <c r="G30" s="241" t="s">
        <v>635</v>
      </c>
      <c r="H30" s="242"/>
      <c r="I30" s="243"/>
      <c r="J30" s="81">
        <f>ROUND(J28*C15/10000,2)</f>
        <v>156.91999999999999</v>
      </c>
    </row>
    <row r="31" spans="2:11">
      <c r="B31" s="81" t="s">
        <v>162</v>
      </c>
      <c r="C31" s="82" t="s">
        <v>158</v>
      </c>
      <c r="D31" s="130">
        <f>VLOOKUP(估价信息!C31,估价师名册!A2:B10,2,0)</f>
        <v>3520110018</v>
      </c>
    </row>
    <row r="32" spans="2:11">
      <c r="B32" s="81" t="s">
        <v>154</v>
      </c>
      <c r="C32" s="82" t="s">
        <v>440</v>
      </c>
      <c r="D32" s="82" t="s">
        <v>439</v>
      </c>
      <c r="G32" t="str">
        <f>IF(I22=I23,估价师名册!E39,IF(I22&gt;I23,估价师名册!E40&amp;",故比较法权重取"&amp;估价信息!I22*100&amp;"%，收益法权重取"&amp;估价信息!I23*100&amp;"%",估价师名册!E41&amp;",故比较法权重取"&amp;估价信息!I22*100&amp;"%，收益法权重取"&amp;估价信息!I23*100&amp;"%"))</f>
        <v>由于比较法的资料更完整、可靠，而且更直接地反映动态的市场价格,故比较法权重取60%，收益法权重取40%</v>
      </c>
    </row>
    <row r="33" spans="1:12">
      <c r="B33" s="81" t="s">
        <v>155</v>
      </c>
      <c r="C33" s="82" t="s">
        <v>491</v>
      </c>
      <c r="D33" s="130">
        <f>VLOOKUP(C33,估价师名册!M2:N50,2,0)</f>
        <v>13950111865</v>
      </c>
    </row>
    <row r="34" spans="1:12">
      <c r="B34" s="81" t="s">
        <v>375</v>
      </c>
      <c r="C34" s="141" t="s">
        <v>376</v>
      </c>
      <c r="D34" s="102"/>
    </row>
    <row r="36" spans="1:12" ht="27">
      <c r="B36" s="72" t="s">
        <v>201</v>
      </c>
    </row>
    <row r="37" spans="1:12">
      <c r="B37" s="81" t="s">
        <v>131</v>
      </c>
      <c r="C37" s="82" t="s">
        <v>441</v>
      </c>
      <c r="D37" s="81" t="s">
        <v>192</v>
      </c>
      <c r="E37" s="112" t="s">
        <v>193</v>
      </c>
      <c r="F37" s="113"/>
      <c r="G37" s="83" t="str">
        <f>IF(C37&lt;&gt;"","("&amp;C37&amp;")","")</f>
        <v>([小区名称])</v>
      </c>
      <c r="H37" s="83"/>
      <c r="I37" s="83"/>
      <c r="J37" s="83"/>
      <c r="K37" s="83"/>
    </row>
    <row r="38" spans="1:12">
      <c r="A38" s="79"/>
      <c r="B38" s="81" t="s">
        <v>258</v>
      </c>
      <c r="C38" s="82" t="s">
        <v>259</v>
      </c>
      <c r="D38" s="84" t="s">
        <v>139</v>
      </c>
      <c r="E38" s="82" t="s">
        <v>140</v>
      </c>
      <c r="F38" s="85">
        <f>VLOOKUP(E38,估价师名册!J2:K56,2,0)</f>
        <v>7000</v>
      </c>
      <c r="G38" s="83"/>
      <c r="H38" s="83"/>
      <c r="I38" s="83"/>
      <c r="J38" s="83"/>
      <c r="K38" s="83"/>
    </row>
    <row r="39" spans="1:12">
      <c r="A39" s="79"/>
      <c r="B39" s="81" t="s">
        <v>194</v>
      </c>
      <c r="C39" s="100" t="s">
        <v>268</v>
      </c>
      <c r="D39" s="101"/>
      <c r="E39" s="101"/>
      <c r="F39" s="102"/>
      <c r="G39" s="83"/>
      <c r="H39" s="83"/>
      <c r="I39" s="83"/>
      <c r="J39" s="83"/>
      <c r="K39" s="83"/>
    </row>
    <row r="40" spans="1:12">
      <c r="A40" s="79"/>
      <c r="B40" s="81" t="s">
        <v>391</v>
      </c>
      <c r="C40" s="100" t="s">
        <v>392</v>
      </c>
      <c r="D40" s="102"/>
      <c r="E40" s="81" t="s">
        <v>414</v>
      </c>
      <c r="F40" s="105" t="s">
        <v>393</v>
      </c>
      <c r="G40" s="83"/>
      <c r="H40" s="83"/>
      <c r="I40" s="83"/>
      <c r="J40" s="83"/>
      <c r="K40" s="83"/>
      <c r="L40" s="83"/>
    </row>
    <row r="41" spans="1:12">
      <c r="A41" s="79"/>
      <c r="B41" s="81" t="s">
        <v>200</v>
      </c>
      <c r="C41" s="100" t="s">
        <v>394</v>
      </c>
      <c r="D41" s="102"/>
      <c r="E41" s="81" t="s">
        <v>415</v>
      </c>
      <c r="F41" s="105" t="s">
        <v>195</v>
      </c>
      <c r="G41" s="83"/>
      <c r="J41" s="83"/>
      <c r="K41" s="83"/>
      <c r="L41" s="83"/>
    </row>
    <row r="42" spans="1:12">
      <c r="A42" s="79"/>
      <c r="B42" s="81" t="s">
        <v>395</v>
      </c>
      <c r="C42" s="105" t="s">
        <v>396</v>
      </c>
      <c r="D42" s="81" t="s">
        <v>397</v>
      </c>
      <c r="E42" s="105" t="s">
        <v>503</v>
      </c>
      <c r="F42" s="105" t="s">
        <v>195</v>
      </c>
      <c r="G42" s="83" t="str">
        <f>CONCATENATE("楼幢朝向为",C42,"，估价对象位于其",E42,"角。")</f>
        <v>楼幢朝向为南北，估价对象位于其东南角。</v>
      </c>
      <c r="H42" s="83"/>
      <c r="I42" s="83"/>
      <c r="J42" s="83"/>
      <c r="K42" s="83"/>
    </row>
    <row r="43" spans="1:12">
      <c r="A43" s="79"/>
      <c r="B43" s="81" t="s">
        <v>398</v>
      </c>
      <c r="C43" s="100" t="s">
        <v>399</v>
      </c>
      <c r="D43" s="102"/>
      <c r="E43" s="81" t="s">
        <v>401</v>
      </c>
      <c r="F43" s="105" t="s">
        <v>402</v>
      </c>
      <c r="G43" s="83" t="str">
        <f>"区域内有"&amp;C43&amp;"等"&amp;F44&amp;"小区，"&amp;F44&amp;"聚集度"&amp;F43&amp;"。"</f>
        <v>区域内有裕兴花园、江村丽苑等生活小区，生活聚集度高。</v>
      </c>
      <c r="H43" s="83"/>
      <c r="I43" s="83"/>
      <c r="J43" s="83"/>
      <c r="K43" s="83"/>
    </row>
    <row r="44" spans="1:12">
      <c r="A44" s="79"/>
      <c r="B44" s="81" t="s">
        <v>429</v>
      </c>
      <c r="C44" s="135" t="s">
        <v>434</v>
      </c>
      <c r="D44" s="135" t="s">
        <v>435</v>
      </c>
      <c r="E44" s="81" t="s">
        <v>430</v>
      </c>
      <c r="F44" s="105" t="s">
        <v>400</v>
      </c>
      <c r="G44" s="83"/>
      <c r="H44" s="83"/>
      <c r="I44" s="83"/>
      <c r="J44" s="83"/>
      <c r="K44" s="83"/>
    </row>
    <row r="45" spans="1:12">
      <c r="B45" s="81" t="s">
        <v>403</v>
      </c>
      <c r="C45" s="100" t="s">
        <v>404</v>
      </c>
      <c r="D45" s="102"/>
      <c r="E45" s="81" t="s">
        <v>405</v>
      </c>
      <c r="F45" s="105" t="s">
        <v>261</v>
      </c>
      <c r="G45" s="83" t="str">
        <f>"区域内主要由"&amp;C45&amp;"构成的交通路网通达岛内外，交通通达度"&amp;F45&amp;"。"</f>
        <v>区域内主要由厦禾路、禾祥西路、角滨路构成的交通路网通达岛内外，交通通达度好。</v>
      </c>
      <c r="H45" s="83"/>
      <c r="I45" s="83"/>
      <c r="J45" s="83"/>
      <c r="K45" s="83"/>
    </row>
    <row r="46" spans="1:12">
      <c r="B46" s="81" t="s">
        <v>407</v>
      </c>
      <c r="C46" s="100" t="s">
        <v>196</v>
      </c>
      <c r="D46" s="102"/>
      <c r="E46" s="81" t="s">
        <v>418</v>
      </c>
      <c r="F46" s="105" t="s">
        <v>270</v>
      </c>
      <c r="G46" s="83" t="str">
        <f>"出入可利用公交车、出租车等交通工具；估价对象距离“"&amp;C48&amp;"”公交站点较近，有"&amp;C46&amp;"公交车经过，交通便捷度"&amp;F46&amp;"。"</f>
        <v>出入可利用公交车、出租车等交通工具；估价对象距离“滨北站”公交站点较近，有10、20、941、951路公交车经过，交通便捷度较高。</v>
      </c>
      <c r="H46" s="83"/>
      <c r="I46" s="83"/>
      <c r="J46" s="83"/>
      <c r="K46" s="83"/>
    </row>
    <row r="47" spans="1:12">
      <c r="B47" s="81" t="s">
        <v>410</v>
      </c>
      <c r="C47" s="103" t="s">
        <v>411</v>
      </c>
      <c r="D47" s="102"/>
      <c r="E47" s="81" t="s">
        <v>419</v>
      </c>
      <c r="F47" s="105" t="s">
        <v>272</v>
      </c>
      <c r="G47" s="83"/>
      <c r="H47" s="83"/>
      <c r="I47" s="83"/>
      <c r="J47" s="83"/>
      <c r="K47" s="83"/>
    </row>
    <row r="48" spans="1:12" ht="23.25" customHeight="1">
      <c r="B48" s="81" t="s">
        <v>406</v>
      </c>
      <c r="C48" s="100" t="s">
        <v>431</v>
      </c>
      <c r="D48" s="102"/>
      <c r="E48" s="81" t="s">
        <v>408</v>
      </c>
      <c r="F48" s="105" t="s">
        <v>409</v>
      </c>
      <c r="G48" s="83" t="str">
        <f>VLOOKUP(E49,估价师名册!A21:B25,2,0)</f>
        <v>（即通路、通上水、下水、通电、通讯、通管道煤气）</v>
      </c>
      <c r="H48" s="83"/>
      <c r="I48" s="83"/>
      <c r="J48" s="83"/>
      <c r="K48" s="83"/>
    </row>
    <row r="49" spans="2:12">
      <c r="B49" s="81" t="s">
        <v>413</v>
      </c>
      <c r="C49" s="105" t="s">
        <v>125</v>
      </c>
      <c r="D49" s="81" t="s">
        <v>412</v>
      </c>
      <c r="E49" s="135" t="s">
        <v>601</v>
      </c>
      <c r="F49" s="104" t="s">
        <v>602</v>
      </c>
      <c r="G49" s="83" t="str">
        <f>VLOOKUP(C49,估价师名册!A21:B25,2,0)</f>
        <v>（即通路、通上水、下水、通电、通讯、通管道煤气及场地平整）</v>
      </c>
      <c r="H49" s="83"/>
      <c r="I49" s="83"/>
      <c r="J49" s="83"/>
      <c r="K49" s="83"/>
    </row>
    <row r="50" spans="2:12">
      <c r="B50" s="111"/>
      <c r="C50" s="111"/>
      <c r="D50" s="111"/>
      <c r="E50" s="114" t="s">
        <v>197</v>
      </c>
      <c r="F50" s="115" t="s">
        <v>281</v>
      </c>
      <c r="G50" s="83"/>
      <c r="H50" s="83"/>
      <c r="I50" s="83"/>
      <c r="J50" s="83"/>
      <c r="K50" s="83"/>
    </row>
    <row r="51" spans="2:12">
      <c r="B51" s="86" t="s">
        <v>285</v>
      </c>
      <c r="C51" s="86" t="s">
        <v>286</v>
      </c>
      <c r="D51" s="86" t="s">
        <v>287</v>
      </c>
      <c r="E51" s="114" t="s">
        <v>199</v>
      </c>
      <c r="F51" s="104" t="s">
        <v>306</v>
      </c>
      <c r="G51" s="83" t="str">
        <f>"小区为"&amp;F51&amp;"划片范围内，可就读"&amp;F51&amp;"，人文环境优秀；"</f>
        <v>小区为实验小学划片范围内，可就读实验小学，人文环境优秀；</v>
      </c>
      <c r="I51" s="83"/>
      <c r="J51" s="83"/>
      <c r="K51" s="83"/>
      <c r="L51" s="83"/>
    </row>
    <row r="52" spans="2:12">
      <c r="B52" s="94"/>
      <c r="C52" s="94"/>
      <c r="D52" s="94"/>
      <c r="E52" s="114" t="s">
        <v>390</v>
      </c>
      <c r="F52" s="104" t="s">
        <v>282</v>
      </c>
      <c r="G52" s="83"/>
      <c r="H52" s="83"/>
      <c r="I52" s="83"/>
      <c r="J52" s="83"/>
      <c r="K52" s="83"/>
    </row>
    <row r="53" spans="2:12" ht="117" customHeight="1">
      <c r="B53" s="106" t="s">
        <v>288</v>
      </c>
      <c r="C53" s="106" t="s">
        <v>289</v>
      </c>
      <c r="D53" s="106" t="s">
        <v>386</v>
      </c>
      <c r="E53" s="110" t="str">
        <f>IF(F51&lt;&gt;"",G51,"")&amp;"区域内有"&amp;F50&amp;"等公建配套设施，"&amp;F52&amp;F44&amp;"需求。"</f>
        <v>小区为实验小学划片范围内，可就读实验小学，人文环境优秀；区域内有建设银行、中国银行、明发商业广场等公建配套设施，全面满足生活需求。</v>
      </c>
      <c r="F53" s="116"/>
      <c r="H53" s="83"/>
      <c r="I53" s="83"/>
      <c r="J53" s="83"/>
      <c r="K53" s="83"/>
    </row>
    <row r="54" spans="2:12" ht="25.5" customHeight="1">
      <c r="B54" s="81" t="s">
        <v>290</v>
      </c>
      <c r="C54" s="81" t="s">
        <v>298</v>
      </c>
      <c r="D54" s="81" t="s">
        <v>299</v>
      </c>
      <c r="E54" s="81" t="s">
        <v>300</v>
      </c>
      <c r="F54" s="81" t="s">
        <v>301</v>
      </c>
      <c r="G54" s="83"/>
      <c r="H54" s="83"/>
      <c r="I54" s="83"/>
      <c r="J54" s="83"/>
      <c r="K54" s="83"/>
    </row>
    <row r="55" spans="2:12" ht="74.25" customHeight="1">
      <c r="B55" s="106" t="s">
        <v>297</v>
      </c>
      <c r="C55" s="106" t="s">
        <v>492</v>
      </c>
      <c r="D55" s="106" t="s">
        <v>506</v>
      </c>
      <c r="E55" s="106" t="s">
        <v>507</v>
      </c>
      <c r="F55" s="117" t="s">
        <v>293</v>
      </c>
      <c r="G55" s="83"/>
      <c r="H55" s="83"/>
      <c r="I55" s="83"/>
      <c r="J55" s="83"/>
      <c r="K55" s="83"/>
    </row>
    <row r="56" spans="2:12" ht="13.5" customHeight="1">
      <c r="B56" s="81" t="s">
        <v>302</v>
      </c>
      <c r="C56" s="81" t="s">
        <v>304</v>
      </c>
      <c r="D56" s="81" t="s">
        <v>329</v>
      </c>
      <c r="E56" s="81" t="s">
        <v>331</v>
      </c>
      <c r="F56" s="81" t="s">
        <v>332</v>
      </c>
      <c r="G56" s="81" t="s">
        <v>509</v>
      </c>
      <c r="H56" s="83"/>
      <c r="I56" s="83"/>
      <c r="J56" s="83"/>
      <c r="K56" s="83"/>
    </row>
    <row r="57" spans="2:12" ht="126.75" customHeight="1" thickBot="1">
      <c r="B57" s="106" t="s">
        <v>294</v>
      </c>
      <c r="C57" s="106" t="s">
        <v>497</v>
      </c>
      <c r="D57" s="106" t="s">
        <v>387</v>
      </c>
      <c r="E57" s="106" t="s">
        <v>603</v>
      </c>
      <c r="F57" s="117" t="s">
        <v>333</v>
      </c>
      <c r="G57" s="117" t="s">
        <v>510</v>
      </c>
      <c r="H57" s="153" t="str">
        <f>C58&amp;IF(E58&lt;&gt;"",",","")&amp;E58&amp;"，"&amp;C57</f>
        <v>带电梯,二梯三户，有数字电视、楼宇防盗对讲系统、水电、通讯、网络、管道燃气等配套设施设备比较齐全，能满足正常使用</v>
      </c>
      <c r="I57" s="83"/>
      <c r="J57" s="83"/>
      <c r="K57" s="83"/>
    </row>
    <row r="58" spans="2:12" ht="14.25" thickTop="1">
      <c r="B58" s="81" t="s">
        <v>303</v>
      </c>
      <c r="C58" s="82" t="s">
        <v>128</v>
      </c>
      <c r="D58" s="81" t="s">
        <v>305</v>
      </c>
      <c r="E58" s="100" t="s">
        <v>498</v>
      </c>
      <c r="F58" s="101"/>
      <c r="G58" s="237" t="s">
        <v>328</v>
      </c>
      <c r="H58" s="238"/>
      <c r="I58" s="238"/>
      <c r="J58" s="238"/>
      <c r="K58" s="239"/>
    </row>
    <row r="59" spans="2:12" ht="18" customHeight="1">
      <c r="B59" s="81" t="s">
        <v>330</v>
      </c>
      <c r="C59" s="82">
        <v>2.8</v>
      </c>
      <c r="D59" s="81" t="s">
        <v>335</v>
      </c>
      <c r="E59" s="100" t="s">
        <v>695</v>
      </c>
      <c r="F59" s="101" t="s">
        <v>694</v>
      </c>
      <c r="G59" s="122"/>
      <c r="H59" s="81" t="s">
        <v>354</v>
      </c>
      <c r="I59" s="81" t="s">
        <v>355</v>
      </c>
      <c r="J59" s="81" t="s">
        <v>356</v>
      </c>
      <c r="K59" s="118" t="s">
        <v>357</v>
      </c>
    </row>
    <row r="60" spans="2:12" ht="20.25" customHeight="1">
      <c r="B60" s="86" t="s">
        <v>336</v>
      </c>
      <c r="C60" s="82" t="s">
        <v>337</v>
      </c>
      <c r="D60" s="81" t="s">
        <v>334</v>
      </c>
      <c r="E60" s="100" t="s">
        <v>389</v>
      </c>
      <c r="F60" s="101"/>
      <c r="G60" s="119" t="s">
        <v>358</v>
      </c>
      <c r="H60" s="105" t="s">
        <v>307</v>
      </c>
      <c r="I60" s="105" t="s">
        <v>308</v>
      </c>
      <c r="J60" s="105" t="s">
        <v>308</v>
      </c>
      <c r="K60" s="120">
        <v>111</v>
      </c>
    </row>
    <row r="61" spans="2:12">
      <c r="B61" s="87" t="s">
        <v>198</v>
      </c>
      <c r="C61" s="82" t="s">
        <v>344</v>
      </c>
      <c r="D61" s="81" t="s">
        <v>353</v>
      </c>
      <c r="E61" s="100" t="s">
        <v>416</v>
      </c>
      <c r="F61" s="101"/>
      <c r="G61" s="119" t="s">
        <v>359</v>
      </c>
      <c r="H61" s="105" t="s">
        <v>309</v>
      </c>
      <c r="I61" s="105" t="s">
        <v>308</v>
      </c>
      <c r="J61" s="105" t="s">
        <v>308</v>
      </c>
      <c r="K61" s="120"/>
    </row>
    <row r="62" spans="2:12" ht="20.25" customHeight="1">
      <c r="B62" s="81" t="s">
        <v>349</v>
      </c>
      <c r="C62" s="88" t="s">
        <v>363</v>
      </c>
      <c r="D62" s="81" t="s">
        <v>348</v>
      </c>
      <c r="E62" s="141" t="s">
        <v>500</v>
      </c>
      <c r="F62" s="154" t="s">
        <v>499</v>
      </c>
      <c r="G62" s="119" t="s">
        <v>360</v>
      </c>
      <c r="H62" s="105" t="s">
        <v>310</v>
      </c>
      <c r="I62" s="105" t="s">
        <v>311</v>
      </c>
      <c r="J62" s="105" t="s">
        <v>312</v>
      </c>
      <c r="K62" s="120"/>
    </row>
    <row r="63" spans="2:12" ht="13.5" customHeight="1">
      <c r="B63" s="81" t="s">
        <v>350</v>
      </c>
      <c r="C63" s="82" t="s">
        <v>264</v>
      </c>
      <c r="D63" s="81" t="s">
        <v>352</v>
      </c>
      <c r="E63" s="100" t="s">
        <v>417</v>
      </c>
      <c r="F63" s="101"/>
      <c r="G63" s="119" t="s">
        <v>361</v>
      </c>
      <c r="H63" s="105" t="s">
        <v>310</v>
      </c>
      <c r="I63" s="105" t="s">
        <v>311</v>
      </c>
      <c r="J63" s="105" t="s">
        <v>326</v>
      </c>
      <c r="K63" s="120" t="s">
        <v>313</v>
      </c>
    </row>
    <row r="64" spans="2:12" ht="26.25" customHeight="1" thickBot="1">
      <c r="B64" s="81" t="s">
        <v>388</v>
      </c>
      <c r="C64" s="82" t="s">
        <v>345</v>
      </c>
      <c r="D64" s="81" t="s">
        <v>351</v>
      </c>
      <c r="E64" s="100" t="s">
        <v>346</v>
      </c>
      <c r="F64" s="101"/>
      <c r="G64" s="121" t="s">
        <v>362</v>
      </c>
      <c r="H64" s="123" t="s">
        <v>314</v>
      </c>
      <c r="I64" s="124"/>
      <c r="J64" s="124"/>
      <c r="K64" s="125"/>
    </row>
    <row r="65" spans="2:11" ht="25.5" customHeight="1" thickTop="1">
      <c r="B65" s="81" t="s">
        <v>511</v>
      </c>
      <c r="C65" s="135" t="s">
        <v>345</v>
      </c>
      <c r="D65" s="81" t="s">
        <v>347</v>
      </c>
      <c r="E65" s="100" t="s">
        <v>512</v>
      </c>
      <c r="F65" s="102"/>
      <c r="G65" s="83" t="str">
        <f>VLOOKUP(E65,估价师名册!D34:E35,2,0)</f>
        <v>于实地查勘之日，估价对象房屋基础稳固性较好，无超过允许范围的不均匀沉降，墙面、楼地面、门窗等未出现明显破损情况，</v>
      </c>
    </row>
    <row r="66" spans="2:11">
      <c r="H66" s="83"/>
      <c r="I66" s="83"/>
      <c r="J66" s="83"/>
      <c r="K66" s="83"/>
    </row>
    <row r="67" spans="2:11">
      <c r="G67" s="83"/>
      <c r="H67" s="83"/>
      <c r="I67" s="83"/>
      <c r="J67" s="83"/>
      <c r="K67" s="83"/>
    </row>
    <row r="68" spans="2:11">
      <c r="G68" s="83"/>
      <c r="H68" s="83"/>
      <c r="I68" s="83"/>
      <c r="J68" s="83"/>
      <c r="K68" s="83"/>
    </row>
    <row r="69" spans="2:11">
      <c r="G69" s="83"/>
      <c r="H69" s="83"/>
      <c r="I69" s="83"/>
      <c r="J69" s="83"/>
      <c r="K69" s="83"/>
    </row>
  </sheetData>
  <mergeCells count="4">
    <mergeCell ref="G58:K58"/>
    <mergeCell ref="C5:D5"/>
    <mergeCell ref="G24:I24"/>
    <mergeCell ref="G30:I30"/>
  </mergeCells>
  <phoneticPr fontId="13" type="noConversion"/>
  <dataValidations count="4">
    <dataValidation type="list" allowBlank="1" showInputMessage="1" showErrorMessage="1" sqref="D16">
      <formula1>"证载,根据调查"</formula1>
    </dataValidation>
    <dataValidation type="list" allowBlank="1" showInputMessage="1" showErrorMessage="1" sqref="F13">
      <formula1>"宗地面积适中,面积较大,面积较小"</formula1>
    </dataValidation>
    <dataValidation type="list" allowBlank="1" showInputMessage="1" showErrorMessage="1" sqref="C58">
      <formula1>"带电梯,楼梯房"</formula1>
    </dataValidation>
    <dataValidation type="list" allowBlank="1" showInputMessage="1" showErrorMessage="1" sqref="C28">
      <formula1>"半年,一年"</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14:formula1>
            <xm:f>估价师名册!$M$2:$M$50</xm:f>
          </x14:formula1>
          <xm:sqref>C33</xm:sqref>
        </x14:dataValidation>
        <x14:dataValidation type="list" allowBlank="1" showInputMessage="1" showErrorMessage="1">
          <x14:formula1>
            <xm:f>估价师名册!$E$2:$E$8</xm:f>
          </x14:formula1>
          <xm:sqref>C5</xm:sqref>
        </x14:dataValidation>
        <x14:dataValidation type="list" allowBlank="1" showInputMessage="1" showErrorMessage="1">
          <x14:formula1>
            <xm:f>估价师名册!$G$2:$G$5</xm:f>
          </x14:formula1>
          <xm:sqref>F9</xm:sqref>
        </x14:dataValidation>
        <x14:dataValidation type="list" allowBlank="1" showInputMessage="1" showErrorMessage="1">
          <x14:formula1>
            <xm:f>估价师名册!$A$2:$A$10</xm:f>
          </x14:formula1>
          <xm:sqref>C29:C31</xm:sqref>
        </x14:dataValidation>
        <x14:dataValidation type="list" allowBlank="1" showInputMessage="1" showErrorMessage="1">
          <x14:formula1>
            <xm:f>估价师名册!$J$2:$J$56</xm:f>
          </x14:formula1>
          <xm:sqref>E38</xm:sqref>
        </x14:dataValidation>
        <x14:dataValidation type="list" allowBlank="1" showInputMessage="1" showErrorMessage="1">
          <x14:formula1>
            <xm:f>估价师名册!$G$13:$G$24</xm:f>
          </x14:formula1>
          <xm:sqref>E63 E61 C63 F52</xm:sqref>
        </x14:dataValidation>
        <x14:dataValidation type="list" allowBlank="1" showInputMessage="1" showErrorMessage="1">
          <x14:formula1>
            <xm:f>估价师名册!$D$34:$D$36</xm:f>
          </x14:formula1>
          <xm:sqref>E65</xm:sqref>
        </x14:dataValidation>
        <x14:dataValidation type="list" allowBlank="1" showInputMessage="1" showErrorMessage="1">
          <x14:formula1>
            <xm:f>估价师名册!$G$13:$G$24</xm:f>
          </x14:formula1>
          <xm:sqref>F45:F47 F40:F42</xm:sqref>
        </x14:dataValidation>
        <x14:dataValidation type="list" allowBlank="1" showInputMessage="1" showErrorMessage="1">
          <x14:formula1>
            <xm:f>估价师名册!$D$13:$D$18</xm:f>
          </x14:formula1>
          <xm:sqref>C22</xm:sqref>
        </x14:dataValidation>
        <x14:dataValidation type="list" allowBlank="1" showInputMessage="1" showErrorMessage="1">
          <x14:formula1>
            <xm:f>估价师名册!$A$21:$A$25</xm:f>
          </x14:formula1>
          <xm:sqref>C49 E49</xm:sqref>
        </x14:dataValidation>
        <x14:dataValidation type="list" allowBlank="1" showInputMessage="1" showErrorMessage="1">
          <x14:formula1>
            <xm:f>估价师名册!$E$28:$E$30</xm:f>
          </x14:formula1>
          <xm:sqref>C61</xm:sqref>
        </x14:dataValidation>
        <x14:dataValidation type="list" allowBlank="1" showInputMessage="1" showErrorMessage="1">
          <x14:formula1>
            <xm:f>估价师名册!$A$28:$A$31</xm:f>
          </x14:formula1>
          <xm:sqref>H60:H63</xm:sqref>
        </x14:dataValidation>
        <x14:dataValidation type="list" allowBlank="1" showInputMessage="1" showErrorMessage="1">
          <x14:formula1>
            <xm:f>估价师名册!$C$28:$C$35</xm:f>
          </x14:formula1>
          <xm:sqref>J60:J63</xm:sqref>
        </x14:dataValidation>
        <x14:dataValidation type="list" allowBlank="1" showInputMessage="1" showErrorMessage="1">
          <x14:formula1>
            <xm:f>估价师名册!$B$28:$B$32</xm:f>
          </x14:formula1>
          <xm:sqref>I60:I63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workbookViewId="0">
      <pane xSplit="1" ySplit="2" topLeftCell="B21" activePane="bottomRight" state="frozen"/>
      <selection pane="topRight" activeCell="B1" sqref="B1"/>
      <selection pane="bottomLeft" activeCell="A3" sqref="A3"/>
      <selection pane="bottomRight" activeCell="J27" sqref="J27"/>
    </sheetView>
  </sheetViews>
  <sheetFormatPr defaultRowHeight="13.5"/>
  <cols>
    <col min="1" max="1" width="5" customWidth="1"/>
    <col min="3" max="3" width="9.625" customWidth="1"/>
    <col min="4" max="4" width="31.75" customWidth="1"/>
    <col min="7" max="7" width="9.375" customWidth="1"/>
    <col min="9" max="9" width="10.375" customWidth="1"/>
    <col min="11" max="11" width="34.875" customWidth="1"/>
    <col min="12" max="12" width="9.75" customWidth="1"/>
  </cols>
  <sheetData>
    <row r="1" spans="1:20">
      <c r="A1" s="80" t="s">
        <v>628</v>
      </c>
      <c r="I1" s="177" t="s">
        <v>621</v>
      </c>
      <c r="J1" s="177"/>
      <c r="K1" s="178">
        <f>ROUND((F47+H47+J47)/3,0)</f>
        <v>20939</v>
      </c>
    </row>
    <row r="2" spans="1:20">
      <c r="A2" s="156" t="s">
        <v>696</v>
      </c>
    </row>
    <row r="3" spans="1:20">
      <c r="A3" s="169"/>
      <c r="B3" s="169" t="s">
        <v>56</v>
      </c>
      <c r="C3" s="169" t="s">
        <v>585</v>
      </c>
      <c r="D3" s="169" t="s">
        <v>586</v>
      </c>
      <c r="E3" s="169" t="s">
        <v>587</v>
      </c>
      <c r="F3" s="169" t="s">
        <v>588</v>
      </c>
      <c r="G3" s="169" t="s">
        <v>589</v>
      </c>
      <c r="H3" s="169" t="s">
        <v>590</v>
      </c>
      <c r="I3" s="169" t="s">
        <v>124</v>
      </c>
      <c r="J3" s="169" t="s">
        <v>126</v>
      </c>
      <c r="K3" s="169" t="s">
        <v>591</v>
      </c>
      <c r="L3" s="169" t="s">
        <v>122</v>
      </c>
      <c r="M3" s="169" t="s">
        <v>592</v>
      </c>
      <c r="N3" s="169" t="s">
        <v>593</v>
      </c>
      <c r="O3" s="169" t="s">
        <v>594</v>
      </c>
      <c r="P3" s="169" t="s">
        <v>595</v>
      </c>
      <c r="Q3" s="169" t="s">
        <v>596</v>
      </c>
      <c r="R3" s="169" t="s">
        <v>597</v>
      </c>
      <c r="S3" s="169" t="s">
        <v>598</v>
      </c>
      <c r="T3" s="169" t="s">
        <v>599</v>
      </c>
    </row>
    <row r="4" spans="1:20" s="195" customFormat="1" ht="12">
      <c r="B4" s="196" t="s">
        <v>513</v>
      </c>
      <c r="C4" s="196" t="s">
        <v>514</v>
      </c>
      <c r="D4" s="197" t="s">
        <v>515</v>
      </c>
      <c r="E4" s="196" t="s">
        <v>96</v>
      </c>
      <c r="F4" s="198" t="s">
        <v>516</v>
      </c>
      <c r="G4" s="197" t="s">
        <v>517</v>
      </c>
      <c r="H4" s="196" t="s">
        <v>518</v>
      </c>
      <c r="I4" s="196" t="s">
        <v>519</v>
      </c>
      <c r="J4" s="196" t="s">
        <v>127</v>
      </c>
      <c r="K4" s="196" t="s">
        <v>129</v>
      </c>
      <c r="L4" s="196" t="s">
        <v>123</v>
      </c>
      <c r="M4" s="196" t="s">
        <v>520</v>
      </c>
      <c r="N4" s="196" t="s">
        <v>521</v>
      </c>
      <c r="O4" s="196" t="s">
        <v>130</v>
      </c>
      <c r="P4" s="196" t="s">
        <v>128</v>
      </c>
      <c r="Q4" s="197" t="s">
        <v>522</v>
      </c>
      <c r="R4" s="197" t="s">
        <v>523</v>
      </c>
      <c r="S4" s="197" t="s">
        <v>524</v>
      </c>
      <c r="T4" s="197" t="s">
        <v>525</v>
      </c>
    </row>
    <row r="5" spans="1:20" s="195" customFormat="1" ht="12">
      <c r="B5" s="196" t="s">
        <v>513</v>
      </c>
      <c r="C5" s="196" t="s">
        <v>526</v>
      </c>
      <c r="D5" s="197" t="s">
        <v>515</v>
      </c>
      <c r="E5" s="196" t="s">
        <v>96</v>
      </c>
      <c r="F5" s="198" t="s">
        <v>527</v>
      </c>
      <c r="G5" s="197" t="s">
        <v>517</v>
      </c>
      <c r="H5" s="196" t="s">
        <v>528</v>
      </c>
      <c r="I5" s="196" t="s">
        <v>529</v>
      </c>
      <c r="J5" s="196" t="s">
        <v>127</v>
      </c>
      <c r="K5" s="196" t="s">
        <v>129</v>
      </c>
      <c r="L5" s="196" t="s">
        <v>123</v>
      </c>
      <c r="M5" s="196" t="s">
        <v>530</v>
      </c>
      <c r="N5" s="196" t="s">
        <v>521</v>
      </c>
      <c r="O5" s="196" t="s">
        <v>531</v>
      </c>
      <c r="P5" s="196" t="s">
        <v>128</v>
      </c>
      <c r="Q5" s="197" t="s">
        <v>522</v>
      </c>
      <c r="R5" s="197" t="s">
        <v>523</v>
      </c>
      <c r="S5" s="197" t="s">
        <v>524</v>
      </c>
      <c r="T5" s="197" t="s">
        <v>525</v>
      </c>
    </row>
    <row r="6" spans="1:20" s="195" customFormat="1" ht="12">
      <c r="A6" s="195">
        <v>1</v>
      </c>
      <c r="B6" s="196" t="s">
        <v>532</v>
      </c>
      <c r="C6" s="196" t="s">
        <v>533</v>
      </c>
      <c r="D6" s="197" t="s">
        <v>515</v>
      </c>
      <c r="E6" s="196" t="s">
        <v>96</v>
      </c>
      <c r="F6" s="198" t="s">
        <v>534</v>
      </c>
      <c r="G6" s="197" t="s">
        <v>517</v>
      </c>
      <c r="H6" s="196" t="s">
        <v>535</v>
      </c>
      <c r="I6" s="196" t="s">
        <v>536</v>
      </c>
      <c r="J6" s="196" t="s">
        <v>127</v>
      </c>
      <c r="K6" s="196" t="s">
        <v>129</v>
      </c>
      <c r="L6" s="196" t="s">
        <v>537</v>
      </c>
      <c r="M6" s="196" t="s">
        <v>538</v>
      </c>
      <c r="N6" s="196" t="s">
        <v>539</v>
      </c>
      <c r="O6" s="196" t="s">
        <v>130</v>
      </c>
      <c r="P6" s="196" t="s">
        <v>128</v>
      </c>
      <c r="Q6" s="197" t="s">
        <v>540</v>
      </c>
      <c r="R6" s="197" t="s">
        <v>541</v>
      </c>
      <c r="S6" s="197" t="s">
        <v>542</v>
      </c>
      <c r="T6" s="197" t="s">
        <v>525</v>
      </c>
    </row>
    <row r="7" spans="1:20" s="195" customFormat="1" ht="12">
      <c r="B7" s="196" t="s">
        <v>532</v>
      </c>
      <c r="C7" s="196" t="s">
        <v>543</v>
      </c>
      <c r="D7" s="197" t="s">
        <v>515</v>
      </c>
      <c r="E7" s="196" t="s">
        <v>96</v>
      </c>
      <c r="F7" s="198" t="s">
        <v>544</v>
      </c>
      <c r="G7" s="197" t="s">
        <v>517</v>
      </c>
      <c r="H7" s="196" t="s">
        <v>545</v>
      </c>
      <c r="I7" s="196" t="s">
        <v>546</v>
      </c>
      <c r="J7" s="196" t="s">
        <v>127</v>
      </c>
      <c r="K7" s="196" t="s">
        <v>129</v>
      </c>
      <c r="L7" s="196" t="s">
        <v>123</v>
      </c>
      <c r="M7" s="196" t="s">
        <v>547</v>
      </c>
      <c r="N7" s="196" t="s">
        <v>539</v>
      </c>
      <c r="O7" s="196" t="s">
        <v>130</v>
      </c>
      <c r="P7" s="196" t="s">
        <v>128</v>
      </c>
      <c r="Q7" s="197" t="s">
        <v>548</v>
      </c>
      <c r="R7" s="197" t="s">
        <v>541</v>
      </c>
      <c r="S7" s="197" t="s">
        <v>549</v>
      </c>
      <c r="T7" s="197" t="s">
        <v>525</v>
      </c>
    </row>
    <row r="8" spans="1:20" s="195" customFormat="1" ht="12">
      <c r="A8" s="195">
        <v>2</v>
      </c>
      <c r="B8" s="196" t="s">
        <v>532</v>
      </c>
      <c r="C8" s="196" t="s">
        <v>550</v>
      </c>
      <c r="D8" s="197" t="s">
        <v>515</v>
      </c>
      <c r="E8" s="196" t="s">
        <v>96</v>
      </c>
      <c r="F8" s="198" t="s">
        <v>534</v>
      </c>
      <c r="G8" s="197" t="s">
        <v>517</v>
      </c>
      <c r="H8" s="196" t="s">
        <v>551</v>
      </c>
      <c r="I8" s="196" t="s">
        <v>552</v>
      </c>
      <c r="J8" s="196" t="s">
        <v>127</v>
      </c>
      <c r="K8" s="196" t="s">
        <v>129</v>
      </c>
      <c r="L8" s="196" t="s">
        <v>537</v>
      </c>
      <c r="M8" s="196" t="s">
        <v>553</v>
      </c>
      <c r="N8" s="196" t="s">
        <v>521</v>
      </c>
      <c r="O8" s="196" t="s">
        <v>130</v>
      </c>
      <c r="P8" s="196" t="s">
        <v>128</v>
      </c>
      <c r="Q8" s="197" t="s">
        <v>554</v>
      </c>
      <c r="R8" s="197" t="s">
        <v>541</v>
      </c>
      <c r="S8" s="197" t="s">
        <v>549</v>
      </c>
      <c r="T8" s="197" t="s">
        <v>525</v>
      </c>
    </row>
    <row r="9" spans="1:20" s="195" customFormat="1" ht="12">
      <c r="B9" s="196" t="s">
        <v>532</v>
      </c>
      <c r="C9" s="196" t="s">
        <v>555</v>
      </c>
      <c r="D9" s="197" t="s">
        <v>515</v>
      </c>
      <c r="E9" s="196" t="s">
        <v>96</v>
      </c>
      <c r="F9" s="198" t="s">
        <v>516</v>
      </c>
      <c r="G9" s="197" t="s">
        <v>517</v>
      </c>
      <c r="H9" s="196" t="s">
        <v>556</v>
      </c>
      <c r="I9" s="196" t="s">
        <v>557</v>
      </c>
      <c r="J9" s="196" t="s">
        <v>127</v>
      </c>
      <c r="K9" s="196" t="s">
        <v>129</v>
      </c>
      <c r="L9" s="196" t="s">
        <v>123</v>
      </c>
      <c r="M9" s="196" t="s">
        <v>558</v>
      </c>
      <c r="N9" s="196" t="s">
        <v>559</v>
      </c>
      <c r="O9" s="196" t="s">
        <v>130</v>
      </c>
      <c r="P9" s="196" t="s">
        <v>128</v>
      </c>
      <c r="Q9" s="197" t="s">
        <v>548</v>
      </c>
      <c r="R9" s="197" t="s">
        <v>541</v>
      </c>
      <c r="S9" s="197" t="s">
        <v>549</v>
      </c>
      <c r="T9" s="197" t="s">
        <v>525</v>
      </c>
    </row>
    <row r="10" spans="1:20" s="195" customFormat="1" ht="12">
      <c r="B10" s="196" t="s">
        <v>532</v>
      </c>
      <c r="C10" s="196" t="s">
        <v>560</v>
      </c>
      <c r="D10" s="197" t="s">
        <v>515</v>
      </c>
      <c r="E10" s="196" t="s">
        <v>96</v>
      </c>
      <c r="F10" s="198" t="s">
        <v>534</v>
      </c>
      <c r="G10" s="197" t="s">
        <v>517</v>
      </c>
      <c r="H10" s="196" t="s">
        <v>561</v>
      </c>
      <c r="I10" s="196" t="s">
        <v>562</v>
      </c>
      <c r="J10" s="196" t="s">
        <v>127</v>
      </c>
      <c r="K10" s="196" t="s">
        <v>129</v>
      </c>
      <c r="L10" s="196" t="s">
        <v>563</v>
      </c>
      <c r="M10" s="196" t="s">
        <v>564</v>
      </c>
      <c r="N10" s="196" t="s">
        <v>539</v>
      </c>
      <c r="O10" s="196" t="s">
        <v>130</v>
      </c>
      <c r="P10" s="196" t="s">
        <v>128</v>
      </c>
      <c r="Q10" s="197" t="s">
        <v>540</v>
      </c>
      <c r="R10" s="197" t="s">
        <v>541</v>
      </c>
      <c r="S10" s="197" t="s">
        <v>542</v>
      </c>
      <c r="T10" s="197" t="s">
        <v>525</v>
      </c>
    </row>
    <row r="11" spans="1:20" s="195" customFormat="1" ht="12">
      <c r="B11" s="196" t="s">
        <v>532</v>
      </c>
      <c r="C11" s="196" t="s">
        <v>565</v>
      </c>
      <c r="D11" s="197" t="s">
        <v>515</v>
      </c>
      <c r="E11" s="196" t="s">
        <v>96</v>
      </c>
      <c r="F11" s="198" t="s">
        <v>566</v>
      </c>
      <c r="G11" s="197" t="s">
        <v>517</v>
      </c>
      <c r="H11" s="196" t="s">
        <v>567</v>
      </c>
      <c r="I11" s="196" t="s">
        <v>568</v>
      </c>
      <c r="J11" s="196" t="s">
        <v>127</v>
      </c>
      <c r="K11" s="196" t="s">
        <v>129</v>
      </c>
      <c r="L11" s="196" t="s">
        <v>123</v>
      </c>
      <c r="M11" s="196" t="s">
        <v>530</v>
      </c>
      <c r="N11" s="196" t="s">
        <v>559</v>
      </c>
      <c r="O11" s="196" t="s">
        <v>130</v>
      </c>
      <c r="P11" s="196" t="s">
        <v>128</v>
      </c>
      <c r="Q11" s="197" t="s">
        <v>540</v>
      </c>
      <c r="R11" s="197" t="s">
        <v>569</v>
      </c>
      <c r="S11" s="197" t="s">
        <v>549</v>
      </c>
      <c r="T11" s="197" t="s">
        <v>525</v>
      </c>
    </row>
    <row r="12" spans="1:20" s="195" customFormat="1" ht="12">
      <c r="B12" s="196" t="s">
        <v>570</v>
      </c>
      <c r="C12" s="196" t="s">
        <v>571</v>
      </c>
      <c r="D12" s="197" t="s">
        <v>515</v>
      </c>
      <c r="E12" s="196" t="s">
        <v>96</v>
      </c>
      <c r="F12" s="198" t="s">
        <v>572</v>
      </c>
      <c r="G12" s="197" t="s">
        <v>517</v>
      </c>
      <c r="H12" s="196" t="s">
        <v>573</v>
      </c>
      <c r="I12" s="196" t="s">
        <v>574</v>
      </c>
      <c r="J12" s="196" t="s">
        <v>127</v>
      </c>
      <c r="K12" s="196" t="s">
        <v>129</v>
      </c>
      <c r="L12" s="196" t="s">
        <v>123</v>
      </c>
      <c r="M12" s="196" t="s">
        <v>520</v>
      </c>
      <c r="N12" s="196" t="s">
        <v>575</v>
      </c>
      <c r="O12" s="196" t="s">
        <v>130</v>
      </c>
      <c r="P12" s="196" t="s">
        <v>576</v>
      </c>
      <c r="Q12" s="197" t="s">
        <v>577</v>
      </c>
      <c r="R12" s="197" t="s">
        <v>578</v>
      </c>
      <c r="S12" s="197" t="s">
        <v>579</v>
      </c>
      <c r="T12" s="197" t="s">
        <v>525</v>
      </c>
    </row>
    <row r="13" spans="1:20" s="195" customFormat="1" ht="12">
      <c r="A13" s="195">
        <v>3</v>
      </c>
      <c r="B13" s="196" t="s">
        <v>570</v>
      </c>
      <c r="C13" s="196" t="s">
        <v>580</v>
      </c>
      <c r="D13" s="197" t="s">
        <v>515</v>
      </c>
      <c r="E13" s="196" t="s">
        <v>96</v>
      </c>
      <c r="F13" s="198" t="s">
        <v>581</v>
      </c>
      <c r="G13" s="197" t="s">
        <v>517</v>
      </c>
      <c r="H13" s="196" t="s">
        <v>582</v>
      </c>
      <c r="I13" s="196" t="s">
        <v>583</v>
      </c>
      <c r="J13" s="196" t="s">
        <v>127</v>
      </c>
      <c r="K13" s="196" t="s">
        <v>129</v>
      </c>
      <c r="L13" s="196" t="s">
        <v>123</v>
      </c>
      <c r="M13" s="196" t="s">
        <v>584</v>
      </c>
      <c r="N13" s="196" t="s">
        <v>559</v>
      </c>
      <c r="O13" s="196" t="s">
        <v>130</v>
      </c>
      <c r="P13" s="196" t="s">
        <v>576</v>
      </c>
      <c r="Q13" s="197" t="s">
        <v>577</v>
      </c>
      <c r="R13" s="197" t="s">
        <v>578</v>
      </c>
      <c r="S13" s="197" t="s">
        <v>579</v>
      </c>
      <c r="T13" s="197" t="s">
        <v>525</v>
      </c>
    </row>
    <row r="14" spans="1:20" ht="14.25" thickBot="1"/>
    <row r="15" spans="1:20" ht="14.25" thickTop="1">
      <c r="B15" s="246" t="s">
        <v>683</v>
      </c>
      <c r="C15" s="247"/>
      <c r="D15" s="200" t="s">
        <v>684</v>
      </c>
      <c r="E15" s="200">
        <v>1</v>
      </c>
      <c r="F15" s="172">
        <f>ROUND(VLOOKUP(E$15,$A$3:$Q$13,8,0),0)</f>
        <v>24004</v>
      </c>
      <c r="G15" s="200">
        <v>2</v>
      </c>
      <c r="H15" s="172">
        <f>ROUND(VLOOKUP(G$15,$A$3:$Q$13,8,0),0)</f>
        <v>24065</v>
      </c>
      <c r="I15" s="200">
        <v>3</v>
      </c>
      <c r="J15" s="185">
        <f>ROUND(VLOOKUP(I$15,$A$3:$Q$13,8,0),0)</f>
        <v>23927</v>
      </c>
      <c r="L15" s="155"/>
    </row>
    <row r="16" spans="1:20" ht="36">
      <c r="B16" s="244" t="s">
        <v>679</v>
      </c>
      <c r="C16" s="248"/>
      <c r="D16" s="158" t="s">
        <v>600</v>
      </c>
      <c r="E16" s="171" t="str">
        <f>VLOOKUP(E$15,$A$3:$Q$13,3,0)</f>
        <v>翔安区五星二里2号1706室</v>
      </c>
      <c r="F16" s="171" t="str">
        <f>VLOOKUP(E$15,$A$3:$Q$13,2,0)</f>
        <v>锦绣祥安</v>
      </c>
      <c r="G16" s="171" t="str">
        <f>VLOOKUP(G$15,$A$3:$Q$13,3,0)</f>
        <v>翔安区五星七里10号803室</v>
      </c>
      <c r="H16" s="171" t="str">
        <f>VLOOKUP(G$15,$A$3:$Q$13,2,0)</f>
        <v>锦绣祥安</v>
      </c>
      <c r="I16" s="171" t="str">
        <f>VLOOKUP(I$15,$A$3:$Q$13,3,0)</f>
        <v>翔安区祥福二里40号401室</v>
      </c>
      <c r="J16" s="186" t="str">
        <f>VLOOKUP(I$15,$A$3:$Q$13,2,0)</f>
        <v>东方新城</v>
      </c>
      <c r="K16" s="199" t="s">
        <v>682</v>
      </c>
    </row>
    <row r="17" spans="2:19" ht="36">
      <c r="B17" s="244" t="s">
        <v>680</v>
      </c>
      <c r="C17" s="248"/>
      <c r="D17" s="159" t="s">
        <v>517</v>
      </c>
      <c r="E17" s="170" t="s">
        <v>609</v>
      </c>
      <c r="F17" s="170">
        <v>0</v>
      </c>
      <c r="G17" s="170" t="s">
        <v>609</v>
      </c>
      <c r="H17" s="170">
        <v>0</v>
      </c>
      <c r="I17" s="170" t="s">
        <v>609</v>
      </c>
      <c r="J17" s="187">
        <v>0</v>
      </c>
      <c r="K17" s="183" t="s">
        <v>615</v>
      </c>
      <c r="L17" s="174" t="s">
        <v>624</v>
      </c>
      <c r="M17" s="174" t="s">
        <v>625</v>
      </c>
      <c r="N17" s="174" t="s">
        <v>626</v>
      </c>
      <c r="O17" s="174" t="s">
        <v>627</v>
      </c>
    </row>
    <row r="18" spans="2:19">
      <c r="B18" s="244" t="s">
        <v>681</v>
      </c>
      <c r="C18" s="248"/>
      <c r="D18" s="161">
        <f>估价信息!C4</f>
        <v>42814</v>
      </c>
      <c r="E18" s="170" t="str">
        <f>LEFT(VLOOKUP(E$15,$A$3:$Q$13,6,0),7)</f>
        <v>2017-01</v>
      </c>
      <c r="F18" s="175">
        <f>ROUND($L$18/M18,2)</f>
        <v>1</v>
      </c>
      <c r="G18" s="170" t="str">
        <f>LEFT(VLOOKUP(G$15,$A$3:$Q$13,6,0),7)</f>
        <v>2017-01</v>
      </c>
      <c r="H18" s="175">
        <f>ROUND($L$18/N18,2)</f>
        <v>1</v>
      </c>
      <c r="I18" s="170" t="str">
        <f>LEFT(VLOOKUP(I$15,$A$3:$Q$13,6,0),7)</f>
        <v>2016-12</v>
      </c>
      <c r="J18" s="188">
        <f>ROUND($L$18/O18,2)</f>
        <v>1.01</v>
      </c>
      <c r="L18" s="160">
        <v>125.6</v>
      </c>
      <c r="M18" s="160">
        <v>125.6</v>
      </c>
      <c r="N18" s="160">
        <v>125.2</v>
      </c>
      <c r="O18" s="160">
        <v>124.1</v>
      </c>
      <c r="P18">
        <f>ROUND(F18*100,0)</f>
        <v>100</v>
      </c>
      <c r="Q18">
        <f>ROUND(H18*100,0)</f>
        <v>100</v>
      </c>
      <c r="R18">
        <f>ROUND(J18*100,0)</f>
        <v>101</v>
      </c>
    </row>
    <row r="19" spans="2:19" ht="142.5" customHeight="1">
      <c r="B19" s="244" t="s">
        <v>685</v>
      </c>
      <c r="C19" s="174" t="s">
        <v>662</v>
      </c>
      <c r="D19" s="157" t="str">
        <f>"1、坐落：估价对象位于厦门市"&amp;估价信息!C7&amp;估价信息!D7&amp;估价信息!G37&amp;"。
2、方位：所处行政区划属于厦门市"&amp;估价信息!C38&amp;"区，"&amp;估价信息!E37&amp;",土地等级为"&amp;估价信息!E38&amp;"级。
3、与重要场所（设施）的距离："&amp;估价信息!C39&amp;"。 
4、临街（路）状况："&amp;估价信息!C40&amp;"，临路状况"&amp;估价信息!F40&amp;"。
5、居住聚集度："&amp;估价信息!G43</f>
        <v>1、坐落：估价对象位于厦门市[座落2][室号1]([小区名称])。
2、方位：所处行政区划属于厦门市思明区，厦禾路与文屏路交叉口北侧,土地等级为C1级。
3、与重要场所（设施）的距离：距市政府约7公里，距湖里区政府约3公里 。 
4、临街（路）状况：【小区主入口临路】，临路状况好。
5、居住聚集度：区域内有裕兴花园、江村丽苑等生活小区，生活聚集度高。</v>
      </c>
      <c r="E19" s="170" t="str">
        <f>IF(F19=0,"相似",IF(F19=1,"略好",IF(F19=2,"稍好",IF(F19&gt;=3,"好",IF(F19=-1,"略差",IF(F19=-2,"稍差",IF(F19&lt;=-3,"差",0)))))))</f>
        <v>相似</v>
      </c>
      <c r="F19" s="160">
        <v>0</v>
      </c>
      <c r="G19" s="170" t="str">
        <f>IF(H19=0,"相似",IF(H19=1,"略好",IF(H19=2,"稍好",IF(H19&gt;=3,"好",IF(H19=-1,"略差",IF(H19=-2,"稍差",IF(H19&lt;=-3,"差",0)))))))</f>
        <v>相似</v>
      </c>
      <c r="H19" s="160">
        <v>0</v>
      </c>
      <c r="I19" s="170" t="str">
        <f>IF(J19=0,"相似",IF(J19=1,"略好",IF(J19=2,"稍好",IF(J19&gt;=3,"好",IF(J19=-1,"略差",IF(J19=-2,"稍差",IF(J19&lt;=-3,"差",0)))))))</f>
        <v>相似</v>
      </c>
      <c r="J19" s="189">
        <v>0</v>
      </c>
      <c r="K19" s="184" t="s">
        <v>614</v>
      </c>
      <c r="L19" s="166" t="str">
        <f>$C19&amp;IF(OR(E19="相似",E19="相同",E19="相当"),"与估价对象"&amp;E19,"比估价对象"&amp;E19)</f>
        <v>位置状况与估价对象相似</v>
      </c>
      <c r="M19" s="166" t="str">
        <f>$C19&amp;IF(OR(G19="相似",G19="相同",G19="相当"),"与估价对象"&amp;G19,"比估价对象"&amp;G19)</f>
        <v>位置状况与估价对象相似</v>
      </c>
      <c r="N19" s="166" t="str">
        <f>$C19&amp;IF(OR(I19="相似",I19="相同",I19="相当"),"与估价对象"&amp;I19,"比估价对象"&amp;I19)</f>
        <v>位置状况与估价对象相似</v>
      </c>
    </row>
    <row r="20" spans="2:19" ht="135.75" customHeight="1">
      <c r="B20" s="244"/>
      <c r="C20" s="174" t="s">
        <v>663</v>
      </c>
      <c r="D20" s="162" t="str">
        <f>"1、道路状况："&amp;估价信息!G45&amp;"
2、出入可利用交通工具："&amp;估价信息!G46&amp;"
3、交通管制情况：附件区域道路"&amp;估价信息!F48&amp;"。
4、停车方便程度："&amp;估价信息!C47&amp;"，停车"&amp;估价信息!F47&amp;"。"</f>
        <v>1、道路状况：区域内主要由厦禾路、禾祥西路、角滨路构成的交通路网通达岛内外，交通通达度好。
2、出入可利用交通工具：出入可利用公交车、出租车等交通工具；估价对象距离“滨北站”公交站点较近，有10、20、941、951路公交车经过，交通便捷度较高。
3、交通管制情况：附件区域道路无特殊交通管制。
4、停车方便程度：小区设有地面停车场，地下有停车库，停车方便。</v>
      </c>
      <c r="E20" s="170" t="str">
        <f>IF(F20=0,"相似",IF(F20=1,"略好",IF(F20=2,"稍好",IF(F20&gt;=3,"好",IF(F20=-1,"略差",IF(F20=-2,"稍差",IF(F20&lt;=-3,"差",0)))))))</f>
        <v>相似</v>
      </c>
      <c r="F20" s="160">
        <v>0</v>
      </c>
      <c r="G20" s="170" t="str">
        <f>IF(H20=0,"相似",IF(H20=1,"略好",IF(H20=2,"稍好",IF(H20&gt;=3,"好",IF(H20=-1,"略差",IF(H20=-2,"稍差",IF(H20&lt;=-3,"差",0)))))))</f>
        <v>相似</v>
      </c>
      <c r="H20" s="160">
        <v>0</v>
      </c>
      <c r="I20" s="170" t="str">
        <f>IF(J20=0,"相似",IF(J20=1,"略好",IF(J20=2,"稍好",IF(J20&gt;=3,"好",IF(J20=-1,"略差",IF(J20=-2,"稍差",IF(J20&lt;=-3,"差",0)))))))</f>
        <v>相似</v>
      </c>
      <c r="J20" s="189">
        <v>0</v>
      </c>
      <c r="L20" s="166" t="str">
        <f>$C20&amp;IF(OR(E20="相似",E20="相同",E20="相当"),"与估价对象"&amp;E20,"比估价对象"&amp;E20)</f>
        <v>交通状况与估价对象相似</v>
      </c>
      <c r="M20" s="166" t="str">
        <f>$C20&amp;IF(OR(G20="相似",G20="相同",G20="相当"),"与估价对象"&amp;G20,"比估价对象"&amp;G20)</f>
        <v>交通状况与估价对象相似</v>
      </c>
      <c r="N20" s="166" t="str">
        <f>$C20&amp;IF(OR(I20="相似",I20="相同",I20="相当"),"与估价对象"&amp;I20,"比估价对象"&amp;I20)</f>
        <v>交通状况与估价对象相似</v>
      </c>
    </row>
    <row r="21" spans="2:19" ht="89.25" customHeight="1">
      <c r="B21" s="244"/>
      <c r="C21" s="174" t="s">
        <v>664</v>
      </c>
      <c r="D21" s="162" t="str">
        <f>"1、基础设施：区域基础设施达到“"&amp;估价信息!E49&amp;"”，外部基础设施"&amp;估价信息!F49&amp;"。
2、公共服务设施："&amp;估价信息!E53</f>
        <v>1、基础设施：区域基础设施达到“六通”，外部基础设施完善。
2、公共服务设施：小区为实验小学划片范围内，可就读实验小学，人文环境优秀；区域内有建设银行、中国银行、明发商业广场等公建配套设施，全面满足生活需求。</v>
      </c>
      <c r="E21" s="170" t="str">
        <f>IF(F21=0,"相似",IF(F21=1,"略好",IF(F21=2,"稍好",IF(F21&gt;=3,"好",IF(F21=-1,"略差",IF(F21=-2,"稍差",IF(F21&lt;=-3,"差",0)))))))</f>
        <v>相似</v>
      </c>
      <c r="F21" s="160">
        <v>0</v>
      </c>
      <c r="G21" s="170" t="str">
        <f>IF(H21=0,"相似",IF(H21=1,"略好",IF(H21=2,"稍好",IF(H21&gt;=3,"好",IF(H21=-1,"略差",IF(H21=-2,"稍差",IF(H21&lt;=-3,"差",0)))))))</f>
        <v>相似</v>
      </c>
      <c r="H21" s="160">
        <v>0</v>
      </c>
      <c r="I21" s="170" t="str">
        <f>IF(J21=0,"相似",IF(J21=1,"略好",IF(J21=2,"稍好",IF(J21&gt;=3,"好",IF(J21=-1,"略差",IF(J21=-2,"稍差",IF(J21&lt;=-3,"差",0)))))))</f>
        <v>相似</v>
      </c>
      <c r="J21" s="189">
        <v>0</v>
      </c>
      <c r="L21" s="166" t="str">
        <f>$C21&amp;IF(OR(E21="相似",E21="相同",E21="相当"),"与估价对象"&amp;E21,"比估价对象"&amp;E21)</f>
        <v>外部配套设施与估价对象相似</v>
      </c>
      <c r="M21" s="166" t="str">
        <f>$C21&amp;IF(OR(G21="相似",G21="相同",G21="相当"),"与估价对象"&amp;G21,"比估价对象"&amp;G21)</f>
        <v>外部配套设施与估价对象相似</v>
      </c>
      <c r="N21" s="166" t="str">
        <f>$C21&amp;IF(OR(I21="相似",I21="相同",I21="相当"),"与估价对象"&amp;I21,"比估价对象"&amp;I21)</f>
        <v>外部配套设施与估价对象相似</v>
      </c>
    </row>
    <row r="22" spans="2:19" ht="139.5" customHeight="1">
      <c r="B22" s="244"/>
      <c r="C22" s="174" t="s">
        <v>665</v>
      </c>
      <c r="D22" s="162" t="str">
        <f>"1、自然环境："&amp;估价信息!B53&amp;"
2、人文环境："&amp;估价信息!C53&amp;"
3、景观："&amp;估价信息!D53</f>
        <v>1、自然环境：附近区域为较具规模的生活区，绿化面积较大，环境较整洁，无空气、噪声、水、固体废物等污染，周边没有高压输电线路、无线发射塔、垃圾站、公共厕所等，自然环境较好。
2、人文环境：附近区域房地产声誉较好，居民素质较高，治安状况较好，相邻房地产的利用状况以（住宅、商业）为主，人文环境较好。
3、景观：区域内有（    ），周边环境条件较好，景观较好。</v>
      </c>
      <c r="E22" s="170" t="str">
        <f>IF(F22=0,"相似",IF(F22=1,"略好",IF(F22=2,"稍好",IF(F22&gt;=3,"好",IF(F22=-1,"略差",IF(F22=-2,"稍差",IF(F22&lt;=-3,"差",0)))))))</f>
        <v>相似</v>
      </c>
      <c r="F22" s="160">
        <v>0</v>
      </c>
      <c r="G22" s="170" t="str">
        <f>IF(H22=0,"相似",IF(H22=1,"略好",IF(H22=2,"稍好",IF(H22&gt;=3,"好",IF(H22=-1,"略差",IF(H22=-2,"稍差",IF(H22&lt;=-3,"差",0)))))))</f>
        <v>相似</v>
      </c>
      <c r="H22" s="160">
        <v>0</v>
      </c>
      <c r="I22" s="170" t="str">
        <f>IF(J22=0,"相似",IF(J22=1,"略好",IF(J22=2,"稍好",IF(J22&gt;=3,"好",IF(J22=-1,"略差",IF(J22=-2,"稍差",IF(J22&lt;=-3,"差",0)))))))</f>
        <v>相似</v>
      </c>
      <c r="J22" s="189">
        <v>0</v>
      </c>
      <c r="L22" s="166" t="str">
        <f>$C22&amp;IF(OR(E22="相似",E22="相同",E22="相当"),"与估价对象"&amp;E22,"比估价对象"&amp;E22)</f>
        <v>周围环境状况与估价对象相似</v>
      </c>
      <c r="M22" s="166" t="str">
        <f>$C22&amp;IF(OR(G22="相似",G22="相同",G22="相当"),"与估价对象"&amp;G22,"比估价对象"&amp;G22)</f>
        <v>周围环境状况与估价对象相似</v>
      </c>
      <c r="N22" s="166" t="str">
        <f>$C22&amp;IF(OR(I22="相似",I22="相同",I22="相当"),"与估价对象"&amp;I22,"比估价对象"&amp;I22)</f>
        <v>周围环境状况与估价对象相似</v>
      </c>
    </row>
    <row r="23" spans="2:19" ht="42.75" customHeight="1">
      <c r="B23" s="244"/>
      <c r="C23" s="174" t="s">
        <v>666</v>
      </c>
      <c r="D23" s="159" t="str">
        <f>估价信息!F41</f>
        <v>一般</v>
      </c>
      <c r="E23" s="170" t="str">
        <f>IF(F23=0,"相似",IF(F23=1,"略好",IF(F23=2,"稍好",IF(F23&gt;=3,"好",IF(F23=-1,"略差",IF(F23=-2,"稍差",IF(F23&lt;=-3,"差",0)))))))</f>
        <v>相似</v>
      </c>
      <c r="F23" s="182">
        <v>0</v>
      </c>
      <c r="G23" s="170" t="str">
        <f>IF(H23=0,"相似",IF(H23=1,"略好",IF(H23=2,"稍好",IF(H23&gt;=3,"好",IF(H23=-1,"略差",IF(H23=-2,"稍差",IF(H23&lt;=-3,"差",0)))))))</f>
        <v>相似</v>
      </c>
      <c r="H23" s="182">
        <v>0</v>
      </c>
      <c r="I23" s="170" t="str">
        <f>IF(J23=0,"相似",IF(J23=1,"略好",IF(J23=2,"稍好",IF(J23&gt;=3,"好",IF(J23=-1,"略差",IF(J23=-2,"稍差",IF(J23&lt;=-3,"差",0)))))))</f>
        <v>相似</v>
      </c>
      <c r="J23" s="190">
        <v>0</v>
      </c>
      <c r="K23" s="184" t="str">
        <f>"可比实例A、B、C"&amp;C23&amp;IF(L23=0,"均为"&amp;D23&amp;",与估价对象相似，不必进行修正。","与估价对象相比分别为"&amp;E23&amp;"、"&amp;G23&amp;"、"&amp;I23&amp;"，需作调整，调整系数为"&amp;F23&amp;"%、"&amp;H23&amp;"%、"&amp;J23&amp;"%。")</f>
        <v>可比实例A、B、C楼幢位置均为一般,与估价对象相似，不必进行修正。</v>
      </c>
      <c r="L23" s="168">
        <f>ABS(F23)+ABS(H23)+ABS(J23)</f>
        <v>0</v>
      </c>
      <c r="M23" s="168">
        <f>ABS(F24)+ABS(H24)+ABS(J24)</f>
        <v>11.5</v>
      </c>
    </row>
    <row r="24" spans="2:19" ht="46.5" customHeight="1">
      <c r="B24" s="244"/>
      <c r="C24" s="174" t="s">
        <v>667</v>
      </c>
      <c r="D24" s="159">
        <f>估价信息!C17</f>
        <v>2</v>
      </c>
      <c r="E24" s="170">
        <f>VLOOKUP(E$15,$A$3:$Q$13,13,0)*1</f>
        <v>17</v>
      </c>
      <c r="F24" s="176">
        <f>IF(D30="带电梯",(Q25-P25),(Q24-P24))*$M$24</f>
        <v>7.5</v>
      </c>
      <c r="G24" s="170">
        <f>VLOOKUP(G$15,$A$3:$Q$13,13,0)*1</f>
        <v>8</v>
      </c>
      <c r="H24" s="176">
        <f>IF(D30="带电梯",(R25-P25),(R24-P24))*$M$24</f>
        <v>3</v>
      </c>
      <c r="I24" s="170">
        <f>VLOOKUP(I$15,$A$3:$Q$13,13,0)*1</f>
        <v>4</v>
      </c>
      <c r="J24" s="191">
        <f>IF(D30="带电梯",(S25-P25),(S24-P24))*$M$24</f>
        <v>1</v>
      </c>
      <c r="K24" s="184" t="str">
        <f>"可比实例A、B、C所处楼层"&amp;IF(M23=0,"均为"&amp;D24&amp;"层,对房屋价值的影响与估价对象相类似，故不作调整。","分别为"&amp;E24&amp;"层、"&amp;G24&amp;"层、"&amp;I24&amp;"层，按每楼层调整"&amp;M24&amp;"%进行调整，调整系数分别为"&amp;F24&amp;"%、"&amp;H24&amp;"%、"&amp;J24&amp;"%。")</f>
        <v>可比实例A、B、C所处楼层分别为17层、8层、4层，按每楼层调整0.5%进行调整，调整系数分别为7.5%、3%、1%。</v>
      </c>
      <c r="L24" s="173" t="s">
        <v>623</v>
      </c>
      <c r="M24" s="182">
        <v>0.5</v>
      </c>
      <c r="O24" s="164" t="s">
        <v>607</v>
      </c>
      <c r="P24" s="164">
        <f>IF(OR(D24=3,D24=4,D24=5),3,IF(OR(D24=2,D24=6),2,1))</f>
        <v>2</v>
      </c>
      <c r="Q24" s="164">
        <f>IF(OR(E24=3,E24=4,E24=5),3,IF(OR(E24=2,E24=6),2,1))</f>
        <v>1</v>
      </c>
      <c r="R24" s="164">
        <f>IF(OR(G24=3,G24=4,G24=5),3,IF(OR(G24=2,G24=6),2,1))</f>
        <v>1</v>
      </c>
      <c r="S24" s="164">
        <f>IF(OR(I24=3,I24=4,I24=5),3,IF(OR(I24=2,I24=6),2,1))</f>
        <v>3</v>
      </c>
    </row>
    <row r="25" spans="2:19" ht="36">
      <c r="B25" s="244"/>
      <c r="C25" s="174" t="s">
        <v>668</v>
      </c>
      <c r="D25" s="159" t="str">
        <f>估价信息!E42</f>
        <v>东南</v>
      </c>
      <c r="E25" s="170" t="str">
        <f>VLOOKUP(E$15,$A$3:$Q$13,12,0)</f>
        <v>南</v>
      </c>
      <c r="F25" s="182">
        <v>-2</v>
      </c>
      <c r="G25" s="170" t="str">
        <f>VLOOKUP(G$15,$A$3:$Q$13,12,0)</f>
        <v>南</v>
      </c>
      <c r="H25" s="182">
        <v>0</v>
      </c>
      <c r="I25" s="170" t="str">
        <f>VLOOKUP(I$15,$A$3:$Q$13,12,0)</f>
        <v>南北</v>
      </c>
      <c r="J25" s="190">
        <v>0</v>
      </c>
      <c r="K25" s="184" t="str">
        <f>"可比实例A、B、C"&amp;C25&amp;IF(L25=0,"均为"&amp;D25&amp;",与估价对象相似，不作调整。","分别为"&amp;E25&amp;"、"&amp;G25&amp;"、"&amp;I25&amp;"，估价对象的朝向为"&amp;D25&amp;"，故需要进行调整，根据估价师的经验，调整系数分别为"&amp;F25&amp;"%、"&amp;H25&amp;"%、"&amp;J25&amp;"%。")</f>
        <v>可比实例A、B、C朝向分别为南、南、南北，估价对象的朝向为东南，故需要进行调整，根据估价师的经验，调整系数分别为-2%、0%、0%。</v>
      </c>
      <c r="L25" s="168">
        <f>ABS(F25)+ABS(H25)+ABS(J25)</f>
        <v>2</v>
      </c>
      <c r="O25" s="164" t="s">
        <v>608</v>
      </c>
      <c r="P25" s="164">
        <f>D24</f>
        <v>2</v>
      </c>
      <c r="Q25" s="164">
        <f>E24</f>
        <v>17</v>
      </c>
      <c r="R25" s="164">
        <f>G24</f>
        <v>8</v>
      </c>
      <c r="S25" s="164">
        <f>I24</f>
        <v>4</v>
      </c>
    </row>
    <row r="26" spans="2:19" ht="54.75" customHeight="1">
      <c r="B26" s="244" t="s">
        <v>686</v>
      </c>
      <c r="C26" s="174" t="s">
        <v>669</v>
      </c>
      <c r="D26" s="160" t="s">
        <v>611</v>
      </c>
      <c r="E26" s="170" t="str">
        <f>IF(F26=0,"相似",IF(F26=1,"略好",IF(F26=2,"稍好",IF(F26&gt;=3,"好",IF(F26=-1,"略差",IF(F26=-2,"稍差",IF(F26&lt;=-3,"差",0)))))))</f>
        <v>相似</v>
      </c>
      <c r="F26" s="182">
        <v>0</v>
      </c>
      <c r="G26" s="170" t="str">
        <f>IF(H26=0,"相似",IF(H26=1,"略好",IF(H26=2,"稍好",IF(H26=3,"好",IF(H26=-1,"略差",IF(H26=-2,"稍差",IF(H26=-3,"差",0)))))))</f>
        <v>相似</v>
      </c>
      <c r="H26" s="182">
        <v>0</v>
      </c>
      <c r="I26" s="170" t="str">
        <f>IF(J26=0,"相似",IF(J26=1,"略好",IF(J26=2,"稍好",IF(J26=3,"好",IF(J26=-1,"略差",IF(J26=-2,"稍差",IF(J26=-3,"差",0)))))))</f>
        <v>相似</v>
      </c>
      <c r="J26" s="190">
        <v>0</v>
      </c>
      <c r="K26" s="184" t="str">
        <f>"估价对象的"&amp;C26&amp;D26&amp;",可比实例A、B、C"&amp;IF(O26=0,"均与估价对象相似，不必进行修正。","与估价对象相比，"&amp;C26&amp;"对房屋价值的影响分别为"&amp;E26&amp;"、"&amp;G26&amp;"、"&amp;I26&amp;"，确定其调整系数分别为"&amp;F26&amp;"%、"&amp;H26&amp;"%、"&amp;J26&amp;"%。")</f>
        <v>估价对象的小区规模规模较大,可比实例A、B、C均与估价对象相似，不必进行修正。</v>
      </c>
      <c r="L26" s="166" t="str">
        <f>$C26&amp;IF(OR(E26="相似",E26="相同",E26="相当"),"与估价对象"&amp;E26,"比估价对象"&amp;E26)</f>
        <v>小区规模与估价对象相似</v>
      </c>
      <c r="M26" s="166" t="str">
        <f>$C26&amp;IF(OR(G26="相似",G26="相同",G26="相当"),"与估价对象"&amp;G26,"比估价对象"&amp;G26)</f>
        <v>小区规模与估价对象相似</v>
      </c>
      <c r="N26" s="166" t="str">
        <f>$C26&amp;IF(OR(I26="相似",I26="相同",I26="相当"),"与估价对象"&amp;I26,"比估价对象"&amp;I26)</f>
        <v>小区规模与估价对象相似</v>
      </c>
      <c r="O26" s="168">
        <f>ABS(F26)+ABS(H26)+ABS(J26)</f>
        <v>0</v>
      </c>
      <c r="P26" s="78"/>
      <c r="Q26" s="78"/>
      <c r="R26" s="78"/>
    </row>
    <row r="27" spans="2:19" ht="51" customHeight="1">
      <c r="B27" s="244"/>
      <c r="C27" s="174" t="s">
        <v>670</v>
      </c>
      <c r="D27" s="160" t="s">
        <v>610</v>
      </c>
      <c r="E27" s="170" t="str">
        <f>IF(F27=0,"相似",IF(F27=1,"略好",IF(F27=2,"稍好",IF(F27=3,"好",IF(F27=-1,"略差",IF(F27=-2,"稍差",IF(F27=-3,"差",0)))))))</f>
        <v>略好</v>
      </c>
      <c r="F27" s="182">
        <v>1</v>
      </c>
      <c r="G27" s="170" t="str">
        <f>IF(H27=0,"相似",IF(H27=1,"略好",IF(H27=2,"稍好",IF(H27=3,"好",IF(H27=-1,"略差",IF(H27=-2,"稍差",IF(H27=-3,"差",0)))))))</f>
        <v>稍好</v>
      </c>
      <c r="H27" s="182">
        <v>2</v>
      </c>
      <c r="I27" s="170" t="str">
        <f>IF(J27=0,"相似",IF(J27=1,"略好",IF(J27=2,"稍好",IF(J27=3,"好",IF(J27=-1,"略差",IF(J27=-2,"稍差",IF(J27=-3,"差",0)))))))</f>
        <v>好</v>
      </c>
      <c r="J27" s="190">
        <v>3</v>
      </c>
      <c r="K27" s="184" t="str">
        <f>"估价对象的"&amp;C27&amp;D27&amp;",可比实例A、B、C"&amp;IF(O27=0,"均与估价对象相似，不作调整。","与估价对象相比，"&amp;C27&amp;"对房屋价值的影响分别为"&amp;E27&amp;"、"&amp;G27&amp;"、"&amp;I27&amp;"，确定其调整系数分别为"&amp;F27&amp;"%、"&amp;H27&amp;"%、"&amp;J27&amp;"%。")</f>
        <v>估价对象的小区档次档次较高,可比实例A、B、C与估价对象相比，小区档次对房屋价值的影响分别为略好、稍好、好，确定其调整系数分别为1%、2%、3%。</v>
      </c>
      <c r="L27" s="166" t="str">
        <f>$C27&amp;IF(OR(E27="相似",E27="相同",E27="相当"),"与估价对象"&amp;E27,"比估价对象"&amp;E27)</f>
        <v>小区档次比估价对象略好</v>
      </c>
      <c r="M27" s="166" t="str">
        <f>$C27&amp;IF(OR(G27="相似",G27="相同",G27="相当"),"与估价对象"&amp;G27,"比估价对象"&amp;G27)</f>
        <v>小区档次比估价对象稍好</v>
      </c>
      <c r="N27" s="166" t="str">
        <f>$C27&amp;IF(OR(I27="相似",I27="相同",I27="相当"),"与估价对象"&amp;I27,"比估价对象"&amp;I27)</f>
        <v>小区档次比估价对象好</v>
      </c>
      <c r="O27" s="168">
        <f>ABS(F27)+ABS(H27)+ABS(J27)</f>
        <v>6</v>
      </c>
    </row>
    <row r="28" spans="2:19" ht="48.75" customHeight="1">
      <c r="B28" s="244"/>
      <c r="C28" s="174" t="s">
        <v>671</v>
      </c>
      <c r="D28" s="158">
        <f>估价信息!C15</f>
        <v>72.650000000000006</v>
      </c>
      <c r="E28" s="170" t="str">
        <f>VLOOKUP(E$15,$A$3:$Q$13,9,0)</f>
        <v>56.24</v>
      </c>
      <c r="F28" s="182">
        <v>0</v>
      </c>
      <c r="G28" s="170" t="str">
        <f>VLOOKUP(G$15,$A$3:$Q$13,9,0)</f>
        <v>72.72</v>
      </c>
      <c r="H28" s="182">
        <v>0</v>
      </c>
      <c r="I28" s="170" t="str">
        <f>VLOOKUP(I$15,$A$3:$Q$13,9,0)</f>
        <v>75.23</v>
      </c>
      <c r="J28" s="190">
        <v>0</v>
      </c>
      <c r="K28" s="184" t="str">
        <f>"估价对象的"&amp;C28&amp;D28&amp;"平方米,可比实例A、B、C"&amp;IF(L28=0,"面积均与估价对象接近，不必进行修正。","的建筑面积分别为"&amp;E28&amp;"平方米、"&amp;G28&amp;"平方米、"&amp;I28&amp;"平方米，需作调整，确定其调整系数分别为"&amp;F28&amp;"%、"&amp;H28&amp;"%、"&amp;J28&amp;"%。")</f>
        <v>估价对象的建筑面积72.65平方米,可比实例A、B、C面积均与估价对象接近，不必进行修正。</v>
      </c>
      <c r="L28" s="168">
        <f>ABS(F28)+ABS(H28)+ABS(J28)</f>
        <v>0</v>
      </c>
      <c r="M28" s="78"/>
      <c r="N28" s="78"/>
    </row>
    <row r="29" spans="2:19" ht="51" customHeight="1">
      <c r="B29" s="244"/>
      <c r="C29" s="174" t="s">
        <v>672</v>
      </c>
      <c r="D29" s="158" t="str">
        <f>估价信息!F9</f>
        <v>钢混结构</v>
      </c>
      <c r="E29" s="170" t="str">
        <f>VLOOKUP(E$15,$A$3:$Q$13,10,0)</f>
        <v>钢混结构</v>
      </c>
      <c r="F29" s="160">
        <v>0</v>
      </c>
      <c r="G29" s="170" t="str">
        <f>VLOOKUP(G$15,$A$3:$Q$13,10,0)</f>
        <v>钢混结构</v>
      </c>
      <c r="H29" s="160">
        <v>0</v>
      </c>
      <c r="I29" s="170" t="str">
        <f>VLOOKUP(I$15,$A$3:$Q$13,10,0)</f>
        <v>钢混结构</v>
      </c>
      <c r="J29" s="189">
        <v>0</v>
      </c>
      <c r="K29" s="184" t="str">
        <f>"估价对象的"&amp;C29&amp;"为"&amp;D29&amp;"，可比实例A、B、C"&amp;IF(L29=0,"与估价对象相同，故不作调整。","的"&amp;C29&amp;"分别为"&amp;E29&amp;"、"&amp;G29&amp;"、"&amp;I29&amp;"，需作调整，确定其调整系数分别为"&amp;F29&amp;"%、"&amp;H29&amp;"%、"&amp;J29&amp;"%。")</f>
        <v>估价对象的建筑结构为钢混结构，可比实例A、B、C与估价对象相同，故不作调整。</v>
      </c>
      <c r="L29" s="168">
        <f>ABS(F29)+ABS(H29)+ABS(J29)</f>
        <v>0</v>
      </c>
      <c r="M29" s="78"/>
      <c r="N29" s="78"/>
    </row>
    <row r="30" spans="2:19" ht="24" customHeight="1">
      <c r="B30" s="244"/>
      <c r="C30" s="174" t="s">
        <v>673</v>
      </c>
      <c r="D30" s="159" t="str">
        <f>估价信息!C58</f>
        <v>带电梯</v>
      </c>
      <c r="E30" s="170" t="str">
        <f>VLOOKUP(E$15,$A$3:$Q$13,16,0)</f>
        <v>带电梯</v>
      </c>
      <c r="F30" s="160">
        <v>0</v>
      </c>
      <c r="G30" s="170" t="str">
        <f>VLOOKUP(G$15,$A$3:$Q$13,16,0)</f>
        <v>带电梯</v>
      </c>
      <c r="H30" s="160">
        <v>0</v>
      </c>
      <c r="I30" s="170" t="str">
        <f>VLOOKUP(I$15,$A$3:$Q$13,16,0)</f>
        <v>无电梯</v>
      </c>
      <c r="J30" s="189">
        <v>0</v>
      </c>
      <c r="K30" s="184" t="str">
        <f>"估价对象的"&amp;C30&amp;"为"&amp;D30&amp;"，可比实例A、B、C"&amp;IF(L30=0,"与估价对象相同，故不作调整。","的"&amp;C30&amp;"分别为"&amp;E30&amp;"、"&amp;G30&amp;"、"&amp;I30&amp;"，需作调整，确定其调整系数分别为"&amp;F30&amp;"%、"&amp;H30&amp;"%、"&amp;J30&amp;"%。")</f>
        <v>估价对象的设施设备为带电梯，可比实例A、B、C与估价对象相同，故不作调整。</v>
      </c>
      <c r="L30" s="168">
        <f>ABS(F30)+ABS(H30)+ABS(J30)</f>
        <v>0</v>
      </c>
      <c r="M30" s="78"/>
      <c r="N30" s="78"/>
    </row>
    <row r="31" spans="2:19" ht="57.75" customHeight="1">
      <c r="B31" s="244"/>
      <c r="C31" s="174" t="s">
        <v>674</v>
      </c>
      <c r="D31" s="159" t="str">
        <f>估价信息!E59</f>
        <v>平层</v>
      </c>
      <c r="E31" s="170" t="str">
        <f>VLOOKUP(E$15,$A$3:$Q$13,11,0)</f>
        <v>平层</v>
      </c>
      <c r="F31" s="182">
        <v>0</v>
      </c>
      <c r="G31" s="170" t="str">
        <f>VLOOKUP(G$15,$A$3:$Q$13,11,0)</f>
        <v>平层</v>
      </c>
      <c r="H31" s="182">
        <v>0</v>
      </c>
      <c r="I31" s="170" t="str">
        <f>VLOOKUP(I$15,$A$3:$Q$13,11,0)</f>
        <v>平层</v>
      </c>
      <c r="J31" s="190">
        <v>0</v>
      </c>
      <c r="K31" s="184" t="str">
        <f>"估价对象的"&amp;C31&amp;"为"&amp;D31&amp;"，可比实例A、B、C"&amp;IF(L31=0,"与估价对象相似，故不作调整。","的"&amp;C31&amp;"分别为"&amp;E31&amp;"、"&amp;G31&amp;"、"&amp;I31&amp;"，需作调整，根据其对房屋价值的影响，确定调整系数分别为"&amp;F31&amp;"%、"&amp;H31&amp;"%、"&amp;J31&amp;"%。")</f>
        <v>估价对象的空间布局为平层，可比实例A、B、C与估价对象相似，故不作调整。</v>
      </c>
      <c r="L31" s="168">
        <f>ABS(F31)+ABS(H31)+ABS(J31)</f>
        <v>0</v>
      </c>
      <c r="M31" s="78"/>
      <c r="N31" s="78"/>
    </row>
    <row r="32" spans="2:19" ht="60.75" customHeight="1">
      <c r="B32" s="244"/>
      <c r="C32" s="174" t="s">
        <v>675</v>
      </c>
      <c r="D32" s="160" t="s">
        <v>612</v>
      </c>
      <c r="E32" s="170" t="str">
        <f>VLOOKUP(E$15,$A$3:$Q$13,15,0)</f>
        <v>普通装修</v>
      </c>
      <c r="F32" s="182">
        <v>0</v>
      </c>
      <c r="G32" s="170" t="str">
        <f>VLOOKUP(G$15,$A$3:$Q$13,15,0)</f>
        <v>普通装修</v>
      </c>
      <c r="H32" s="182">
        <v>0</v>
      </c>
      <c r="I32" s="170" t="str">
        <f>VLOOKUP(I$15,$A$3:$Q$13,15,0)</f>
        <v>普通装修</v>
      </c>
      <c r="J32" s="190">
        <v>0</v>
      </c>
      <c r="K32" s="184" t="str">
        <f>"估价对象"&amp;D32&amp;"，可比实例A、B、C"&amp;IF(L32=0,"与估价对象相似，故不作调整。","的"&amp;C32&amp;"分别为"&amp;E32&amp;"、"&amp;G32&amp;"、"&amp;I32&amp;"，需作调整，根据其对房屋价值的影响，确定调整系数分别为"&amp;F32&amp;"%、"&amp;H32&amp;"%、"&amp;J32&amp;"%。")</f>
        <v>估价对象不计装饰装修，可比实例A、B、C与估价对象相似，故不作调整。</v>
      </c>
      <c r="L32" s="168">
        <f>ABS(F32)+ABS(H32)+ABS(J32)</f>
        <v>0</v>
      </c>
      <c r="M32" s="168">
        <f>ABS(F33)+ABS(H33)+ABS(J33)</f>
        <v>0</v>
      </c>
      <c r="N32" s="168">
        <f>ABS(F34)+ABS(H34)+ABS(J34)</f>
        <v>28.5</v>
      </c>
    </row>
    <row r="33" spans="2:14" ht="60" customHeight="1">
      <c r="B33" s="244"/>
      <c r="C33" s="174" t="s">
        <v>676</v>
      </c>
      <c r="D33" s="159" t="str">
        <f>估价信息!E60</f>
        <v>建筑样式新颖，外观较好。</v>
      </c>
      <c r="E33" s="170" t="str">
        <f>IF(F33=0,"相似",IF(F33=1,"略好",IF(F33=2,"稍好",IF(F33=3,"好",IF(F33=-1,"略差",IF(F33=-2,"稍差",IF(F33=-3,"差",0)))))))</f>
        <v>相似</v>
      </c>
      <c r="F33" s="160">
        <v>0</v>
      </c>
      <c r="G33" s="170" t="str">
        <f>IF(H33=0,"相似",IF(H33=1,"略好",IF(H33=2,"稍好",IF(H33=3,"好",IF(H33=-1,"略差",IF(H33=-2,"稍差",IF(H33=-3,"差",0)))))))</f>
        <v>相似</v>
      </c>
      <c r="H33" s="160">
        <v>0</v>
      </c>
      <c r="I33" s="170" t="str">
        <f>IF(J33=0,"相似",IF(J33=1,"略好",IF(J33=2,"稍好",IF(J33=3,"好",IF(J33=-1,"略差",IF(J33=-2,"稍差",IF(J33=-3,"差",0)))))))</f>
        <v>相似</v>
      </c>
      <c r="J33" s="189">
        <v>0</v>
      </c>
      <c r="K33" s="184" t="str">
        <f>"估价对象的"&amp;C33&amp;D33&amp;"可比实例A、B、C"&amp;IF(M32=0,"与估价对象相似，故不作调整。","与之相比，其"&amp;C33&amp;"对房屋价值的影响分别为"&amp;E33&amp;"、"&amp;G33&amp;"、"&amp;I33&amp;"，需作调整，调整系数为"&amp;F33&amp;"%、"&amp;H33&amp;"%、"&amp;J33&amp;"%。")</f>
        <v>估价对象的外观建筑样式新颖，外观较好。可比实例A、B、C与估价对象相似，故不作调整。</v>
      </c>
      <c r="L33" s="166" t="str">
        <f>$C33&amp;IF(OR(E33="相似",E33="相同",E33="相当"),"与估价对象"&amp;E33,"比估价对象"&amp;E33)</f>
        <v>外观与估价对象相似</v>
      </c>
      <c r="M33" s="166" t="str">
        <f>$C33&amp;IF(OR(G33="相似",G33="相同",G33="相当"),"与估价对象"&amp;G33,"比估价对象"&amp;G33)</f>
        <v>外观与估价对象相似</v>
      </c>
      <c r="N33" s="166" t="str">
        <f>$C33&amp;IF(OR(I33="相似",I33="相同",I33="相当"),"与估价对象"&amp;I33,"比估价对象"&amp;I33)</f>
        <v>外观与估价对象相似</v>
      </c>
    </row>
    <row r="34" spans="2:14" ht="52.5" customHeight="1">
      <c r="B34" s="244"/>
      <c r="C34" s="174" t="s">
        <v>677</v>
      </c>
      <c r="D34" s="158">
        <f>估价信息!C16</f>
        <v>1992</v>
      </c>
      <c r="E34" s="170" t="str">
        <f>LEFT(VLOOKUP(E$15,$A$3:$Q$13,14,0),4)</f>
        <v>2009</v>
      </c>
      <c r="F34" s="170">
        <f>(E34-$D$34)*$M$34</f>
        <v>8.5</v>
      </c>
      <c r="G34" s="170" t="str">
        <f>LEFT(VLOOKUP(G$15,$A$3:$Q$13,14,0),4)</f>
        <v>2014</v>
      </c>
      <c r="H34" s="170">
        <f>(G34-$D$34)*$M$34</f>
        <v>11</v>
      </c>
      <c r="I34" s="170" t="str">
        <f>LEFT(VLOOKUP(I$15,$A$3:$Q$13,14,0),4)</f>
        <v>2010</v>
      </c>
      <c r="J34" s="187">
        <f>(I34-$D$34)*$M$34</f>
        <v>9</v>
      </c>
      <c r="K34" s="184" t="str">
        <f>"估价对象建于"&amp;D34&amp;"年,可比实例A、B、C"&amp;IF(N32=0,"的"&amp;C34&amp;"均与估价对象接近，故不作调整。","分别建于"&amp;E34&amp;"年、"&amp;G34&amp;"年、"&amp;I34&amp;"年，需作调整，确定其调整系数分别为"&amp;F34&amp;"%、"&amp;H34&amp;"%、"&amp;J34&amp;"%。")</f>
        <v>估价对象建于1992年,可比实例A、B、C分别建于2009年、2014年、2010年，需作调整，确定其调整系数分别为8.5%、11%、9%。</v>
      </c>
      <c r="L34" s="173" t="s">
        <v>622</v>
      </c>
      <c r="M34" s="182">
        <v>0.5</v>
      </c>
      <c r="N34" s="78"/>
    </row>
    <row r="35" spans="2:14" ht="62.25" customHeight="1">
      <c r="B35" s="244"/>
      <c r="C35" s="174" t="s">
        <v>678</v>
      </c>
      <c r="D35" s="159" t="str">
        <f>估价信息!C61</f>
        <v>半封闭式物业管理</v>
      </c>
      <c r="E35" s="160" t="s">
        <v>606</v>
      </c>
      <c r="F35" s="160">
        <v>0</v>
      </c>
      <c r="G35" s="160" t="s">
        <v>606</v>
      </c>
      <c r="H35" s="160">
        <v>0</v>
      </c>
      <c r="I35" s="160" t="s">
        <v>606</v>
      </c>
      <c r="J35" s="189">
        <v>0</v>
      </c>
      <c r="K35" s="184" t="str">
        <f>"估价对象的"&amp;C35&amp;"为"&amp;D35&amp;"，可比实例A、B、C"&amp;IF(L35=0,"与估价对象相似，不必进行修正。","的"&amp;C35&amp;"分别为"&amp;E35&amp;"、"&amp;G35&amp;"、"&amp;I35&amp;"，需作调整，根据其对房屋价值的影响，确定调整系数分别为"&amp;F35&amp;"%、"&amp;H35&amp;"%、"&amp;J35&amp;"%。")</f>
        <v>估价对象的物业管理为半封闭式物业管理，可比实例A、B、C与估价对象相似，不必进行修正。</v>
      </c>
      <c r="L35" s="168">
        <f>ABS(F35)+ABS(H35)+ABS(J35)</f>
        <v>0</v>
      </c>
    </row>
    <row r="36" spans="2:14" ht="50.25" customHeight="1">
      <c r="B36" s="244"/>
      <c r="C36" s="174" t="s">
        <v>658</v>
      </c>
      <c r="D36" s="159" t="str">
        <f>估价信息!E57</f>
        <v>室内较明亮，空气流通，通风采光较好；建筑功能较好。</v>
      </c>
      <c r="E36" s="160" t="s">
        <v>605</v>
      </c>
      <c r="F36" s="160">
        <v>0</v>
      </c>
      <c r="G36" s="160" t="s">
        <v>605</v>
      </c>
      <c r="H36" s="160">
        <v>0</v>
      </c>
      <c r="I36" s="160" t="s">
        <v>605</v>
      </c>
      <c r="J36" s="189">
        <v>0</v>
      </c>
      <c r="K36" s="184" t="str">
        <f>"估价对象的"&amp;C36&amp;"为"&amp;D36&amp;"可比实例A、B、C"&amp;IF(L36=0,"与估价对象相似，故不作调整。","分别为"&amp;E36&amp;"、"&amp;G36&amp;"、"&amp;I36&amp;"，需作调整，根据其对房屋价值的影响，确定调整系数分别为"&amp;F36&amp;"%、"&amp;H36&amp;"%、"&amp;J36&amp;"%。")</f>
        <v>估价对象的建筑功能为室内较明亮，空气流通，通风采光较好；建筑功能较好。可比实例A、B、C与估价对象相似，故不作调整。</v>
      </c>
      <c r="L36" s="168">
        <f>ABS(F36)+ABS(H36)+ABS(J36)</f>
        <v>0</v>
      </c>
    </row>
    <row r="37" spans="2:14" ht="55.5" customHeight="1">
      <c r="B37" s="244" t="s">
        <v>687</v>
      </c>
      <c r="C37" s="174" t="s">
        <v>659</v>
      </c>
      <c r="D37" s="158" t="str">
        <f>估价信息!F10&amp;"，用途为"&amp;估价信息!C10</f>
        <v>[国有建设出让用地]，用途为[土地用途]</v>
      </c>
      <c r="E37" s="170" t="str">
        <f>VLOOKUP(E$15,$A$3:$Q$13,5,0)</f>
        <v>住宅</v>
      </c>
      <c r="F37" s="160">
        <v>0</v>
      </c>
      <c r="G37" s="170" t="str">
        <f>VLOOKUP(G$15,$A$3:$Q$13,5,0)</f>
        <v>住宅</v>
      </c>
      <c r="H37" s="160">
        <v>0</v>
      </c>
      <c r="I37" s="170" t="str">
        <f>VLOOKUP(I$15,$A$3:$Q$13,5,0)</f>
        <v>住宅</v>
      </c>
      <c r="J37" s="189">
        <v>0</v>
      </c>
      <c r="K37" s="184" t="str">
        <f>"估价对象的"&amp;C37&amp;"为"&amp;D37&amp;"，可比实例A、B、C"&amp;IF(L37=0,"与估价对象一致，不必进行修正。","分别为"&amp;E37&amp;"、"&amp;G37&amp;"、"&amp;I37&amp;"，需作调整，根据其对房屋价值的影响，确定调整系数分别为"&amp;F37&amp;"%、"&amp;H37&amp;"%、"&amp;J37&amp;"%。")</f>
        <v>估价对象的规划条件为[国有建设出让用地]，用途为[土地用途]，可比实例A、B、C与估价对象一致，不必进行修正。</v>
      </c>
      <c r="L37" s="168">
        <f>ABS(F37)+ABS(H37)+ABS(J37)</f>
        <v>0</v>
      </c>
    </row>
    <row r="38" spans="2:14" ht="48" customHeight="1">
      <c r="B38" s="244"/>
      <c r="C38" s="174" t="s">
        <v>660</v>
      </c>
      <c r="D38" s="159" t="str">
        <f>"剩余土地使用年限"&amp;估价信息!F12&amp;"年"</f>
        <v>剩余土地使用年限43年</v>
      </c>
      <c r="E38" s="170" t="str">
        <f>IF(F38=0,"相似",IF(F38=1,"略长",IF(F38=2,"稍长",IF(F38=3,"长",IF(F38=-1,"略短",IF(F38=-2,"稍短",IF(F38=-3,"短",0)))))))</f>
        <v>相似</v>
      </c>
      <c r="F38" s="160">
        <v>0</v>
      </c>
      <c r="G38" s="170" t="str">
        <f>IF(H38=0,"相似",IF(H38=1,"略长",IF(H38=2,"稍长",IF(H38=3,"长",IF(H38=-1,"略短",IF(H38=-2,"稍短",IF(H38=-3,"短",0)))))))</f>
        <v>相似</v>
      </c>
      <c r="H38" s="160">
        <v>0</v>
      </c>
      <c r="I38" s="170" t="str">
        <f>IF(J38=0,"相似",IF(J38=1,"略长",IF(J38=2,"稍长",IF(J38=3,"长",IF(J38=-1,"略短",IF(J38=-2,"稍短",IF(J38=-3,"短",0)))))))</f>
        <v>相似</v>
      </c>
      <c r="J38" s="189">
        <v>0</v>
      </c>
      <c r="K38" s="184" t="str">
        <f>"估价对象的"&amp;D38&amp;"，可比实例A、B、C"&amp;IF(L38=0,"与估价对象基本一致，故不作调整。","的剩余土地使用年限分别比估价对象"&amp;E38&amp;"、"&amp;G38&amp;"、"&amp;I38&amp;"，需作调整，根据其对房屋价值的影响，确定调整系数分别为"&amp;F38&amp;"%、"&amp;H38&amp;"%、"&amp;J38&amp;"%。")</f>
        <v>估价对象的剩余土地使用年限43年，可比实例A、B、C与估价对象基本一致，故不作调整。</v>
      </c>
      <c r="L38" s="168">
        <f>ABS(F38)+ABS(H38)+ABS(J38)</f>
        <v>0</v>
      </c>
    </row>
    <row r="39" spans="2:14" ht="55.5" customHeight="1" thickBot="1">
      <c r="B39" s="245"/>
      <c r="C39" s="201" t="s">
        <v>661</v>
      </c>
      <c r="D39" s="163" t="s">
        <v>604</v>
      </c>
      <c r="E39" s="163" t="s">
        <v>613</v>
      </c>
      <c r="F39" s="163">
        <v>0</v>
      </c>
      <c r="G39" s="163" t="s">
        <v>613</v>
      </c>
      <c r="H39" s="163">
        <v>0</v>
      </c>
      <c r="I39" s="163" t="s">
        <v>613</v>
      </c>
      <c r="J39" s="192">
        <v>0</v>
      </c>
      <c r="K39" s="184" t="str">
        <f>"估价对象的"&amp;C39&amp;D39&amp;"，可比实例A、B、C"&amp;IF(L39=0,"与估价对象相似，不必进行修正。","则分别为"&amp;E39&amp;"、"&amp;G39&amp;"、"&amp;I39&amp;"，需作调整，根据其对房屋价值的影响，确定调整系数分别为"&amp;F39&amp;"%、"&amp;H39&amp;"%、"&amp;J39&amp;"%。")</f>
        <v>估价对象的其他权利限制对房地产价值无影响，可比实例A、B、C与估价对象相似，不必进行修正。</v>
      </c>
      <c r="L39" s="168">
        <f>ABS(F39)+ABS(H39)+ABS(J39)</f>
        <v>0</v>
      </c>
      <c r="M39" s="166"/>
      <c r="N39" s="166"/>
    </row>
    <row r="40" spans="2:14" ht="14.25" thickTop="1"/>
    <row r="41" spans="2:14">
      <c r="D41" t="s">
        <v>616</v>
      </c>
      <c r="E41">
        <f>F41+100</f>
        <v>100</v>
      </c>
      <c r="F41">
        <f>F17</f>
        <v>0</v>
      </c>
      <c r="G41">
        <f>H41+100</f>
        <v>100</v>
      </c>
      <c r="H41">
        <f>H17</f>
        <v>0</v>
      </c>
      <c r="I41">
        <f>J41+100</f>
        <v>100</v>
      </c>
      <c r="J41">
        <f>J17</f>
        <v>0</v>
      </c>
    </row>
    <row r="42" spans="2:14">
      <c r="D42" t="s">
        <v>617</v>
      </c>
      <c r="E42">
        <f>F42*100</f>
        <v>100</v>
      </c>
      <c r="F42">
        <f>F18</f>
        <v>1</v>
      </c>
      <c r="G42">
        <f>H42*100</f>
        <v>100</v>
      </c>
      <c r="H42">
        <f>H18</f>
        <v>1</v>
      </c>
      <c r="I42">
        <f>J42*100</f>
        <v>101</v>
      </c>
      <c r="J42">
        <f>J18</f>
        <v>1.01</v>
      </c>
      <c r="L42" s="78"/>
    </row>
    <row r="43" spans="2:14" ht="14.25" customHeight="1">
      <c r="D43" t="s">
        <v>618</v>
      </c>
      <c r="E43">
        <f>F43+100</f>
        <v>105.5</v>
      </c>
      <c r="F43">
        <f>SUM(F19:F25)</f>
        <v>5.5</v>
      </c>
      <c r="G43">
        <f>H43+100</f>
        <v>103</v>
      </c>
      <c r="H43">
        <f>SUM(H19:H25)</f>
        <v>3</v>
      </c>
      <c r="I43">
        <f>J43+100</f>
        <v>101</v>
      </c>
      <c r="J43">
        <f>SUM(J19:J25)</f>
        <v>1</v>
      </c>
      <c r="L43" s="155"/>
    </row>
    <row r="44" spans="2:14" ht="14.25" customHeight="1">
      <c r="D44" t="s">
        <v>619</v>
      </c>
      <c r="E44">
        <f t="shared" ref="E44:G45" si="0">F44+100</f>
        <v>109.5</v>
      </c>
      <c r="F44">
        <f>SUM(F26:F36)</f>
        <v>9.5</v>
      </c>
      <c r="G44">
        <f t="shared" si="0"/>
        <v>113</v>
      </c>
      <c r="H44">
        <f>SUM(H26:H36)</f>
        <v>13</v>
      </c>
      <c r="I44">
        <f>J44+100</f>
        <v>112</v>
      </c>
      <c r="J44">
        <f>SUM(J26:J36)</f>
        <v>12</v>
      </c>
      <c r="L44" s="155"/>
    </row>
    <row r="45" spans="2:14" ht="14.25" customHeight="1">
      <c r="D45" t="s">
        <v>620</v>
      </c>
      <c r="E45">
        <f t="shared" si="0"/>
        <v>100</v>
      </c>
      <c r="F45">
        <f>SUM(F37:F39)</f>
        <v>0</v>
      </c>
      <c r="G45">
        <f t="shared" si="0"/>
        <v>100</v>
      </c>
      <c r="H45">
        <f>SUM(H37:H39)</f>
        <v>0</v>
      </c>
      <c r="I45">
        <f>J45+100</f>
        <v>100</v>
      </c>
      <c r="J45">
        <f>SUM(J37:J39)</f>
        <v>0</v>
      </c>
      <c r="L45" s="155"/>
    </row>
    <row r="46" spans="2:14">
      <c r="L46" s="155"/>
    </row>
    <row r="47" spans="2:14">
      <c r="F47">
        <f>ROUND(F15*100/E41*100/E43*100/E44*100/E45*E42/100,0)</f>
        <v>20779</v>
      </c>
      <c r="H47">
        <f>ROUND(H15*100/G41*100/G43*100/G44*100/G45*G42/100,0)</f>
        <v>20676</v>
      </c>
      <c r="J47">
        <f>ROUND(J15*100/I41*100/I43*100/I44*100/I45*I42/100,0)</f>
        <v>21363</v>
      </c>
      <c r="L47" s="155"/>
    </row>
    <row r="48" spans="2:14">
      <c r="L48" s="155"/>
    </row>
    <row r="49" spans="12:12">
      <c r="L49" s="155"/>
    </row>
  </sheetData>
  <mergeCells count="7">
    <mergeCell ref="B19:B25"/>
    <mergeCell ref="B26:B36"/>
    <mergeCell ref="B37:B39"/>
    <mergeCell ref="B15:C15"/>
    <mergeCell ref="B16:C16"/>
    <mergeCell ref="B17:C17"/>
    <mergeCell ref="B18:C18"/>
  </mergeCells>
  <phoneticPr fontId="8" type="noConversion"/>
  <conditionalFormatting sqref="C4:C13">
    <cfRule type="duplicateValues" dxfId="11" priority="21" stopIfTrue="1"/>
  </conditionalFormatting>
  <conditionalFormatting sqref="C3">
    <cfRule type="duplicateValues" dxfId="10" priority="14" stopIfTrue="1"/>
  </conditionalFormatting>
  <conditionalFormatting sqref="E12">
    <cfRule type="duplicateValues" dxfId="9" priority="12" stopIfTrue="1"/>
  </conditionalFormatting>
  <conditionalFormatting sqref="E13">
    <cfRule type="duplicateValues" dxfId="8" priority="11" stopIfTrue="1"/>
  </conditionalFormatting>
  <conditionalFormatting sqref="E11">
    <cfRule type="duplicateValues" dxfId="7" priority="10" stopIfTrue="1"/>
  </conditionalFormatting>
  <conditionalFormatting sqref="E9">
    <cfRule type="duplicateValues" dxfId="6" priority="9" stopIfTrue="1"/>
  </conditionalFormatting>
  <conditionalFormatting sqref="E6">
    <cfRule type="duplicateValues" dxfId="5" priority="8" stopIfTrue="1"/>
  </conditionalFormatting>
  <conditionalFormatting sqref="E4">
    <cfRule type="duplicateValues" dxfId="4" priority="6" stopIfTrue="1"/>
  </conditionalFormatting>
  <conditionalFormatting sqref="E5">
    <cfRule type="duplicateValues" dxfId="3" priority="5" stopIfTrue="1"/>
  </conditionalFormatting>
  <conditionalFormatting sqref="E10">
    <cfRule type="duplicateValues" dxfId="2" priority="3" stopIfTrue="1"/>
  </conditionalFormatting>
  <conditionalFormatting sqref="E7">
    <cfRule type="duplicateValues" dxfId="1" priority="2" stopIfTrue="1"/>
  </conditionalFormatting>
  <conditionalFormatting sqref="E8">
    <cfRule type="duplicateValues" dxfId="0" priority="1" stopIfTrue="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4"/>
  <sheetViews>
    <sheetView tabSelected="1" zoomScale="96" zoomScaleNormal="96" workbookViewId="0">
      <pane ySplit="1" topLeftCell="A20" activePane="bottomLeft" state="frozen"/>
      <selection pane="bottomLeft" activeCell="J34" sqref="J34"/>
    </sheetView>
  </sheetViews>
  <sheetFormatPr defaultRowHeight="13.5"/>
  <cols>
    <col min="1" max="1" width="8.875" style="1" customWidth="1"/>
    <col min="2" max="2" width="13.25" style="1" customWidth="1"/>
    <col min="3" max="3" width="12.75" style="1" bestFit="1" customWidth="1"/>
    <col min="4" max="4" width="13" style="1" customWidth="1"/>
    <col min="5" max="5" width="11.25" style="1" customWidth="1"/>
    <col min="6" max="6" width="39.5" style="1" customWidth="1"/>
    <col min="7" max="7" width="9" style="1"/>
    <col min="8" max="8" width="13.5" style="1" customWidth="1"/>
    <col min="9" max="9" width="13" style="1" customWidth="1"/>
    <col min="10" max="10" width="6.875" style="1" customWidth="1"/>
    <col min="11" max="11" width="14.75" style="1" customWidth="1"/>
    <col min="12" max="12" width="7.5" style="1" customWidth="1"/>
    <col min="13" max="13" width="11.625" style="1" customWidth="1"/>
    <col min="14" max="14" width="7.5" style="1" customWidth="1"/>
    <col min="15" max="16384" width="9" style="1"/>
  </cols>
  <sheetData>
    <row r="1" spans="1:14" ht="24" customHeight="1">
      <c r="B1" s="249" t="s">
        <v>83</v>
      </c>
      <c r="C1" s="250"/>
      <c r="D1" s="250"/>
      <c r="E1" s="250"/>
      <c r="F1" s="250"/>
      <c r="H1" s="177" t="s">
        <v>630</v>
      </c>
      <c r="I1" s="177"/>
      <c r="J1" s="178">
        <f>C21</f>
        <v>20891</v>
      </c>
    </row>
    <row r="2" spans="1:14" ht="14.25" thickBot="1">
      <c r="H2" s="1" t="s">
        <v>692</v>
      </c>
    </row>
    <row r="3" spans="1:14" ht="15" thickTop="1">
      <c r="A3" s="18" t="s">
        <v>55</v>
      </c>
      <c r="B3" s="19" t="s">
        <v>56</v>
      </c>
      <c r="C3" s="19" t="s">
        <v>98</v>
      </c>
      <c r="D3" s="19" t="s">
        <v>99</v>
      </c>
      <c r="E3" s="19" t="s">
        <v>100</v>
      </c>
      <c r="F3" s="20" t="s">
        <v>57</v>
      </c>
      <c r="G3" s="216" t="s">
        <v>56</v>
      </c>
      <c r="H3" s="165" t="s">
        <v>693</v>
      </c>
      <c r="I3" s="165" t="s">
        <v>638</v>
      </c>
      <c r="J3" s="165"/>
      <c r="K3" s="165" t="s">
        <v>639</v>
      </c>
      <c r="L3" s="165"/>
      <c r="M3" s="165" t="s">
        <v>640</v>
      </c>
      <c r="N3" s="217"/>
    </row>
    <row r="4" spans="1:14" ht="20.25" customHeight="1">
      <c r="A4" s="21" t="s">
        <v>58</v>
      </c>
      <c r="B4" s="204" t="s">
        <v>59</v>
      </c>
      <c r="C4" s="14">
        <f>ROUND(E4*12*(1-F5),2)</f>
        <v>770.5</v>
      </c>
      <c r="D4" s="205" t="s">
        <v>97</v>
      </c>
      <c r="E4" s="236">
        <f>ROUND((I16+K16+M16)/3,0)</f>
        <v>67</v>
      </c>
      <c r="F4" s="206" t="s">
        <v>113</v>
      </c>
      <c r="G4" s="218"/>
      <c r="H4" s="219" t="str">
        <f>估价信息!C37</f>
        <v>[小区名称]</v>
      </c>
      <c r="I4" s="221" t="s">
        <v>641</v>
      </c>
      <c r="J4" s="219"/>
      <c r="K4" s="221" t="s">
        <v>641</v>
      </c>
      <c r="L4" s="219"/>
      <c r="M4" s="221" t="s">
        <v>641</v>
      </c>
      <c r="N4" s="220"/>
    </row>
    <row r="5" spans="1:14">
      <c r="A5" s="21"/>
      <c r="B5" s="204"/>
      <c r="C5" s="14"/>
      <c r="D5" s="205" t="s">
        <v>62</v>
      </c>
      <c r="E5" s="54">
        <v>0.5</v>
      </c>
      <c r="F5" s="230">
        <f>E5/12</f>
        <v>4.1666666666666664E-2</v>
      </c>
      <c r="G5" s="218" t="s">
        <v>642</v>
      </c>
      <c r="H5" s="219"/>
      <c r="I5" s="222">
        <v>73</v>
      </c>
      <c r="J5" s="219"/>
      <c r="K5" s="222">
        <v>75</v>
      </c>
      <c r="L5" s="219"/>
      <c r="M5" s="222">
        <v>76</v>
      </c>
      <c r="N5" s="220"/>
    </row>
    <row r="6" spans="1:14" ht="19.5" customHeight="1">
      <c r="A6" s="21" t="s">
        <v>101</v>
      </c>
      <c r="B6" s="204" t="s">
        <v>64</v>
      </c>
      <c r="C6" s="14">
        <f>E4*E6*(1-F5)</f>
        <v>0.9631249999999999</v>
      </c>
      <c r="D6" s="205" t="s">
        <v>118</v>
      </c>
      <c r="E6" s="55">
        <v>1.4999999999999999E-2</v>
      </c>
      <c r="G6" s="218" t="s">
        <v>587</v>
      </c>
      <c r="H6" s="219" t="str">
        <f>估价信息!C44</f>
        <v>[评估用途]</v>
      </c>
      <c r="I6" s="221" t="str">
        <f>估价信息!C44</f>
        <v>[评估用途]</v>
      </c>
      <c r="J6" s="221">
        <v>0</v>
      </c>
      <c r="K6" s="221" t="str">
        <f>估价信息!C44</f>
        <v>[评估用途]</v>
      </c>
      <c r="L6" s="221">
        <v>0</v>
      </c>
      <c r="M6" s="221" t="str">
        <f>估价信息!C44</f>
        <v>[评估用途]</v>
      </c>
      <c r="N6" s="223">
        <v>0</v>
      </c>
    </row>
    <row r="7" spans="1:14">
      <c r="A7" s="21" t="s">
        <v>110</v>
      </c>
      <c r="B7" s="204" t="s">
        <v>65</v>
      </c>
      <c r="C7" s="14">
        <f>ROUND(C8+C11+C14+C13+C10,2)</f>
        <v>66.900000000000006</v>
      </c>
      <c r="D7" s="204"/>
      <c r="E7" s="207"/>
      <c r="F7" s="206"/>
      <c r="G7" s="218" t="s">
        <v>126</v>
      </c>
      <c r="H7" s="219" t="str">
        <f>估价信息!F9</f>
        <v>钢混结构</v>
      </c>
      <c r="I7" s="221" t="s">
        <v>656</v>
      </c>
      <c r="J7" s="221">
        <v>0</v>
      </c>
      <c r="K7" s="221" t="s">
        <v>690</v>
      </c>
      <c r="L7" s="221">
        <v>0</v>
      </c>
      <c r="M7" s="221" t="s">
        <v>690</v>
      </c>
      <c r="N7" s="223">
        <v>0</v>
      </c>
    </row>
    <row r="8" spans="1:14" ht="30.75" customHeight="1">
      <c r="A8" s="21" t="s">
        <v>60</v>
      </c>
      <c r="B8" s="204" t="s">
        <v>700</v>
      </c>
      <c r="C8" s="14">
        <f>ROUND(C4/(1+0.05)*E8*(1+E9),2)</f>
        <v>0</v>
      </c>
      <c r="D8" s="204" t="s">
        <v>121</v>
      </c>
      <c r="E8" s="234">
        <f>IF(B28="个人",IF(B31,0,IF(B26="住宅",0.015,0.05)),IF(B28="一般纳税人",0.05,0.05))</f>
        <v>0</v>
      </c>
      <c r="F8" s="206" t="s">
        <v>702</v>
      </c>
      <c r="G8" s="218" t="s">
        <v>122</v>
      </c>
      <c r="H8" s="219" t="str">
        <f>估价信息!E42</f>
        <v>东南</v>
      </c>
      <c r="I8" s="221" t="s">
        <v>643</v>
      </c>
      <c r="J8" s="221">
        <v>2</v>
      </c>
      <c r="K8" s="221" t="s">
        <v>644</v>
      </c>
      <c r="L8" s="221">
        <v>2</v>
      </c>
      <c r="M8" s="221" t="s">
        <v>643</v>
      </c>
      <c r="N8" s="223">
        <v>2</v>
      </c>
    </row>
    <row r="9" spans="1:14">
      <c r="A9" s="21"/>
      <c r="B9" s="208"/>
      <c r="C9" s="208"/>
      <c r="D9" s="204" t="s">
        <v>112</v>
      </c>
      <c r="E9" s="39">
        <f>D26</f>
        <v>0.12</v>
      </c>
      <c r="F9" s="206"/>
      <c r="G9" s="218" t="s">
        <v>654</v>
      </c>
      <c r="H9" s="219" t="str">
        <f>估价信息!E59</f>
        <v>平层</v>
      </c>
      <c r="I9" s="221" t="s">
        <v>655</v>
      </c>
      <c r="J9" s="221">
        <v>0</v>
      </c>
      <c r="K9" s="221" t="s">
        <v>691</v>
      </c>
      <c r="L9" s="221">
        <v>0</v>
      </c>
      <c r="M9" s="221" t="s">
        <v>691</v>
      </c>
      <c r="N9" s="223">
        <v>0</v>
      </c>
    </row>
    <row r="10" spans="1:14" ht="23.25" customHeight="1">
      <c r="A10" s="209"/>
      <c r="B10" s="204" t="s">
        <v>701</v>
      </c>
      <c r="C10" s="206">
        <f>ROUND(E10*(C4+C6)/(1+0.05),2)</f>
        <v>29.39</v>
      </c>
      <c r="D10" s="204" t="s">
        <v>102</v>
      </c>
      <c r="E10" s="39">
        <f>IF(B26="住宅",0.04,IF(B28="个人",0.04,0.12))</f>
        <v>0.04</v>
      </c>
      <c r="G10" s="218" t="s">
        <v>645</v>
      </c>
      <c r="H10" s="219" t="str">
        <f>"第"&amp;估价信息!C17&amp;"层/"&amp;估价信息!D17</f>
        <v>第2层/7层（含跃层）</v>
      </c>
      <c r="I10" s="221" t="s">
        <v>646</v>
      </c>
      <c r="J10" s="221">
        <v>2</v>
      </c>
      <c r="K10" s="221" t="s">
        <v>647</v>
      </c>
      <c r="L10" s="221">
        <v>3</v>
      </c>
      <c r="M10" s="221" t="s">
        <v>648</v>
      </c>
      <c r="N10" s="223">
        <v>4</v>
      </c>
    </row>
    <row r="11" spans="1:14">
      <c r="A11" s="21" t="s">
        <v>61</v>
      </c>
      <c r="B11" s="204" t="s">
        <v>104</v>
      </c>
      <c r="C11" s="14">
        <f>E12*E11</f>
        <v>2.6</v>
      </c>
      <c r="D11" s="205" t="s">
        <v>66</v>
      </c>
      <c r="E11" s="55">
        <v>2E-3</v>
      </c>
      <c r="F11" s="210" t="s">
        <v>103</v>
      </c>
      <c r="G11" s="218" t="s">
        <v>657</v>
      </c>
      <c r="H11" s="219">
        <f>估价信息!C15</f>
        <v>72.650000000000006</v>
      </c>
      <c r="I11" s="222">
        <v>134.36000000000001</v>
      </c>
      <c r="J11" s="221">
        <v>-2</v>
      </c>
      <c r="K11" s="222">
        <v>129.63</v>
      </c>
      <c r="L11" s="221">
        <v>-2</v>
      </c>
      <c r="M11" s="222">
        <v>133.24</v>
      </c>
      <c r="N11" s="223">
        <v>-2</v>
      </c>
    </row>
    <row r="12" spans="1:14">
      <c r="A12" s="209"/>
      <c r="B12" s="208"/>
      <c r="C12" s="208"/>
      <c r="D12" s="205" t="s">
        <v>119</v>
      </c>
      <c r="E12" s="54">
        <v>1300</v>
      </c>
      <c r="F12" s="206" t="str">
        <f>(E12-100)&amp;"～"&amp;(E12+200)</f>
        <v>1200～1500</v>
      </c>
      <c r="G12" s="218" t="s">
        <v>649</v>
      </c>
      <c r="H12" s="221" t="s">
        <v>697</v>
      </c>
      <c r="I12" s="221" t="s">
        <v>130</v>
      </c>
      <c r="J12" s="221">
        <v>2</v>
      </c>
      <c r="K12" s="221" t="s">
        <v>130</v>
      </c>
      <c r="L12" s="221">
        <v>2</v>
      </c>
      <c r="M12" s="221" t="s">
        <v>130</v>
      </c>
      <c r="N12" s="223">
        <v>2</v>
      </c>
    </row>
    <row r="13" spans="1:14" ht="20.25" customHeight="1">
      <c r="A13" s="21" t="s">
        <v>63</v>
      </c>
      <c r="B13" s="204" t="s">
        <v>106</v>
      </c>
      <c r="C13" s="14">
        <f>C4*E13</f>
        <v>15.41</v>
      </c>
      <c r="D13" s="205" t="s">
        <v>69</v>
      </c>
      <c r="E13" s="55">
        <v>0.02</v>
      </c>
      <c r="F13" s="206" t="s">
        <v>107</v>
      </c>
      <c r="G13" s="218" t="s">
        <v>650</v>
      </c>
      <c r="H13" s="221" t="s">
        <v>698</v>
      </c>
      <c r="I13" s="221" t="s">
        <v>651</v>
      </c>
      <c r="J13" s="221">
        <v>2</v>
      </c>
      <c r="K13" s="221" t="s">
        <v>651</v>
      </c>
      <c r="L13" s="221">
        <v>2</v>
      </c>
      <c r="M13" s="221" t="s">
        <v>651</v>
      </c>
      <c r="N13" s="223">
        <v>2</v>
      </c>
    </row>
    <row r="14" spans="1:14" ht="24" customHeight="1">
      <c r="A14" s="21" t="s">
        <v>67</v>
      </c>
      <c r="B14" s="204" t="s">
        <v>108</v>
      </c>
      <c r="C14" s="14">
        <f>E12*E14</f>
        <v>19.5</v>
      </c>
      <c r="D14" s="205" t="s">
        <v>68</v>
      </c>
      <c r="E14" s="55">
        <v>1.4999999999999999E-2</v>
      </c>
      <c r="F14" s="210" t="s">
        <v>105</v>
      </c>
      <c r="G14" s="218" t="s">
        <v>652</v>
      </c>
      <c r="H14" s="219">
        <f>估价信息!C16</f>
        <v>1992</v>
      </c>
      <c r="I14" s="221" t="s">
        <v>653</v>
      </c>
      <c r="J14" s="221">
        <v>4</v>
      </c>
      <c r="K14" s="221" t="s">
        <v>653</v>
      </c>
      <c r="L14" s="221">
        <v>4</v>
      </c>
      <c r="M14" s="221" t="s">
        <v>653</v>
      </c>
      <c r="N14" s="223">
        <v>4</v>
      </c>
    </row>
    <row r="15" spans="1:14" ht="21" customHeight="1">
      <c r="A15" s="21" t="s">
        <v>85</v>
      </c>
      <c r="B15" s="204" t="s">
        <v>109</v>
      </c>
      <c r="C15" s="14">
        <f>C4-C7+C6</f>
        <v>704.56312500000001</v>
      </c>
      <c r="D15" s="204"/>
      <c r="E15" s="207"/>
      <c r="F15" s="206" t="s">
        <v>111</v>
      </c>
      <c r="G15" s="224" t="s">
        <v>688</v>
      </c>
      <c r="H15" s="219"/>
      <c r="I15" s="225">
        <f>100+J15</f>
        <v>110</v>
      </c>
      <c r="J15" s="225">
        <f>SUM(J6:J14)</f>
        <v>10</v>
      </c>
      <c r="K15" s="225">
        <f>100+L15</f>
        <v>111</v>
      </c>
      <c r="L15" s="225">
        <f>SUM(L6:L14)</f>
        <v>11</v>
      </c>
      <c r="M15" s="225">
        <f>100+N15</f>
        <v>112</v>
      </c>
      <c r="N15" s="226">
        <f>SUM(N6:N14)</f>
        <v>12</v>
      </c>
    </row>
    <row r="16" spans="1:14" ht="20.25" customHeight="1" thickBot="1">
      <c r="A16" s="21" t="s">
        <v>70</v>
      </c>
      <c r="B16" s="204" t="s">
        <v>72</v>
      </c>
      <c r="C16" s="14">
        <f>ROUND(C15/E17*(1-1/(1+E17)^E16),2)</f>
        <v>3050.39</v>
      </c>
      <c r="D16" s="205" t="s">
        <v>115</v>
      </c>
      <c r="E16" s="56">
        <v>5</v>
      </c>
      <c r="F16" s="211" t="s">
        <v>116</v>
      </c>
      <c r="G16" s="227" t="s">
        <v>689</v>
      </c>
      <c r="H16" s="38"/>
      <c r="I16" s="228">
        <f>ROUND(I5*100/I15,0)</f>
        <v>66</v>
      </c>
      <c r="J16" s="228"/>
      <c r="K16" s="228">
        <f>ROUND(K5*100/K15,0)</f>
        <v>68</v>
      </c>
      <c r="L16" s="228"/>
      <c r="M16" s="228">
        <f>ROUND(M5*100/M15,0)</f>
        <v>68</v>
      </c>
      <c r="N16" s="229"/>
    </row>
    <row r="17" spans="1:14" ht="20.25" customHeight="1" thickTop="1">
      <c r="A17" s="209"/>
      <c r="B17" s="208"/>
      <c r="C17" s="208"/>
      <c r="D17" s="204" t="s">
        <v>117</v>
      </c>
      <c r="E17" s="39">
        <f>G41</f>
        <v>0.05</v>
      </c>
      <c r="F17" s="212"/>
      <c r="G17" s="15"/>
      <c r="H17" s="15"/>
      <c r="I17" s="15"/>
      <c r="J17" s="15"/>
      <c r="K17" s="15"/>
      <c r="L17" s="15"/>
      <c r="M17" s="15"/>
      <c r="N17" s="15"/>
    </row>
    <row r="18" spans="1:14" ht="25.5">
      <c r="A18" s="21" t="s">
        <v>71</v>
      </c>
      <c r="B18" s="204" t="s">
        <v>75</v>
      </c>
      <c r="C18" s="17">
        <f>E19-E20</f>
        <v>22769.347938204799</v>
      </c>
      <c r="D18" s="205" t="s">
        <v>74</v>
      </c>
      <c r="E18" s="55">
        <v>0.02</v>
      </c>
      <c r="F18" s="206" t="s">
        <v>80</v>
      </c>
      <c r="G18" s="15"/>
      <c r="H18" s="15"/>
      <c r="I18" s="15"/>
      <c r="J18" s="45"/>
      <c r="K18" s="231">
        <f>C4+C6</f>
        <v>771.46312499999999</v>
      </c>
      <c r="L18" s="15"/>
      <c r="M18" s="15"/>
      <c r="N18" s="15"/>
    </row>
    <row r="19" spans="1:14" ht="24.75" customHeight="1">
      <c r="A19" s="21"/>
      <c r="B19" s="208"/>
      <c r="C19" s="208"/>
      <c r="D19" s="204" t="s">
        <v>76</v>
      </c>
      <c r="E19" s="16">
        <f>比较法!K1*(1+E18)^E16</f>
        <v>23118.347938204799</v>
      </c>
      <c r="F19" s="206" t="s">
        <v>81</v>
      </c>
      <c r="G19" s="15"/>
      <c r="H19" s="15"/>
      <c r="I19" s="15"/>
      <c r="J19" s="45"/>
      <c r="K19" s="15"/>
      <c r="L19" s="15"/>
      <c r="M19" s="15"/>
      <c r="N19" s="15"/>
    </row>
    <row r="20" spans="1:14">
      <c r="A20" s="209"/>
      <c r="B20" s="208"/>
      <c r="C20" s="208"/>
      <c r="D20" s="204" t="s">
        <v>77</v>
      </c>
      <c r="E20" s="16">
        <f>E31</f>
        <v>349</v>
      </c>
      <c r="F20" s="206"/>
      <c r="G20" s="15"/>
      <c r="H20" s="15"/>
      <c r="I20" s="15"/>
      <c r="J20" s="15"/>
      <c r="K20" s="15"/>
      <c r="L20" s="15"/>
      <c r="M20" s="15"/>
      <c r="N20" s="15"/>
    </row>
    <row r="21" spans="1:14" ht="14.25" thickBot="1">
      <c r="A21" s="22" t="s">
        <v>73</v>
      </c>
      <c r="B21" s="213" t="s">
        <v>79</v>
      </c>
      <c r="C21" s="23">
        <f>ROUND(C16+C18/(1+E17)^E16,0)</f>
        <v>20891</v>
      </c>
      <c r="D21" s="213"/>
      <c r="E21" s="214"/>
      <c r="F21" s="215" t="s">
        <v>82</v>
      </c>
      <c r="G21" s="15"/>
      <c r="H21" s="15"/>
      <c r="I21" s="15"/>
      <c r="J21" s="15"/>
      <c r="K21" s="15"/>
      <c r="L21" s="15"/>
      <c r="M21" s="15"/>
      <c r="N21" s="15"/>
    </row>
    <row r="22" spans="1:14" ht="14.25" thickTop="1"/>
    <row r="23" spans="1:14" ht="14.25" thickBot="1"/>
    <row r="24" spans="1:14" ht="26.25" thickTop="1">
      <c r="A24" s="40" t="s">
        <v>78</v>
      </c>
      <c r="B24" s="43">
        <v>30000</v>
      </c>
      <c r="C24" s="5" t="s">
        <v>27</v>
      </c>
      <c r="D24" s="6" t="s">
        <v>39</v>
      </c>
      <c r="E24" s="6" t="s">
        <v>37</v>
      </c>
      <c r="F24" s="7" t="s">
        <v>38</v>
      </c>
      <c r="K24" s="202"/>
      <c r="L24" s="203"/>
      <c r="M24" s="202"/>
      <c r="N24" s="202"/>
    </row>
    <row r="25" spans="1:14" ht="27">
      <c r="A25" s="40" t="s">
        <v>41</v>
      </c>
      <c r="B25" s="43">
        <f>估价信息!C15</f>
        <v>72.650000000000006</v>
      </c>
      <c r="C25" s="8" t="s">
        <v>7</v>
      </c>
      <c r="D25" s="9">
        <f>IF(B28="个人",IF(B26="住宅",IF(B27="是",0,0.05),0.05),0.05)</f>
        <v>0</v>
      </c>
      <c r="E25" s="10">
        <f>ROUND(E19/(1+D25)*D25,0)</f>
        <v>0</v>
      </c>
      <c r="F25" s="11" t="str">
        <f>IF(B28="个人",IF(B26="住宅",IF(B27="是",净值计算支持表!G6,净值计算支持表!G7),净值计算支持表!G8),净值计算支持表!G9)</f>
        <v>个人将购买2年以上（含2年）的住房对外销售的，免征增值税</v>
      </c>
      <c r="K25" s="202"/>
      <c r="L25" s="203"/>
      <c r="M25" s="202"/>
      <c r="N25" s="202"/>
    </row>
    <row r="26" spans="1:14" ht="59.25" customHeight="1">
      <c r="A26" s="40" t="s">
        <v>51</v>
      </c>
      <c r="B26" s="41" t="s">
        <v>96</v>
      </c>
      <c r="C26" s="8" t="s">
        <v>48</v>
      </c>
      <c r="D26" s="9">
        <f>IF(B29="市区",0.12,IF(B29="县镇",0.1,0.06))</f>
        <v>0.12</v>
      </c>
      <c r="E26" s="10">
        <f>ROUND(E25*D26,0)</f>
        <v>0</v>
      </c>
      <c r="F26" s="11" t="str">
        <f>净值计算支持表!G10</f>
        <v>以应纳增值税额为计税（费）依据，城市维护建设税按市区7%，县城、镇5%，不在市区、县城或镇的，税率为1%计征。教育费附加按3%的征收率计征。地方教育附加按2%的征收率计征</v>
      </c>
      <c r="K26" s="202"/>
      <c r="L26" s="203"/>
      <c r="M26" s="202"/>
      <c r="N26" s="202"/>
    </row>
    <row r="27" spans="1:14" ht="27">
      <c r="A27" s="40" t="s">
        <v>18</v>
      </c>
      <c r="B27" s="43" t="s">
        <v>53</v>
      </c>
      <c r="C27" s="8" t="s">
        <v>3</v>
      </c>
      <c r="D27" s="12">
        <f>IF(B28="个人",0.015,0)</f>
        <v>1.4999999999999999E-2</v>
      </c>
      <c r="E27" s="10">
        <f>ROUND(E19/(1+D25)*D27,0)</f>
        <v>347</v>
      </c>
      <c r="F27" s="11" t="str">
        <f>IF(B28="个人",净值计算支持表!G11,净值计算支持表!G12)</f>
        <v>个人销售二手房不能核实原值的，按交易总额(增值税不含税收入)的1.5％计征。</v>
      </c>
      <c r="K27" s="202"/>
      <c r="L27" s="203"/>
      <c r="M27" s="202"/>
      <c r="N27" s="202"/>
    </row>
    <row r="28" spans="1:14" ht="27">
      <c r="A28" s="40" t="s">
        <v>84</v>
      </c>
      <c r="B28" s="41" t="s">
        <v>629</v>
      </c>
      <c r="C28" s="8" t="s">
        <v>0</v>
      </c>
      <c r="D28" s="13">
        <f>IF(B28="个人",IF(B26="住宅",0,0.0005),0.0005)</f>
        <v>0</v>
      </c>
      <c r="E28" s="10">
        <f>ROUND(E19/(1+D25)*D28,0)</f>
        <v>0</v>
      </c>
      <c r="F28" s="11" t="str">
        <f>IF(B28="个人",IF(B26="住宅",净值计算支持表!G19,净值计算支持表!G20),净值计算支持表!G20)</f>
        <v>自2008年11月1日起，对个人销售或购买住房暂免征收印花税。</v>
      </c>
      <c r="K28" s="202"/>
      <c r="L28" s="203"/>
      <c r="M28" s="202"/>
      <c r="N28" s="202"/>
    </row>
    <row r="29" spans="1:14" ht="27">
      <c r="A29" s="40" t="s">
        <v>28</v>
      </c>
      <c r="B29" s="41" t="s">
        <v>54</v>
      </c>
      <c r="C29" s="8" t="s">
        <v>1</v>
      </c>
      <c r="D29" s="9">
        <f>IF(B28="个人",IF(B26="住宅",0,0.05),0.05)</f>
        <v>0</v>
      </c>
      <c r="E29" s="10">
        <f>ROUND(E19/(1+D25)*D29,0)</f>
        <v>0</v>
      </c>
      <c r="F29" s="11" t="str">
        <f>IF(B28="个人",IF(B26="住宅",净值计算支持表!G16,净值计算支持表!G15),净值计算支持表!G15)</f>
        <v xml:space="preserve">自2008年11月1日起，个人销售住房暂免征收土地增值税。  </v>
      </c>
      <c r="K29" s="202"/>
      <c r="L29" s="203"/>
      <c r="M29" s="202"/>
      <c r="N29" s="202"/>
    </row>
    <row r="30" spans="1:14" ht="40.5">
      <c r="A30" s="40" t="s">
        <v>120</v>
      </c>
      <c r="B30" s="235">
        <f>IF(B28="一般纳税人",0.11,0.05)</f>
        <v>0.05</v>
      </c>
      <c r="C30" s="8" t="s">
        <v>12</v>
      </c>
      <c r="D30" s="53">
        <f>VLOOKUP(B26,净值计算支持表!H6:I11,2,0)/2</f>
        <v>2</v>
      </c>
      <c r="E30" s="53">
        <f>D30</f>
        <v>2</v>
      </c>
      <c r="F30" s="11" t="str">
        <f>IF(B26="住宅",净值计算支持表!G18,净值计算支持表!G21)</f>
        <v>交易手续费按建筑面积计取，2015年10月15日起，存量住房交易手续费由现行每平方米6元降为每平方米4元，双方各承担50%。</v>
      </c>
      <c r="H30" s="15"/>
      <c r="I30" s="15"/>
    </row>
    <row r="31" spans="1:14" ht="26.25" thickBot="1">
      <c r="A31" s="40" t="s">
        <v>699</v>
      </c>
      <c r="B31" s="43" t="b">
        <f>E4*B25&lt;=B24</f>
        <v>1</v>
      </c>
      <c r="C31" s="26" t="s">
        <v>114</v>
      </c>
      <c r="D31" s="27"/>
      <c r="E31" s="28">
        <f>SUM(E25:E30)</f>
        <v>349</v>
      </c>
      <c r="F31" s="25"/>
      <c r="J31" s="15"/>
    </row>
    <row r="32" spans="1:14" ht="15" thickTop="1" thickBot="1"/>
    <row r="33" spans="3:8" ht="27.75" customHeight="1" thickTop="1">
      <c r="C33" s="44"/>
      <c r="E33" s="251" t="s">
        <v>86</v>
      </c>
      <c r="F33" s="251"/>
      <c r="G33" s="251"/>
    </row>
    <row r="34" spans="3:8" ht="27">
      <c r="E34" s="30" t="s">
        <v>87</v>
      </c>
      <c r="F34" s="31" t="s">
        <v>88</v>
      </c>
      <c r="G34" s="32" t="s">
        <v>89</v>
      </c>
    </row>
    <row r="35" spans="3:8" ht="14.25">
      <c r="E35" s="30">
        <v>1</v>
      </c>
      <c r="F35" s="33" t="s">
        <v>703</v>
      </c>
      <c r="G35" s="34">
        <f>E6</f>
        <v>1.4999999999999999E-2</v>
      </c>
    </row>
    <row r="36" spans="3:8">
      <c r="E36" s="30">
        <v>2</v>
      </c>
      <c r="F36" s="31" t="s">
        <v>90</v>
      </c>
      <c r="G36" s="42">
        <v>1.7500000000000002E-2</v>
      </c>
    </row>
    <row r="37" spans="3:8">
      <c r="E37" s="30">
        <v>3</v>
      </c>
      <c r="F37" s="31" t="s">
        <v>91</v>
      </c>
      <c r="G37" s="42">
        <v>1.4999999999999999E-2</v>
      </c>
    </row>
    <row r="38" spans="3:8">
      <c r="E38" s="30">
        <v>4</v>
      </c>
      <c r="F38" s="31" t="s">
        <v>92</v>
      </c>
      <c r="G38" s="42">
        <v>0.02</v>
      </c>
    </row>
    <row r="39" spans="3:8">
      <c r="E39" s="30">
        <v>5</v>
      </c>
      <c r="F39" s="31" t="s">
        <v>93</v>
      </c>
      <c r="G39" s="42">
        <v>-0.01</v>
      </c>
    </row>
    <row r="40" spans="3:8">
      <c r="E40" s="30">
        <v>6</v>
      </c>
      <c r="F40" s="31" t="s">
        <v>94</v>
      </c>
      <c r="G40" s="42">
        <v>-7.4999999999999997E-3</v>
      </c>
    </row>
    <row r="41" spans="3:8" ht="14.25" thickBot="1">
      <c r="E41" s="35">
        <v>7</v>
      </c>
      <c r="F41" s="36" t="s">
        <v>95</v>
      </c>
      <c r="G41" s="37">
        <f>SUM(G35:G40)</f>
        <v>0.05</v>
      </c>
    </row>
    <row r="42" spans="3:8" ht="14.25" thickTop="1"/>
    <row r="43" spans="3:8">
      <c r="F43" s="232" t="str">
        <f>"根据国家税务总局有关规定，"&amp;B28&amp;"出租"&amp;B26&amp;IF(E8=0,"月租金收入不超过3万元的免征增值税,故","")&amp;"增值税征收率为"&amp;E8*100&amp;"%，城建税、教育费附加、地方教育附加为增值税的"&amp;E9*100&amp;"%。增值税及附加 = "&amp;C4&amp;"/(1+5%)×"&amp;E8*100&amp;"%×(1+"&amp;E9*100&amp;"%)"</f>
        <v>根据国家税务总局有关规定，个人出租住宅月租金收入不超过3万元的免征增值税,故增值税征收率为0%，城建税、教育费附加、地方教育附加为增值税的12%。增值税及附加 = 770.5/(1+5%)×0%×(1+12%)</v>
      </c>
      <c r="H43" s="29"/>
    </row>
    <row r="44" spans="3:8">
      <c r="H44" s="29"/>
    </row>
  </sheetData>
  <protectedRanges>
    <protectedRange password="CC33" sqref="B25:B29" name="区域1"/>
  </protectedRanges>
  <mergeCells count="2">
    <mergeCell ref="B1:F1"/>
    <mergeCell ref="E33:G33"/>
  </mergeCells>
  <phoneticPr fontId="1" type="noConversion"/>
  <dataValidations count="2">
    <dataValidation type="list" allowBlank="1" showInputMessage="1" showErrorMessage="1" sqref="B28">
      <formula1>"个人,小规模纳税人,一般纳税人"</formula1>
    </dataValidation>
    <dataValidation type="list" allowBlank="1" showInputMessage="1" showErrorMessage="1" sqref="B27">
      <formula1>"是,否"</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净值计算支持表!$H$6:$H$11</xm:f>
          </x14:formula1>
          <xm:sqref>B26</xm:sqref>
        </x14:dataValidation>
        <x14:dataValidation type="list" allowBlank="1" showInputMessage="1" showErrorMessage="1">
          <x14:formula1>
            <xm:f>净值计算支持表!$A$19:$A$21</xm:f>
          </x14:formula1>
          <xm:sqref>B29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2" workbookViewId="0">
      <selection activeCell="G22" sqref="G22"/>
    </sheetView>
  </sheetViews>
  <sheetFormatPr defaultRowHeight="13.5"/>
  <cols>
    <col min="1" max="1" width="28.625" customWidth="1"/>
    <col min="6" max="6" width="8.625" customWidth="1"/>
    <col min="7" max="7" width="70.875" style="1" customWidth="1"/>
    <col min="8" max="8" width="12.875" customWidth="1"/>
  </cols>
  <sheetData>
    <row r="1" spans="1:10">
      <c r="A1" t="s">
        <v>15</v>
      </c>
    </row>
    <row r="2" spans="1:10">
      <c r="A2" t="s">
        <v>18</v>
      </c>
    </row>
    <row r="3" spans="1:10">
      <c r="A3" t="s">
        <v>20</v>
      </c>
    </row>
    <row r="4" spans="1:10" ht="14.25" thickBot="1"/>
    <row r="5" spans="1:10" ht="15" thickTop="1" thickBot="1">
      <c r="A5" s="57"/>
      <c r="B5" s="252" t="s">
        <v>14</v>
      </c>
      <c r="C5" s="252"/>
      <c r="D5" s="252" t="s">
        <v>6</v>
      </c>
      <c r="E5" s="253"/>
    </row>
    <row r="6" spans="1:10" ht="14.25" thickTop="1">
      <c r="A6" s="64"/>
      <c r="B6" s="24" t="s">
        <v>16</v>
      </c>
      <c r="C6" s="24" t="s">
        <v>17</v>
      </c>
      <c r="D6" s="24" t="s">
        <v>16</v>
      </c>
      <c r="E6" s="58" t="s">
        <v>2</v>
      </c>
      <c r="G6" s="1" t="s">
        <v>21</v>
      </c>
      <c r="H6" s="46" t="s">
        <v>36</v>
      </c>
      <c r="I6" s="47">
        <v>4</v>
      </c>
      <c r="J6" s="48" t="s">
        <v>40</v>
      </c>
    </row>
    <row r="7" spans="1:10">
      <c r="A7" s="64" t="s">
        <v>7</v>
      </c>
      <c r="B7" s="59">
        <v>0</v>
      </c>
      <c r="C7" s="59">
        <v>0.05</v>
      </c>
      <c r="D7" s="59">
        <v>0.05</v>
      </c>
      <c r="E7" s="60">
        <v>0.05</v>
      </c>
      <c r="G7" s="1" t="s">
        <v>22</v>
      </c>
      <c r="H7" s="2" t="s">
        <v>32</v>
      </c>
      <c r="I7" s="3">
        <v>20</v>
      </c>
      <c r="J7" s="49" t="s">
        <v>4</v>
      </c>
    </row>
    <row r="8" spans="1:10" ht="27">
      <c r="A8" s="64"/>
      <c r="B8" s="59">
        <v>0.05</v>
      </c>
      <c r="C8" s="59">
        <v>0.05</v>
      </c>
      <c r="D8" s="59">
        <v>0.05</v>
      </c>
      <c r="E8" s="60">
        <v>0.05</v>
      </c>
      <c r="G8" s="1" t="s">
        <v>52</v>
      </c>
      <c r="H8" s="2" t="s">
        <v>33</v>
      </c>
      <c r="I8" s="3">
        <v>12</v>
      </c>
      <c r="J8" s="49" t="s">
        <v>4</v>
      </c>
    </row>
    <row r="9" spans="1:10" ht="27">
      <c r="A9" s="64" t="s">
        <v>8</v>
      </c>
      <c r="B9" s="59">
        <v>0.12</v>
      </c>
      <c r="C9" s="59">
        <v>0.12</v>
      </c>
      <c r="D9" s="59">
        <v>0.12</v>
      </c>
      <c r="E9" s="60">
        <v>0.12</v>
      </c>
      <c r="G9" s="1" t="s">
        <v>46</v>
      </c>
      <c r="H9" s="2" t="s">
        <v>34</v>
      </c>
      <c r="I9" s="3">
        <v>7</v>
      </c>
      <c r="J9" s="49" t="s">
        <v>4</v>
      </c>
    </row>
    <row r="10" spans="1:10" ht="40.5">
      <c r="A10" s="64" t="s">
        <v>9</v>
      </c>
      <c r="B10" s="59">
        <v>1.4999999999999999E-2</v>
      </c>
      <c r="C10" s="59">
        <v>1.4999999999999999E-2</v>
      </c>
      <c r="D10" s="59">
        <v>0.03</v>
      </c>
      <c r="E10" s="60">
        <v>0.03</v>
      </c>
      <c r="F10" t="s">
        <v>19</v>
      </c>
      <c r="G10" s="1" t="s">
        <v>47</v>
      </c>
      <c r="H10" s="2" t="s">
        <v>35</v>
      </c>
      <c r="I10" s="3">
        <v>14</v>
      </c>
      <c r="J10" s="49" t="s">
        <v>4</v>
      </c>
    </row>
    <row r="11" spans="1:10" ht="14.25" thickBot="1">
      <c r="A11" s="64" t="s">
        <v>10</v>
      </c>
      <c r="B11" s="59">
        <v>0</v>
      </c>
      <c r="C11" s="59">
        <v>5.0000000000000001E-4</v>
      </c>
      <c r="D11" s="59">
        <v>5.0000000000000001E-4</v>
      </c>
      <c r="E11" s="60">
        <v>5.0000000000000001E-4</v>
      </c>
      <c r="G11" s="1" t="s">
        <v>45</v>
      </c>
      <c r="H11" s="50" t="s">
        <v>5</v>
      </c>
      <c r="I11" s="51">
        <v>4</v>
      </c>
      <c r="J11" s="52" t="s">
        <v>4</v>
      </c>
    </row>
    <row r="12" spans="1:10" ht="27.75" thickTop="1">
      <c r="A12" s="64" t="s">
        <v>11</v>
      </c>
      <c r="B12" s="59">
        <v>0</v>
      </c>
      <c r="C12" s="59">
        <v>0.05</v>
      </c>
      <c r="D12" s="59">
        <v>0.05</v>
      </c>
      <c r="E12" s="60">
        <v>0.05</v>
      </c>
      <c r="G12" s="1" t="s">
        <v>49</v>
      </c>
    </row>
    <row r="13" spans="1:10" ht="27">
      <c r="A13" s="64" t="s">
        <v>12</v>
      </c>
      <c r="B13" s="59"/>
      <c r="C13" s="59"/>
      <c r="D13" s="59"/>
      <c r="E13" s="60"/>
      <c r="G13" s="1" t="s">
        <v>23</v>
      </c>
    </row>
    <row r="14" spans="1:10" ht="14.25" thickBot="1">
      <c r="A14" s="65" t="s">
        <v>13</v>
      </c>
      <c r="B14" s="61">
        <v>2.5000000000000001E-2</v>
      </c>
      <c r="C14" s="61">
        <v>2.5000000000000001E-2</v>
      </c>
      <c r="D14" s="62">
        <v>2.5000000000000001E-2</v>
      </c>
      <c r="E14" s="63">
        <v>2.5000000000000001E-2</v>
      </c>
      <c r="G14" s="1" t="s">
        <v>24</v>
      </c>
    </row>
    <row r="15" spans="1:10" ht="27.75" thickTop="1">
      <c r="G15" s="1" t="s">
        <v>44</v>
      </c>
    </row>
    <row r="16" spans="1:10">
      <c r="G16" s="1" t="s">
        <v>25</v>
      </c>
    </row>
    <row r="17" spans="1:7" ht="40.5">
      <c r="G17" s="1" t="s">
        <v>26</v>
      </c>
    </row>
    <row r="18" spans="1:7" ht="27">
      <c r="G18" s="1" t="s">
        <v>50</v>
      </c>
    </row>
    <row r="19" spans="1:7">
      <c r="A19" t="s">
        <v>29</v>
      </c>
      <c r="G19" s="1" t="s">
        <v>42</v>
      </c>
    </row>
    <row r="20" spans="1:7" ht="27">
      <c r="A20" t="s">
        <v>30</v>
      </c>
      <c r="G20" s="1" t="s">
        <v>43</v>
      </c>
    </row>
    <row r="21" spans="1:7">
      <c r="A21" t="s">
        <v>31</v>
      </c>
      <c r="G21" s="1" t="str">
        <f>CONCATENATE("交易手续费按建筑面积计取，存量",持有转售!B26,"交易手续费每平方米",持有转售!D30*2,"元，双方各承担50%")</f>
        <v>交易手续费按建筑面积计取，存量住宅交易手续费每平方米4元，双方各承担50%</v>
      </c>
    </row>
    <row r="22" spans="1:7">
      <c r="G22" s="1" t="e">
        <f>CONCATENATE("根据市场行情的调查，处置费用按交易总额(增值税不含税收入)的",#REF!*100,"%计算")</f>
        <v>#REF!</v>
      </c>
    </row>
  </sheetData>
  <mergeCells count="2">
    <mergeCell ref="B5:C5"/>
    <mergeCell ref="D5:E5"/>
  </mergeCells>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zoomScaleNormal="100" workbookViewId="0">
      <selection activeCell="E28" sqref="E28"/>
    </sheetView>
  </sheetViews>
  <sheetFormatPr defaultRowHeight="13.5"/>
  <cols>
    <col min="2" max="2" width="16.375" customWidth="1"/>
    <col min="5" max="5" width="54" customWidth="1"/>
    <col min="14" max="14" width="14.5" style="147" bestFit="1" customWidth="1"/>
    <col min="16" max="16" width="14.375" customWidth="1"/>
  </cols>
  <sheetData>
    <row r="1" spans="1:17" ht="52.5" customHeight="1" thickTop="1" thickBot="1">
      <c r="A1" s="254" t="s">
        <v>160</v>
      </c>
      <c r="B1" s="255"/>
      <c r="E1" t="s">
        <v>161</v>
      </c>
      <c r="G1" t="s">
        <v>187</v>
      </c>
      <c r="J1" t="s">
        <v>202</v>
      </c>
    </row>
    <row r="2" spans="1:17" ht="19.5" thickTop="1">
      <c r="A2" s="66" t="s">
        <v>158</v>
      </c>
      <c r="B2" s="67">
        <v>3520110018</v>
      </c>
      <c r="E2" t="s">
        <v>164</v>
      </c>
      <c r="G2" t="s">
        <v>437</v>
      </c>
      <c r="H2">
        <v>60</v>
      </c>
      <c r="J2" s="74" t="s">
        <v>203</v>
      </c>
      <c r="K2" s="74">
        <v>7200</v>
      </c>
      <c r="M2" s="144" t="s">
        <v>442</v>
      </c>
      <c r="N2" s="148">
        <v>13606075956</v>
      </c>
      <c r="P2" s="167">
        <v>41456</v>
      </c>
      <c r="Q2" s="24">
        <v>107.4</v>
      </c>
    </row>
    <row r="3" spans="1:17" ht="18.75">
      <c r="A3" s="68" t="s">
        <v>714</v>
      </c>
      <c r="B3" s="69">
        <v>3520120066</v>
      </c>
      <c r="E3" t="s">
        <v>165</v>
      </c>
      <c r="G3" t="s">
        <v>438</v>
      </c>
      <c r="H3">
        <v>50</v>
      </c>
      <c r="J3" s="74" t="s">
        <v>204</v>
      </c>
      <c r="K3" s="74">
        <v>4400</v>
      </c>
      <c r="M3" s="144" t="s">
        <v>443</v>
      </c>
      <c r="N3" s="148">
        <v>13906036034</v>
      </c>
      <c r="P3" s="167">
        <v>41487</v>
      </c>
      <c r="Q3" s="24">
        <v>107.9</v>
      </c>
    </row>
    <row r="4" spans="1:17" ht="18.75">
      <c r="A4" s="68" t="s">
        <v>715</v>
      </c>
      <c r="B4" s="69">
        <v>3520130014</v>
      </c>
      <c r="E4" t="s">
        <v>166</v>
      </c>
      <c r="J4" t="s">
        <v>205</v>
      </c>
      <c r="K4" s="74">
        <v>8500</v>
      </c>
      <c r="M4" s="144" t="s">
        <v>444</v>
      </c>
      <c r="N4" s="148">
        <v>13306056665</v>
      </c>
      <c r="P4" s="167">
        <v>41518</v>
      </c>
      <c r="Q4" s="24">
        <v>108.3</v>
      </c>
    </row>
    <row r="5" spans="1:17" ht="18.75">
      <c r="A5" s="68" t="s">
        <v>716</v>
      </c>
      <c r="B5" s="69">
        <v>3520080013</v>
      </c>
      <c r="E5" t="s">
        <v>167</v>
      </c>
      <c r="J5" t="s">
        <v>206</v>
      </c>
      <c r="K5" s="74">
        <v>7700</v>
      </c>
      <c r="M5" s="144" t="s">
        <v>445</v>
      </c>
      <c r="N5" s="148">
        <v>13606080099</v>
      </c>
      <c r="P5" s="167">
        <v>41548</v>
      </c>
      <c r="Q5" s="24">
        <v>108.9</v>
      </c>
    </row>
    <row r="6" spans="1:17" ht="18.75">
      <c r="A6" s="68" t="s">
        <v>717</v>
      </c>
      <c r="B6" s="69">
        <v>3520020042</v>
      </c>
      <c r="E6" t="s">
        <v>168</v>
      </c>
      <c r="J6" t="s">
        <v>207</v>
      </c>
      <c r="K6" s="74">
        <v>7300</v>
      </c>
      <c r="M6" s="144" t="s">
        <v>446</v>
      </c>
      <c r="N6" s="148">
        <v>8990199</v>
      </c>
      <c r="P6" s="167">
        <v>41579</v>
      </c>
      <c r="Q6" s="24">
        <v>109.3</v>
      </c>
    </row>
    <row r="7" spans="1:17" ht="18.75">
      <c r="A7" s="68" t="s">
        <v>718</v>
      </c>
      <c r="B7" s="69">
        <v>3520020035</v>
      </c>
      <c r="E7" t="s">
        <v>169</v>
      </c>
      <c r="J7" t="s">
        <v>208</v>
      </c>
      <c r="K7" s="74">
        <v>6100</v>
      </c>
      <c r="M7" s="144" t="s">
        <v>447</v>
      </c>
      <c r="N7" s="148">
        <v>15880215696</v>
      </c>
      <c r="P7" s="167">
        <v>41609</v>
      </c>
      <c r="Q7" s="24">
        <v>110</v>
      </c>
    </row>
    <row r="8" spans="1:17" ht="18.75">
      <c r="A8" s="68" t="s">
        <v>719</v>
      </c>
      <c r="B8" s="69">
        <v>3520140021</v>
      </c>
      <c r="E8" t="s">
        <v>170</v>
      </c>
      <c r="J8" t="s">
        <v>209</v>
      </c>
      <c r="K8" s="74">
        <v>7000</v>
      </c>
      <c r="M8" s="144" t="s">
        <v>448</v>
      </c>
      <c r="N8" s="148">
        <v>13950111865</v>
      </c>
      <c r="P8" s="167">
        <v>41640</v>
      </c>
      <c r="Q8" s="24">
        <v>110.9</v>
      </c>
    </row>
    <row r="9" spans="1:17" ht="18.75">
      <c r="A9" s="68" t="s">
        <v>713</v>
      </c>
      <c r="B9" s="69">
        <v>3520100021</v>
      </c>
      <c r="J9" t="s">
        <v>210</v>
      </c>
      <c r="K9" s="74">
        <v>8000</v>
      </c>
      <c r="M9" s="144" t="s">
        <v>449</v>
      </c>
      <c r="N9" s="148">
        <v>13860468606</v>
      </c>
      <c r="P9" s="167">
        <v>41671</v>
      </c>
      <c r="Q9" s="24">
        <v>112.2</v>
      </c>
    </row>
    <row r="10" spans="1:17" ht="19.5" thickBot="1">
      <c r="A10" s="70" t="s">
        <v>159</v>
      </c>
      <c r="B10" s="71">
        <v>3520130015</v>
      </c>
      <c r="J10" t="s">
        <v>211</v>
      </c>
      <c r="K10" s="74">
        <v>6000</v>
      </c>
      <c r="M10" s="144" t="s">
        <v>450</v>
      </c>
      <c r="N10" s="148">
        <v>13400608748</v>
      </c>
      <c r="P10" s="167">
        <v>41699</v>
      </c>
      <c r="Q10" s="24">
        <v>112.8</v>
      </c>
    </row>
    <row r="11" spans="1:17" ht="15" thickTop="1">
      <c r="J11" t="s">
        <v>212</v>
      </c>
      <c r="K11" s="74">
        <v>5800</v>
      </c>
      <c r="M11" s="145" t="s">
        <v>451</v>
      </c>
      <c r="N11" s="149">
        <v>13696959897</v>
      </c>
      <c r="P11" s="167">
        <v>41730</v>
      </c>
      <c r="Q11" s="24">
        <v>113.2</v>
      </c>
    </row>
    <row r="12" spans="1:17" ht="15" thickBot="1">
      <c r="E12" t="s">
        <v>178</v>
      </c>
      <c r="G12" t="s">
        <v>260</v>
      </c>
      <c r="H12" s="78"/>
      <c r="J12" t="s">
        <v>213</v>
      </c>
      <c r="K12" s="74">
        <v>6200</v>
      </c>
      <c r="M12" s="145" t="s">
        <v>452</v>
      </c>
      <c r="N12" s="149">
        <v>18950099287</v>
      </c>
      <c r="P12" s="167">
        <v>41760</v>
      </c>
      <c r="Q12" s="24">
        <v>113.8</v>
      </c>
    </row>
    <row r="13" spans="1:17" ht="15" thickTop="1">
      <c r="D13" t="s">
        <v>422</v>
      </c>
      <c r="E13" t="s">
        <v>179</v>
      </c>
      <c r="G13" s="75" t="s">
        <v>262</v>
      </c>
      <c r="H13" s="78"/>
      <c r="J13" t="s">
        <v>214</v>
      </c>
      <c r="K13" s="74">
        <v>6100</v>
      </c>
      <c r="M13" s="145" t="s">
        <v>453</v>
      </c>
      <c r="N13" s="149">
        <v>15959285957</v>
      </c>
      <c r="P13" s="167">
        <v>41791</v>
      </c>
      <c r="Q13" s="24">
        <v>113.5</v>
      </c>
    </row>
    <row r="14" spans="1:17" ht="14.25">
      <c r="D14" t="s">
        <v>423</v>
      </c>
      <c r="E14" t="s">
        <v>180</v>
      </c>
      <c r="G14" s="76" t="s">
        <v>263</v>
      </c>
      <c r="H14" s="78"/>
      <c r="J14" t="s">
        <v>215</v>
      </c>
      <c r="K14" s="74">
        <v>5500</v>
      </c>
      <c r="M14" s="145" t="s">
        <v>454</v>
      </c>
      <c r="N14" s="149">
        <v>15280233767</v>
      </c>
      <c r="P14" s="167">
        <v>41821</v>
      </c>
      <c r="Q14" s="24">
        <v>113.5</v>
      </c>
    </row>
    <row r="15" spans="1:17" ht="14.25">
      <c r="D15" t="s">
        <v>424</v>
      </c>
      <c r="E15" t="s">
        <v>181</v>
      </c>
      <c r="G15" s="76" t="s">
        <v>265</v>
      </c>
      <c r="H15" s="78"/>
      <c r="J15" t="s">
        <v>216</v>
      </c>
      <c r="K15" s="74">
        <v>6000</v>
      </c>
      <c r="M15" s="145" t="s">
        <v>455</v>
      </c>
      <c r="N15" s="149">
        <v>15960355873</v>
      </c>
      <c r="P15" s="167">
        <v>41852</v>
      </c>
      <c r="Q15" s="24">
        <v>113.5</v>
      </c>
    </row>
    <row r="16" spans="1:17" ht="14.25">
      <c r="D16" t="s">
        <v>425</v>
      </c>
      <c r="E16" t="s">
        <v>182</v>
      </c>
      <c r="G16" s="76" t="s">
        <v>269</v>
      </c>
      <c r="H16" s="78"/>
      <c r="J16" t="s">
        <v>217</v>
      </c>
      <c r="K16" s="74">
        <v>5800</v>
      </c>
      <c r="M16" s="144" t="s">
        <v>456</v>
      </c>
      <c r="N16" s="150">
        <v>18559265800</v>
      </c>
      <c r="P16" s="167">
        <v>41883</v>
      </c>
      <c r="Q16" s="24">
        <v>115.7</v>
      </c>
    </row>
    <row r="17" spans="1:17" ht="14.25">
      <c r="D17" t="s">
        <v>426</v>
      </c>
      <c r="E17" t="s">
        <v>183</v>
      </c>
      <c r="G17" s="76" t="s">
        <v>271</v>
      </c>
      <c r="H17" s="78"/>
      <c r="J17" t="s">
        <v>218</v>
      </c>
      <c r="K17" s="74">
        <v>5500</v>
      </c>
      <c r="M17" s="144" t="s">
        <v>457</v>
      </c>
      <c r="N17" s="150">
        <v>15006001577</v>
      </c>
      <c r="P17" s="167">
        <v>41913</v>
      </c>
      <c r="Q17" s="24">
        <v>112.2</v>
      </c>
    </row>
    <row r="18" spans="1:17" ht="14.25">
      <c r="D18" t="s">
        <v>427</v>
      </c>
      <c r="E18" t="s">
        <v>184</v>
      </c>
      <c r="G18" s="76" t="s">
        <v>273</v>
      </c>
      <c r="H18" s="78"/>
      <c r="J18" t="s">
        <v>219</v>
      </c>
      <c r="K18" s="74">
        <v>5000</v>
      </c>
      <c r="M18" s="144" t="s">
        <v>458</v>
      </c>
      <c r="N18" s="150">
        <v>18030017171</v>
      </c>
      <c r="P18" s="167">
        <v>41944</v>
      </c>
      <c r="Q18" s="24">
        <v>112.2</v>
      </c>
    </row>
    <row r="19" spans="1:17" ht="14.25">
      <c r="G19" s="76" t="s">
        <v>274</v>
      </c>
      <c r="H19" s="78"/>
      <c r="J19" t="s">
        <v>220</v>
      </c>
      <c r="K19" s="74">
        <v>4800</v>
      </c>
      <c r="M19" s="145" t="s">
        <v>459</v>
      </c>
      <c r="N19" s="149">
        <v>13600943712</v>
      </c>
      <c r="P19" s="167">
        <v>41974</v>
      </c>
      <c r="Q19" s="24">
        <v>111.8</v>
      </c>
    </row>
    <row r="20" spans="1:17" ht="14.25">
      <c r="A20" t="s">
        <v>276</v>
      </c>
      <c r="G20" s="76" t="s">
        <v>275</v>
      </c>
      <c r="H20" s="78"/>
      <c r="J20" t="s">
        <v>221</v>
      </c>
      <c r="K20" s="74">
        <v>5800</v>
      </c>
      <c r="M20" s="144" t="s">
        <v>460</v>
      </c>
      <c r="N20" s="150">
        <v>15260222825</v>
      </c>
      <c r="P20" s="167">
        <v>42005</v>
      </c>
      <c r="Q20" s="24">
        <v>111.2</v>
      </c>
    </row>
    <row r="21" spans="1:17" ht="14.25">
      <c r="A21" t="s">
        <v>277</v>
      </c>
      <c r="B21" t="s">
        <v>296</v>
      </c>
      <c r="G21" s="76" t="s">
        <v>283</v>
      </c>
      <c r="H21" s="78"/>
      <c r="J21" t="s">
        <v>222</v>
      </c>
      <c r="K21" s="74">
        <v>4500</v>
      </c>
      <c r="M21" s="145" t="s">
        <v>461</v>
      </c>
      <c r="N21" s="151">
        <v>18059825185</v>
      </c>
      <c r="P21" s="167">
        <v>42036</v>
      </c>
      <c r="Q21" s="24">
        <v>110.4</v>
      </c>
    </row>
    <row r="22" spans="1:17" ht="14.25">
      <c r="A22" t="s">
        <v>494</v>
      </c>
      <c r="B22" t="s">
        <v>495</v>
      </c>
      <c r="G22" s="76" t="s">
        <v>284</v>
      </c>
      <c r="H22" s="78"/>
      <c r="J22" t="s">
        <v>223</v>
      </c>
      <c r="K22" s="74">
        <v>6300</v>
      </c>
      <c r="M22" s="144" t="s">
        <v>462</v>
      </c>
      <c r="N22" s="148">
        <v>13600966656</v>
      </c>
      <c r="P22" s="167">
        <v>42064</v>
      </c>
      <c r="Q22" s="24">
        <v>110</v>
      </c>
    </row>
    <row r="23" spans="1:17" ht="12.75" customHeight="1">
      <c r="A23" t="s">
        <v>278</v>
      </c>
      <c r="B23" t="s">
        <v>295</v>
      </c>
      <c r="G23" s="76"/>
      <c r="H23" s="78"/>
      <c r="J23" t="s">
        <v>224</v>
      </c>
      <c r="K23" s="74">
        <v>6000</v>
      </c>
      <c r="M23" s="144" t="s">
        <v>463</v>
      </c>
      <c r="N23" s="148">
        <v>13696965130</v>
      </c>
      <c r="P23" s="167">
        <v>42095</v>
      </c>
      <c r="Q23" s="24">
        <v>110.2</v>
      </c>
    </row>
    <row r="24" spans="1:17" ht="15" thickBot="1">
      <c r="A24" t="s">
        <v>493</v>
      </c>
      <c r="B24" t="s">
        <v>496</v>
      </c>
      <c r="G24" s="77"/>
      <c r="H24" s="78"/>
      <c r="J24" t="s">
        <v>225</v>
      </c>
      <c r="K24" s="74">
        <v>5000</v>
      </c>
      <c r="M24" s="144" t="s">
        <v>464</v>
      </c>
      <c r="N24" s="148">
        <v>13459266327</v>
      </c>
      <c r="P24" s="167">
        <v>42125</v>
      </c>
      <c r="Q24" s="24">
        <v>110.5</v>
      </c>
    </row>
    <row r="25" spans="1:17" ht="15" thickTop="1">
      <c r="A25" t="s">
        <v>279</v>
      </c>
      <c r="B25" t="s">
        <v>280</v>
      </c>
      <c r="H25" s="78"/>
      <c r="J25" t="s">
        <v>226</v>
      </c>
      <c r="K25" s="74">
        <v>3500</v>
      </c>
      <c r="M25" s="144" t="s">
        <v>465</v>
      </c>
      <c r="N25" s="148">
        <v>13459016382</v>
      </c>
      <c r="P25" s="167">
        <v>42156</v>
      </c>
      <c r="Q25" s="24">
        <v>110.7</v>
      </c>
    </row>
    <row r="26" spans="1:17" ht="14.25">
      <c r="J26" t="s">
        <v>227</v>
      </c>
      <c r="K26" s="74">
        <v>3100</v>
      </c>
      <c r="M26" s="144" t="s">
        <v>466</v>
      </c>
      <c r="N26" s="148">
        <v>13850078300</v>
      </c>
      <c r="P26" s="167">
        <v>42186</v>
      </c>
      <c r="Q26" s="24">
        <v>111.2</v>
      </c>
    </row>
    <row r="27" spans="1:17" ht="14.25">
      <c r="A27" t="s">
        <v>315</v>
      </c>
      <c r="B27" t="s">
        <v>316</v>
      </c>
      <c r="C27" t="s">
        <v>317</v>
      </c>
      <c r="E27" t="s">
        <v>338</v>
      </c>
      <c r="J27" t="s">
        <v>228</v>
      </c>
      <c r="K27" s="74">
        <v>2750</v>
      </c>
      <c r="M27" s="144" t="s">
        <v>467</v>
      </c>
      <c r="N27" s="148">
        <v>15960819689</v>
      </c>
      <c r="P27" s="167">
        <v>42217</v>
      </c>
      <c r="Q27" s="24">
        <v>112</v>
      </c>
    </row>
    <row r="28" spans="1:17" ht="14.25">
      <c r="A28" t="s">
        <v>318</v>
      </c>
      <c r="B28" t="s">
        <v>321</v>
      </c>
      <c r="C28" t="s">
        <v>321</v>
      </c>
      <c r="E28" t="s">
        <v>339</v>
      </c>
      <c r="J28" t="s">
        <v>229</v>
      </c>
      <c r="K28" s="74">
        <v>2750</v>
      </c>
      <c r="M28" s="144" t="s">
        <v>468</v>
      </c>
      <c r="N28" s="148">
        <v>13696946591</v>
      </c>
      <c r="P28" s="167">
        <v>42248</v>
      </c>
      <c r="Q28" s="24">
        <v>112.9</v>
      </c>
    </row>
    <row r="29" spans="1:17" ht="14.25">
      <c r="A29" t="s">
        <v>319</v>
      </c>
      <c r="B29" t="s">
        <v>322</v>
      </c>
      <c r="C29" t="s">
        <v>324</v>
      </c>
      <c r="E29" t="s">
        <v>340</v>
      </c>
      <c r="J29" t="s">
        <v>230</v>
      </c>
      <c r="K29" s="74">
        <v>2200</v>
      </c>
      <c r="M29" s="144" t="s">
        <v>469</v>
      </c>
      <c r="N29" s="148">
        <v>18205991316</v>
      </c>
      <c r="P29" s="167">
        <v>42278</v>
      </c>
      <c r="Q29" s="24">
        <v>113.7</v>
      </c>
    </row>
    <row r="30" spans="1:17" ht="14.25">
      <c r="A30" t="s">
        <v>709</v>
      </c>
      <c r="B30" t="s">
        <v>712</v>
      </c>
      <c r="C30" t="s">
        <v>710</v>
      </c>
      <c r="E30" t="s">
        <v>341</v>
      </c>
      <c r="J30" t="s">
        <v>231</v>
      </c>
      <c r="K30" s="74">
        <v>2200</v>
      </c>
      <c r="M30" s="144" t="s">
        <v>470</v>
      </c>
      <c r="N30" s="148">
        <v>18259285602</v>
      </c>
      <c r="P30" s="167">
        <v>42309</v>
      </c>
      <c r="Q30" s="24">
        <v>114.8</v>
      </c>
    </row>
    <row r="31" spans="1:17" ht="14.25">
      <c r="A31" t="s">
        <v>320</v>
      </c>
      <c r="B31" t="s">
        <v>709</v>
      </c>
      <c r="C31" t="s">
        <v>711</v>
      </c>
      <c r="J31" t="s">
        <v>232</v>
      </c>
      <c r="K31" s="74">
        <v>2200</v>
      </c>
      <c r="M31" s="144" t="s">
        <v>471</v>
      </c>
      <c r="N31" s="148">
        <v>13194091993</v>
      </c>
      <c r="P31" s="167">
        <v>42339</v>
      </c>
      <c r="Q31" s="24">
        <v>114.8</v>
      </c>
    </row>
    <row r="32" spans="1:17" ht="14.25">
      <c r="B32" t="s">
        <v>323</v>
      </c>
      <c r="C32" t="s">
        <v>712</v>
      </c>
      <c r="J32" t="s">
        <v>233</v>
      </c>
      <c r="K32" s="74">
        <v>2200</v>
      </c>
      <c r="M32" s="145" t="s">
        <v>472</v>
      </c>
      <c r="N32" s="149">
        <v>15860785165</v>
      </c>
      <c r="P32" s="167">
        <v>42370</v>
      </c>
      <c r="Q32" s="24">
        <v>114.8</v>
      </c>
    </row>
    <row r="33" spans="3:17" ht="14.25">
      <c r="C33" t="s">
        <v>709</v>
      </c>
      <c r="J33" t="s">
        <v>234</v>
      </c>
      <c r="K33" s="74">
        <v>3200</v>
      </c>
      <c r="M33" s="24" t="s">
        <v>473</v>
      </c>
      <c r="N33" s="150">
        <v>15059797606</v>
      </c>
      <c r="P33" s="167">
        <v>42401</v>
      </c>
      <c r="Q33" s="24">
        <v>114.8</v>
      </c>
    </row>
    <row r="34" spans="3:17" ht="14.25">
      <c r="C34" t="s">
        <v>325</v>
      </c>
      <c r="D34" t="s">
        <v>502</v>
      </c>
      <c r="E34" t="s">
        <v>501</v>
      </c>
      <c r="J34" t="s">
        <v>235</v>
      </c>
      <c r="K34" s="74">
        <v>3300</v>
      </c>
      <c r="M34" s="24" t="s">
        <v>474</v>
      </c>
      <c r="N34" s="150">
        <v>18059146701</v>
      </c>
      <c r="P34" s="167">
        <v>42430</v>
      </c>
      <c r="Q34" s="24">
        <v>114.8</v>
      </c>
    </row>
    <row r="35" spans="3:17" ht="14.25">
      <c r="C35" t="s">
        <v>327</v>
      </c>
      <c r="D35" t="s">
        <v>342</v>
      </c>
      <c r="E35" t="s">
        <v>343</v>
      </c>
      <c r="J35" t="s">
        <v>236</v>
      </c>
      <c r="K35" s="74">
        <v>2650</v>
      </c>
      <c r="M35" s="24" t="s">
        <v>475</v>
      </c>
      <c r="N35" s="150">
        <v>18120786675</v>
      </c>
      <c r="P35" s="167">
        <v>42461</v>
      </c>
      <c r="Q35" s="24">
        <v>114.8</v>
      </c>
    </row>
    <row r="36" spans="3:17" ht="14.25">
      <c r="J36" t="s">
        <v>237</v>
      </c>
      <c r="K36" s="74">
        <v>2500</v>
      </c>
      <c r="M36" s="24" t="s">
        <v>476</v>
      </c>
      <c r="N36" s="150">
        <v>18250878173</v>
      </c>
      <c r="P36" s="167">
        <v>42491</v>
      </c>
      <c r="Q36" s="24">
        <v>114.8</v>
      </c>
    </row>
    <row r="37" spans="3:17" ht="14.25">
      <c r="J37" t="s">
        <v>238</v>
      </c>
      <c r="K37" s="74">
        <v>4000</v>
      </c>
      <c r="M37" s="24" t="s">
        <v>477</v>
      </c>
      <c r="N37" s="150">
        <v>15160085953</v>
      </c>
      <c r="P37" s="167"/>
      <c r="Q37" s="24"/>
    </row>
    <row r="38" spans="3:17" ht="14.25">
      <c r="J38" t="s">
        <v>239</v>
      </c>
      <c r="K38" s="74">
        <v>3500</v>
      </c>
      <c r="M38" s="24" t="s">
        <v>478</v>
      </c>
      <c r="N38" s="150">
        <v>18359328322</v>
      </c>
      <c r="P38" s="167"/>
      <c r="Q38" s="24"/>
    </row>
    <row r="39" spans="3:17" ht="17.25">
      <c r="E39" s="233" t="s">
        <v>704</v>
      </c>
      <c r="J39" t="s">
        <v>240</v>
      </c>
      <c r="K39" s="74">
        <v>1700</v>
      </c>
      <c r="M39" s="144" t="s">
        <v>479</v>
      </c>
      <c r="N39" s="148">
        <v>14759757865</v>
      </c>
      <c r="P39" s="167"/>
      <c r="Q39" s="24"/>
    </row>
    <row r="40" spans="3:17" ht="14.25">
      <c r="E40" t="s">
        <v>705</v>
      </c>
      <c r="J40" t="s">
        <v>241</v>
      </c>
      <c r="K40" s="74">
        <v>2200</v>
      </c>
      <c r="M40" s="144" t="s">
        <v>480</v>
      </c>
      <c r="N40" s="148">
        <v>13666073853</v>
      </c>
      <c r="P40" s="167"/>
      <c r="Q40" s="24"/>
    </row>
    <row r="41" spans="3:17" ht="14.25">
      <c r="E41" t="s">
        <v>707</v>
      </c>
      <c r="J41" t="s">
        <v>242</v>
      </c>
      <c r="K41" s="74">
        <v>1800</v>
      </c>
      <c r="M41" s="144" t="s">
        <v>481</v>
      </c>
      <c r="N41" s="148">
        <v>13062446098</v>
      </c>
      <c r="P41" s="167"/>
      <c r="Q41" s="24"/>
    </row>
    <row r="42" spans="3:17" ht="14.25">
      <c r="J42" t="s">
        <v>243</v>
      </c>
      <c r="K42" s="74">
        <v>1500</v>
      </c>
      <c r="M42" s="144" t="s">
        <v>482</v>
      </c>
      <c r="N42" s="148">
        <v>13950051966</v>
      </c>
      <c r="P42" s="167"/>
      <c r="Q42" s="24"/>
    </row>
    <row r="43" spans="3:17" ht="14.25">
      <c r="J43" t="s">
        <v>244</v>
      </c>
      <c r="K43" s="74">
        <v>2800</v>
      </c>
      <c r="M43" s="144" t="s">
        <v>483</v>
      </c>
      <c r="N43" s="148">
        <v>13720872080</v>
      </c>
      <c r="P43" s="167"/>
      <c r="Q43" s="24"/>
    </row>
    <row r="44" spans="3:17" ht="14.25">
      <c r="J44" t="s">
        <v>245</v>
      </c>
      <c r="K44" s="74">
        <v>2700</v>
      </c>
      <c r="M44" s="144" t="s">
        <v>484</v>
      </c>
      <c r="N44" s="148">
        <v>13328314376</v>
      </c>
      <c r="P44" s="167"/>
      <c r="Q44" s="24"/>
    </row>
    <row r="45" spans="3:17" ht="14.25">
      <c r="J45" t="s">
        <v>246</v>
      </c>
      <c r="K45" s="74">
        <v>2200</v>
      </c>
      <c r="M45" s="144" t="s">
        <v>485</v>
      </c>
      <c r="N45" s="148">
        <v>13063087365</v>
      </c>
      <c r="P45" s="167"/>
      <c r="Q45" s="24"/>
    </row>
    <row r="46" spans="3:17" ht="14.25">
      <c r="J46" t="s">
        <v>247</v>
      </c>
      <c r="K46" s="74">
        <v>2000</v>
      </c>
      <c r="M46" s="144" t="s">
        <v>486</v>
      </c>
      <c r="N46" s="148">
        <v>13799289647</v>
      </c>
      <c r="P46" s="167"/>
      <c r="Q46" s="24"/>
    </row>
    <row r="47" spans="3:17" ht="14.25">
      <c r="J47" t="s">
        <v>248</v>
      </c>
      <c r="K47" s="74">
        <v>2700</v>
      </c>
      <c r="M47" s="144" t="s">
        <v>487</v>
      </c>
      <c r="N47" s="148">
        <v>13850009076</v>
      </c>
      <c r="P47" s="167"/>
      <c r="Q47" s="24"/>
    </row>
    <row r="48" spans="3:17" ht="14.25">
      <c r="J48" t="s">
        <v>249</v>
      </c>
      <c r="K48" s="74">
        <v>1800</v>
      </c>
      <c r="M48" s="146" t="s">
        <v>488</v>
      </c>
      <c r="N48" s="152">
        <v>15359247893</v>
      </c>
      <c r="P48" s="167"/>
      <c r="Q48" s="24"/>
    </row>
    <row r="49" spans="10:17" ht="14.25">
      <c r="J49" t="s">
        <v>250</v>
      </c>
      <c r="K49" s="74">
        <v>1200</v>
      </c>
      <c r="M49" s="24" t="s">
        <v>489</v>
      </c>
      <c r="N49" s="148">
        <v>18559648089</v>
      </c>
      <c r="P49" s="167"/>
      <c r="Q49" s="24"/>
    </row>
    <row r="50" spans="10:17" ht="14.25">
      <c r="J50" t="s">
        <v>251</v>
      </c>
      <c r="K50" s="74">
        <v>2500</v>
      </c>
      <c r="M50" s="24" t="s">
        <v>490</v>
      </c>
      <c r="N50" s="150">
        <v>18059822363</v>
      </c>
      <c r="P50" s="167"/>
      <c r="Q50" s="24"/>
    </row>
    <row r="51" spans="10:17" ht="14.25">
      <c r="J51" t="s">
        <v>252</v>
      </c>
      <c r="K51" s="74">
        <v>3000</v>
      </c>
      <c r="P51" s="167"/>
      <c r="Q51" s="24"/>
    </row>
    <row r="52" spans="10:17" ht="14.25">
      <c r="J52" t="s">
        <v>253</v>
      </c>
      <c r="K52" s="74">
        <v>2700</v>
      </c>
      <c r="P52" s="167"/>
      <c r="Q52" s="24"/>
    </row>
    <row r="53" spans="10:17" ht="14.25">
      <c r="J53" t="s">
        <v>254</v>
      </c>
      <c r="K53" s="74">
        <v>2700</v>
      </c>
      <c r="P53" s="167"/>
      <c r="Q53" s="24"/>
    </row>
    <row r="54" spans="10:17" ht="14.25">
      <c r="J54" t="s">
        <v>255</v>
      </c>
      <c r="K54" s="74">
        <v>2000</v>
      </c>
      <c r="P54" s="167"/>
      <c r="Q54" s="24"/>
    </row>
    <row r="55" spans="10:17" ht="14.25">
      <c r="J55" t="s">
        <v>256</v>
      </c>
      <c r="K55" s="74">
        <v>1400</v>
      </c>
      <c r="P55" s="167"/>
      <c r="Q55" s="24"/>
    </row>
    <row r="56" spans="10:17" ht="14.25">
      <c r="J56" t="s">
        <v>257</v>
      </c>
      <c r="K56" s="74">
        <v>1200</v>
      </c>
      <c r="P56" s="167"/>
      <c r="Q56" s="24"/>
    </row>
    <row r="57" spans="10:17">
      <c r="P57" s="167"/>
      <c r="Q57" s="24"/>
    </row>
    <row r="58" spans="10:17">
      <c r="P58" s="167"/>
      <c r="Q58" s="24"/>
    </row>
    <row r="59" spans="10:17">
      <c r="P59" s="167"/>
      <c r="Q59" s="24"/>
    </row>
    <row r="60" spans="10:17">
      <c r="P60" s="167"/>
      <c r="Q60" s="24"/>
    </row>
    <row r="61" spans="10:17">
      <c r="P61" s="167"/>
      <c r="Q61" s="24"/>
    </row>
    <row r="62" spans="10:17">
      <c r="P62" s="167"/>
      <c r="Q62" s="24"/>
    </row>
    <row r="63" spans="10:17">
      <c r="P63" s="167"/>
      <c r="Q63" s="24"/>
    </row>
    <row r="64" spans="10:17">
      <c r="P64" s="167"/>
      <c r="Q64" s="24"/>
    </row>
    <row r="65" spans="16:17">
      <c r="P65" s="167"/>
      <c r="Q65" s="24"/>
    </row>
    <row r="66" spans="16:17">
      <c r="P66" s="167"/>
      <c r="Q66" s="24"/>
    </row>
    <row r="67" spans="16:17">
      <c r="P67" s="167"/>
      <c r="Q67" s="24"/>
    </row>
    <row r="68" spans="16:17">
      <c r="P68" s="167"/>
      <c r="Q68" s="24"/>
    </row>
    <row r="69" spans="16:17">
      <c r="P69" s="167"/>
      <c r="Q69" s="24"/>
    </row>
    <row r="70" spans="16:17">
      <c r="P70" s="167"/>
      <c r="Q70" s="24"/>
    </row>
    <row r="71" spans="16:17">
      <c r="P71" s="167"/>
      <c r="Q71" s="24"/>
    </row>
    <row r="72" spans="16:17">
      <c r="P72" s="167"/>
      <c r="Q72" s="24"/>
    </row>
    <row r="73" spans="16:17">
      <c r="P73" s="167"/>
      <c r="Q73" s="24"/>
    </row>
    <row r="74" spans="16:17">
      <c r="P74" s="167"/>
      <c r="Q74" s="24"/>
    </row>
    <row r="75" spans="16:17">
      <c r="P75" s="167"/>
      <c r="Q75" s="24"/>
    </row>
    <row r="76" spans="16:17">
      <c r="P76" s="167"/>
      <c r="Q76" s="24"/>
    </row>
    <row r="77" spans="16:17">
      <c r="P77" s="167"/>
      <c r="Q77" s="24"/>
    </row>
    <row r="78" spans="16:17">
      <c r="P78" s="167"/>
      <c r="Q78" s="24"/>
    </row>
    <row r="79" spans="16:17">
      <c r="P79" s="167"/>
      <c r="Q79" s="24"/>
    </row>
    <row r="80" spans="16:17">
      <c r="P80" s="167"/>
      <c r="Q80" s="24"/>
    </row>
  </sheetData>
  <mergeCells count="1">
    <mergeCell ref="A1:B1"/>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估价信息</vt:lpstr>
      <vt:lpstr>比较法</vt:lpstr>
      <vt:lpstr>持有转售</vt:lpstr>
      <vt:lpstr>净值计算支持表</vt:lpstr>
      <vt:lpstr>估价师名册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2017-05-16T09:33:25Z</dcterms:modified>
</cp:coreProperties>
</file>