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315" windowWidth="14805" windowHeight="7800" tabRatio="865"/>
  </bookViews>
  <sheets>
    <sheet name="持有转售" sheetId="22" r:id="rId1"/>
    <sheet name="净值计算支持表" sheetId="9" r:id="rId2"/>
  </sheets>
  <calcPr calcId="145621"/>
</workbook>
</file>

<file path=xl/calcChain.xml><?xml version="1.0" encoding="utf-8"?>
<calcChain xmlns="http://schemas.openxmlformats.org/spreadsheetml/2006/main">
  <c r="C10" i="22" l="1"/>
  <c r="I18" i="22"/>
  <c r="I16" i="22" l="1"/>
  <c r="M6" i="22" l="1"/>
  <c r="K6" i="22"/>
  <c r="I6" i="22"/>
  <c r="E30" i="22" l="1"/>
  <c r="F12" i="22" l="1"/>
  <c r="F5" i="22"/>
  <c r="B25" i="22" l="1"/>
  <c r="N15" i="22"/>
  <c r="M15" i="22" s="1"/>
  <c r="M16" i="22" s="1"/>
  <c r="L15" i="22"/>
  <c r="K15" i="22" s="1"/>
  <c r="K16" i="22" s="1"/>
  <c r="J15" i="22"/>
  <c r="I15" i="22" s="1"/>
  <c r="E4" i="22" s="1"/>
  <c r="B31" i="22" l="1"/>
  <c r="E8" i="22" s="1"/>
  <c r="C6" i="22"/>
  <c r="G35" i="22"/>
  <c r="G41" i="22" s="1"/>
  <c r="E17" i="22" s="1"/>
  <c r="D30" i="22"/>
  <c r="F29" i="22"/>
  <c r="D29" i="22"/>
  <c r="F28" i="22"/>
  <c r="D28" i="22"/>
  <c r="F27" i="22"/>
  <c r="D27" i="22"/>
  <c r="F26" i="22"/>
  <c r="D26" i="22"/>
  <c r="E9" i="22" s="1"/>
  <c r="F25" i="22"/>
  <c r="D25" i="22"/>
  <c r="C14" i="22"/>
  <c r="C11" i="22"/>
  <c r="E10" i="22"/>
  <c r="B30" i="22"/>
  <c r="G21" i="9" l="1"/>
  <c r="F30" i="22" s="1"/>
  <c r="C4" i="22"/>
  <c r="C8" i="22" l="1"/>
  <c r="F43" i="22"/>
  <c r="C13" i="22"/>
  <c r="C7" i="22" l="1"/>
  <c r="C15" i="22" s="1"/>
  <c r="C16" i="22" s="1"/>
  <c r="E19" i="22" l="1"/>
  <c r="E27" i="22" l="1"/>
  <c r="E25" i="22" l="1"/>
  <c r="E26" i="22" s="1"/>
  <c r="E29" i="22"/>
  <c r="E28" i="22"/>
  <c r="E31" i="22" l="1"/>
  <c r="E20" i="22" s="1"/>
  <c r="C18" i="22" s="1"/>
  <c r="C21" i="22" s="1"/>
  <c r="J1" i="22" s="1"/>
  <c r="G22" i="9" l="1"/>
</calcChain>
</file>

<file path=xl/comments1.xml><?xml version="1.0" encoding="utf-8"?>
<comments xmlns="http://schemas.openxmlformats.org/spreadsheetml/2006/main">
  <authors>
    <author>作者</author>
  </authors>
  <commentList>
    <comment ref="E5" authorId="0">
      <text>
        <r>
          <rPr>
            <b/>
            <sz val="9"/>
            <color indexed="81"/>
            <rFont val="宋体"/>
            <family val="3"/>
            <charset val="134"/>
          </rPr>
          <t>作者:</t>
        </r>
        <r>
          <rPr>
            <sz val="9"/>
            <color indexed="81"/>
            <rFont val="宋体"/>
            <family val="3"/>
            <charset val="134"/>
          </rPr>
          <t xml:space="preserve">
单位是月，指空置的月份</t>
        </r>
      </text>
    </comment>
    <comment ref="I6" authorId="0">
      <text>
        <r>
          <rPr>
            <b/>
            <sz val="9"/>
            <color indexed="81"/>
            <rFont val="宋体"/>
            <family val="3"/>
            <charset val="134"/>
          </rPr>
          <t>作者:</t>
        </r>
        <r>
          <rPr>
            <sz val="9"/>
            <color indexed="81"/>
            <rFont val="宋体"/>
            <family val="3"/>
            <charset val="134"/>
          </rPr>
          <t xml:space="preserve">
默认与估价对象的“评估用途”相同</t>
        </r>
      </text>
    </comment>
  </commentList>
</comments>
</file>

<file path=xl/sharedStrings.xml><?xml version="1.0" encoding="utf-8"?>
<sst xmlns="http://schemas.openxmlformats.org/spreadsheetml/2006/main" count="188" uniqueCount="169">
  <si>
    <t>印花税</t>
    <phoneticPr fontId="1" type="noConversion"/>
  </si>
  <si>
    <t>土地增值税</t>
    <phoneticPr fontId="1" type="noConversion"/>
  </si>
  <si>
    <t>非住房</t>
    <phoneticPr fontId="1" type="noConversion"/>
  </si>
  <si>
    <t>所得税</t>
    <phoneticPr fontId="1" type="noConversion"/>
  </si>
  <si>
    <t>元／m2</t>
  </si>
  <si>
    <t>其他用房</t>
  </si>
  <si>
    <t>企业</t>
    <phoneticPr fontId="1" type="noConversion"/>
  </si>
  <si>
    <t>增值税</t>
    <phoneticPr fontId="1" type="noConversion"/>
  </si>
  <si>
    <t>城市维护建设税、教育费附加、地方教育附加</t>
    <phoneticPr fontId="1" type="noConversion"/>
  </si>
  <si>
    <t>所得税</t>
    <phoneticPr fontId="1" type="noConversion"/>
  </si>
  <si>
    <t>印花税</t>
    <phoneticPr fontId="1" type="noConversion"/>
  </si>
  <si>
    <t>土地增值税</t>
    <phoneticPr fontId="1" type="noConversion"/>
  </si>
  <si>
    <t>交易手续费</t>
    <phoneticPr fontId="1" type="noConversion"/>
  </si>
  <si>
    <t>处置费用</t>
    <phoneticPr fontId="1" type="noConversion"/>
  </si>
  <si>
    <t>个人</t>
    <phoneticPr fontId="1" type="noConversion"/>
  </si>
  <si>
    <t>评估价值（万元）</t>
    <phoneticPr fontId="1" type="noConversion"/>
  </si>
  <si>
    <t>住房</t>
    <phoneticPr fontId="1" type="noConversion"/>
  </si>
  <si>
    <t>非住房</t>
    <phoneticPr fontId="1" type="noConversion"/>
  </si>
  <si>
    <t>是否满2年</t>
    <phoneticPr fontId="1" type="noConversion"/>
  </si>
  <si>
    <t>12%*25%</t>
    <phoneticPr fontId="1" type="noConversion"/>
  </si>
  <si>
    <t>类型</t>
    <phoneticPr fontId="1" type="noConversion"/>
  </si>
  <si>
    <t>个人将购买2年以上（含2年）的住房对外销售的，免征增值税</t>
    <phoneticPr fontId="1" type="noConversion"/>
  </si>
  <si>
    <t>个人将购买不足2年的住房对外销售的，按照5%的征收率全额缴纳增值税</t>
    <phoneticPr fontId="1" type="noConversion"/>
  </si>
  <si>
    <t xml:space="preserve">售购房双方以合同记载金额为计税依据，按“产权转移书据”税目及万分之五的税率计征。 </t>
    <phoneticPr fontId="1" type="noConversion"/>
  </si>
  <si>
    <t>自2008年11月1日起，个人销售或购买住房暂免征收印花税。</t>
    <phoneticPr fontId="1" type="noConversion"/>
  </si>
  <si>
    <t xml:space="preserve">自2008年11月1日起，个人销售住房暂免征收土地增值税。  </t>
    <phoneticPr fontId="1" type="noConversion"/>
  </si>
  <si>
    <t>对单位转让二手房产、地产，按照《中华人民共和国土地增值税暂行条例》及其实施细则以及现行政策规定，计算征收土地增值税，并在二手房产、地产转让前到主管税务机关申报</t>
    <phoneticPr fontId="1" type="noConversion"/>
  </si>
  <si>
    <t>税种</t>
    <phoneticPr fontId="1" type="noConversion"/>
  </si>
  <si>
    <t>市区</t>
    <phoneticPr fontId="1" type="noConversion"/>
  </si>
  <si>
    <t>县镇</t>
    <phoneticPr fontId="1" type="noConversion"/>
  </si>
  <si>
    <t>其他</t>
    <phoneticPr fontId="1" type="noConversion"/>
  </si>
  <si>
    <t>商业</t>
    <phoneticPr fontId="1" type="noConversion"/>
  </si>
  <si>
    <t>办公</t>
    <phoneticPr fontId="1" type="noConversion"/>
  </si>
  <si>
    <t>工业仓储</t>
    <phoneticPr fontId="1" type="noConversion"/>
  </si>
  <si>
    <t>车位车库</t>
    <phoneticPr fontId="1" type="noConversion"/>
  </si>
  <si>
    <t>住宅</t>
    <phoneticPr fontId="1" type="noConversion"/>
  </si>
  <si>
    <t>金额</t>
    <phoneticPr fontId="1" type="noConversion"/>
  </si>
  <si>
    <t>说明</t>
    <phoneticPr fontId="1" type="noConversion"/>
  </si>
  <si>
    <t>税率</t>
    <phoneticPr fontId="1" type="noConversion"/>
  </si>
  <si>
    <t>元／m2</t>
    <phoneticPr fontId="1" type="noConversion"/>
  </si>
  <si>
    <t>自2008年11月1日起，对个人销售或购买住房暂免征收印花税。</t>
    <phoneticPr fontId="1" type="noConversion"/>
  </si>
  <si>
    <t>售购房双方以合同记载金额为计税依据，按“产权转移书据”税目及万分之五的税率计征。</t>
    <phoneticPr fontId="1" type="noConversion"/>
  </si>
  <si>
    <t>个人转让非住宅二手房，单位转让二手房的，按转让收入全额的5％征收土地增值税。</t>
    <phoneticPr fontId="1" type="noConversion"/>
  </si>
  <si>
    <t>个人销售二手房不能核实原值的，按交易总额(增值税不含税收入)的1.5％计征。</t>
    <phoneticPr fontId="1" type="noConversion"/>
  </si>
  <si>
    <t>纳税人转让其取得的不动产，以取得的全部价款和价外费用扣除不动产购置原价或者取得不动产时的作价后的余额为销售额，按照5%的征收率计算应纳税额。</t>
    <phoneticPr fontId="1" type="noConversion"/>
  </si>
  <si>
    <t>以应纳增值税额为计税（费）依据，城市维护建设税按市区7%，县城、镇5%，不在市区、县城或镇的，税率为1%计征。教育费附加按3%的征收率计征。地方教育附加按2%的征收率计征</t>
    <phoneticPr fontId="1" type="noConversion"/>
  </si>
  <si>
    <t>附加税费</t>
    <phoneticPr fontId="1" type="noConversion"/>
  </si>
  <si>
    <t>单位销售二手房，将售房收入并入企业应纳税所得额计算，本次评估因无法取得企业应纳税所得，故暂不计算企业所得税。</t>
    <phoneticPr fontId="1" type="noConversion"/>
  </si>
  <si>
    <t>交易手续费按建筑面积计取，2015年10月15日起，存量住房交易手续费由现行每平方米6元降为每平方米4元，双方各承担50%。</t>
    <phoneticPr fontId="1" type="noConversion"/>
  </si>
  <si>
    <t>个人出售其购买的除住房以外的房屋，按照其转让不动产取得的全部价款和价外费用扣除房屋购置原价后按照5%的征收率全额缴纳增值税。</t>
    <phoneticPr fontId="1" type="noConversion"/>
  </si>
  <si>
    <t>是</t>
  </si>
  <si>
    <t>市区</t>
  </si>
  <si>
    <t>序号</t>
  </si>
  <si>
    <t>项目名称</t>
  </si>
  <si>
    <t>备    注</t>
  </si>
  <si>
    <t>（一）</t>
  </si>
  <si>
    <t>年有效毛收入</t>
    <phoneticPr fontId="1" type="noConversion"/>
  </si>
  <si>
    <t>①</t>
  </si>
  <si>
    <t>②</t>
  </si>
  <si>
    <t>空置率</t>
    <phoneticPr fontId="1" type="noConversion"/>
  </si>
  <si>
    <t>③</t>
  </si>
  <si>
    <t>其他收入</t>
    <phoneticPr fontId="1" type="noConversion"/>
  </si>
  <si>
    <t>年运营费用</t>
  </si>
  <si>
    <t>保险费率</t>
    <phoneticPr fontId="1" type="noConversion"/>
  </si>
  <si>
    <t>④</t>
  </si>
  <si>
    <t>维修费率</t>
    <phoneticPr fontId="1" type="noConversion"/>
  </si>
  <si>
    <t>管理费率</t>
    <phoneticPr fontId="1" type="noConversion"/>
  </si>
  <si>
    <t>（五）</t>
  </si>
  <si>
    <t>（六）</t>
  </si>
  <si>
    <t>持有期收益</t>
    <phoneticPr fontId="1" type="noConversion"/>
  </si>
  <si>
    <t>（七）</t>
  </si>
  <si>
    <t>未来价格每年上涨率b</t>
    <phoneticPr fontId="1" type="noConversion"/>
  </si>
  <si>
    <t>期末转售收益Vt(元/平方米)</t>
    <phoneticPr fontId="1" type="noConversion"/>
  </si>
  <si>
    <t>期末转售价格</t>
    <phoneticPr fontId="1" type="noConversion"/>
  </si>
  <si>
    <t>转售成本</t>
    <phoneticPr fontId="1" type="noConversion"/>
  </si>
  <si>
    <t>收益价值V</t>
    <phoneticPr fontId="1" type="noConversion"/>
  </si>
  <si>
    <t>期末转售价格-转售成本</t>
    <phoneticPr fontId="1" type="noConversion"/>
  </si>
  <si>
    <t>V*(1+b)^t</t>
    <phoneticPr fontId="1" type="noConversion"/>
  </si>
  <si>
    <t>V=A/Y*[1-1/(1+Y)^t]+期末转售收益/(1+Y)^t</t>
    <phoneticPr fontId="1" type="noConversion"/>
  </si>
  <si>
    <t>（四）</t>
    <phoneticPr fontId="1" type="noConversion"/>
  </si>
  <si>
    <t>报酬率求取表</t>
    <phoneticPr fontId="12" type="noConversion"/>
  </si>
  <si>
    <t>序号</t>
    <phoneticPr fontId="12" type="noConversion"/>
  </si>
  <si>
    <t>项目</t>
    <phoneticPr fontId="12" type="noConversion"/>
  </si>
  <si>
    <t>估价对象取值</t>
    <phoneticPr fontId="12" type="noConversion"/>
  </si>
  <si>
    <t>投资风险补偿率</t>
    <phoneticPr fontId="12" type="noConversion"/>
  </si>
  <si>
    <t>管理负担补偿率</t>
    <phoneticPr fontId="12" type="noConversion"/>
  </si>
  <si>
    <t>缺乏流动性补偿率</t>
    <phoneticPr fontId="12" type="noConversion"/>
  </si>
  <si>
    <t>易于获得融资的优惠率</t>
    <phoneticPr fontId="12" type="noConversion"/>
  </si>
  <si>
    <t>所得税抵扣的优惠率</t>
    <phoneticPr fontId="12" type="noConversion"/>
  </si>
  <si>
    <t>合计</t>
    <phoneticPr fontId="12" type="noConversion"/>
  </si>
  <si>
    <t>住宅</t>
  </si>
  <si>
    <t>单价</t>
    <phoneticPr fontId="7" type="noConversion"/>
  </si>
  <si>
    <t>参数名称</t>
    <phoneticPr fontId="1" type="noConversion"/>
  </si>
  <si>
    <t>参数</t>
    <phoneticPr fontId="1" type="noConversion"/>
  </si>
  <si>
    <t>（二）</t>
    <phoneticPr fontId="1" type="noConversion"/>
  </si>
  <si>
    <t>房产税率</t>
    <phoneticPr fontId="1" type="noConversion"/>
  </si>
  <si>
    <t>重置价×保险费率</t>
    <phoneticPr fontId="1" type="noConversion"/>
  </si>
  <si>
    <t>房屋保险费</t>
    <phoneticPr fontId="1" type="noConversion"/>
  </si>
  <si>
    <t>重置价格×维修费率</t>
    <phoneticPr fontId="1" type="noConversion"/>
  </si>
  <si>
    <t>物业服务及管理费</t>
    <phoneticPr fontId="1" type="noConversion"/>
  </si>
  <si>
    <t>年有效毛收入(含税）×管理费率</t>
    <phoneticPr fontId="1" type="noConversion"/>
  </si>
  <si>
    <t>维修及水电费</t>
    <phoneticPr fontId="1" type="noConversion"/>
  </si>
  <si>
    <t>年净收益（A）</t>
    <phoneticPr fontId="1" type="noConversion"/>
  </si>
  <si>
    <t>（三）</t>
    <phoneticPr fontId="1" type="noConversion"/>
  </si>
  <si>
    <t>（一）+（二）-（三）</t>
    <phoneticPr fontId="1" type="noConversion"/>
  </si>
  <si>
    <t>附加税率</t>
    <phoneticPr fontId="1" type="noConversion"/>
  </si>
  <si>
    <t>月租金*12*（1-空置率）</t>
    <phoneticPr fontId="1" type="noConversion"/>
  </si>
  <si>
    <t>合计</t>
    <phoneticPr fontId="1" type="noConversion"/>
  </si>
  <si>
    <t>持有期t</t>
    <phoneticPr fontId="1" type="noConversion"/>
  </si>
  <si>
    <t>A/Y*[1-1/(1+Y)^t]</t>
    <phoneticPr fontId="1" type="noConversion"/>
  </si>
  <si>
    <t>报酬率(Y)</t>
    <phoneticPr fontId="1" type="noConversion"/>
  </si>
  <si>
    <t>一年存款利率</t>
    <phoneticPr fontId="1" type="noConversion"/>
  </si>
  <si>
    <t>重置价</t>
    <phoneticPr fontId="1" type="noConversion"/>
  </si>
  <si>
    <t>租赁增值税征收率</t>
    <phoneticPr fontId="1" type="noConversion"/>
  </si>
  <si>
    <t>朝向</t>
  </si>
  <si>
    <t>建筑结构</t>
  </si>
  <si>
    <t>普通装修</t>
  </si>
  <si>
    <t>用途</t>
  </si>
  <si>
    <t>个人</t>
  </si>
  <si>
    <r>
      <t>可比实例A</t>
    </r>
    <r>
      <rPr>
        <vertAlign val="subscript"/>
        <sz val="10.5"/>
        <color theme="1"/>
        <rFont val="宋体"/>
        <family val="3"/>
        <charset val="134"/>
      </rPr>
      <t>2</t>
    </r>
  </si>
  <si>
    <r>
      <t>可比实例B</t>
    </r>
    <r>
      <rPr>
        <vertAlign val="subscript"/>
        <sz val="10.5"/>
        <color theme="1"/>
        <rFont val="宋体"/>
        <family val="3"/>
        <charset val="134"/>
      </rPr>
      <t>2</t>
    </r>
  </si>
  <si>
    <r>
      <t>可比实例C</t>
    </r>
    <r>
      <rPr>
        <vertAlign val="subscript"/>
        <sz val="10.5"/>
        <color theme="1"/>
        <rFont val="宋体"/>
        <family val="3"/>
        <charset val="134"/>
      </rPr>
      <t>2</t>
    </r>
  </si>
  <si>
    <t>银行家园</t>
  </si>
  <si>
    <t>租金单价</t>
  </si>
  <si>
    <t>南北不通透的朝南套</t>
  </si>
  <si>
    <t>南北不通透的朝西套</t>
  </si>
  <si>
    <t>层次/总层数</t>
  </si>
  <si>
    <t>第9层/19层（含地下1层）</t>
  </si>
  <si>
    <t>第12层/19层（含地下1层）</t>
  </si>
  <si>
    <t>第16层/19层（含地下1层）</t>
  </si>
  <si>
    <t>室内装修</t>
  </si>
  <si>
    <t>室内设备</t>
  </si>
  <si>
    <t>齐全</t>
  </si>
  <si>
    <t>建成年份</t>
  </si>
  <si>
    <t>2002年</t>
  </si>
  <si>
    <t>空间布局</t>
    <phoneticPr fontId="1" type="noConversion"/>
  </si>
  <si>
    <t>平层</t>
    <phoneticPr fontId="1" type="noConversion"/>
  </si>
  <si>
    <t>钢混结构</t>
    <phoneticPr fontId="1" type="noConversion"/>
  </si>
  <si>
    <t>规模</t>
    <phoneticPr fontId="1" type="noConversion"/>
  </si>
  <si>
    <t>小计</t>
    <phoneticPr fontId="1" type="noConversion"/>
  </si>
  <si>
    <t>调整系数</t>
    <phoneticPr fontId="1" type="noConversion"/>
  </si>
  <si>
    <t>钢混结构</t>
    <phoneticPr fontId="1" type="noConversion"/>
  </si>
  <si>
    <t>平层</t>
    <phoneticPr fontId="1" type="noConversion"/>
  </si>
  <si>
    <t>租金计算</t>
    <phoneticPr fontId="1" type="noConversion"/>
  </si>
  <si>
    <t>估价对象</t>
    <phoneticPr fontId="1" type="noConversion"/>
  </si>
  <si>
    <t>不计装修</t>
    <phoneticPr fontId="1" type="noConversion"/>
  </si>
  <si>
    <t>不计</t>
    <phoneticPr fontId="1" type="noConversion"/>
  </si>
  <si>
    <t>增值税及附加</t>
    <phoneticPr fontId="1" type="noConversion"/>
  </si>
  <si>
    <t>房产税</t>
    <phoneticPr fontId="1" type="noConversion"/>
  </si>
  <si>
    <t>（一）÷（1+5%）×增值税率×（1+附加税率）</t>
    <phoneticPr fontId="1" type="noConversion"/>
  </si>
  <si>
    <t>无风险报酬率(一年期存款基准利率)</t>
    <phoneticPr fontId="12" type="noConversion"/>
  </si>
  <si>
    <t>权属人</t>
    <phoneticPr fontId="1" type="noConversion"/>
  </si>
  <si>
    <t>所在区域</t>
    <phoneticPr fontId="1" type="noConversion"/>
  </si>
  <si>
    <t>月租金</t>
    <phoneticPr fontId="1" type="noConversion"/>
  </si>
  <si>
    <t>住宅</t>
    <phoneticPr fontId="1" type="noConversion"/>
  </si>
  <si>
    <t>红色部分允许修改，但只有绿底部分是经常需要修改，因为是持有5年以上再转售，“是否满2年”一般固定选“是”</t>
    <phoneticPr fontId="1" type="noConversion"/>
  </si>
  <si>
    <t>增值税起征点</t>
    <phoneticPr fontId="1" type="noConversion"/>
  </si>
  <si>
    <t>是否满2年</t>
    <phoneticPr fontId="1" type="noConversion"/>
  </si>
  <si>
    <t>出租增值税率</t>
    <phoneticPr fontId="1" type="noConversion"/>
  </si>
  <si>
    <t>个人是否免征</t>
    <phoneticPr fontId="1" type="noConversion"/>
  </si>
  <si>
    <t>物业类型</t>
    <phoneticPr fontId="1" type="noConversion"/>
  </si>
  <si>
    <t>建筑面积</t>
    <phoneticPr fontId="1" type="noConversion"/>
  </si>
  <si>
    <t>（比较法计算结果）</t>
    <phoneticPr fontId="1" type="noConversion"/>
  </si>
  <si>
    <t>钢混结构</t>
    <phoneticPr fontId="1" type="noConversion"/>
  </si>
  <si>
    <t>西南</t>
    <phoneticPr fontId="1" type="noConversion"/>
  </si>
  <si>
    <t>夹层</t>
    <phoneticPr fontId="1" type="noConversion"/>
  </si>
  <si>
    <t>第2层/7层（含跃层）</t>
  </si>
  <si>
    <t>小区</t>
    <phoneticPr fontId="1" type="noConversion"/>
  </si>
  <si>
    <t>年收入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</si>
</sst>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
    <numFmt numFmtId="177" formatCode="0.00_ "/>
    <numFmt numFmtId="178" formatCode="0.0_ "/>
    <numFmt numFmtId="179" formatCode="0_ "/>
  </numFmts>
  <fonts count="24" x14ac:knownFonts="1">
    <font>
      <sz val="11"/>
      <color theme="1"/>
      <name val="宋体"/>
      <family val="2"/>
      <scheme val="minor"/>
    </font>
    <font>
      <sz val="9"/>
      <name val="宋体"/>
      <family val="3"/>
      <charset val="134"/>
      <scheme val="minor"/>
    </font>
    <font>
      <sz val="11"/>
      <color theme="1"/>
      <name val="宋体"/>
      <family val="2"/>
      <scheme val="minor"/>
    </font>
    <font>
      <sz val="11"/>
      <color rgb="FFFF0000"/>
      <name val="宋体"/>
      <family val="2"/>
      <scheme val="minor"/>
    </font>
    <font>
      <b/>
      <sz val="11"/>
      <color theme="1"/>
      <name val="仿宋"/>
      <family val="3"/>
      <charset val="134"/>
    </font>
    <font>
      <sz val="11"/>
      <color theme="1"/>
      <name val="楷体"/>
      <family val="3"/>
      <charset val="134"/>
    </font>
    <font>
      <b/>
      <sz val="10.5"/>
      <name val="仿宋"/>
      <family val="3"/>
      <charset val="134"/>
    </font>
    <font>
      <sz val="9"/>
      <name val="宋体"/>
      <family val="3"/>
      <charset val="134"/>
    </font>
    <font>
      <sz val="10.5"/>
      <name val="仿宋"/>
      <family val="3"/>
      <charset val="134"/>
    </font>
    <font>
      <sz val="10.5"/>
      <color rgb="FFFF0000"/>
      <name val="仿宋"/>
      <family val="3"/>
      <charset val="134"/>
    </font>
    <font>
      <b/>
      <sz val="9"/>
      <color indexed="81"/>
      <name val="宋体"/>
      <family val="3"/>
      <charset val="134"/>
    </font>
    <font>
      <sz val="9"/>
      <color indexed="81"/>
      <name val="宋体"/>
      <family val="3"/>
      <charset val="134"/>
    </font>
    <font>
      <sz val="9"/>
      <name val="宋体"/>
      <family val="3"/>
      <charset val="134"/>
    </font>
    <font>
      <sz val="12"/>
      <name val="楷体"/>
      <family val="3"/>
      <charset val="134"/>
    </font>
    <font>
      <sz val="10.5"/>
      <color theme="1"/>
      <name val="仿宋"/>
      <family val="3"/>
      <charset val="134"/>
    </font>
    <font>
      <sz val="10.5"/>
      <color theme="1"/>
      <name val="宋体"/>
      <family val="2"/>
      <scheme val="minor"/>
    </font>
    <font>
      <sz val="10.5"/>
      <color theme="1"/>
      <name val="宋体"/>
      <family val="3"/>
      <charset val="134"/>
    </font>
    <font>
      <sz val="10"/>
      <color theme="1"/>
      <name val="宋体"/>
      <family val="3"/>
      <charset val="134"/>
      <scheme val="minor"/>
    </font>
    <font>
      <sz val="10"/>
      <color theme="1"/>
      <name val="宋体"/>
      <family val="2"/>
      <scheme val="minor"/>
    </font>
    <font>
      <vertAlign val="subscript"/>
      <sz val="10.5"/>
      <color theme="1"/>
      <name val="宋体"/>
      <family val="3"/>
      <charset val="134"/>
    </font>
    <font>
      <b/>
      <sz val="10.5"/>
      <color rgb="FFFF0000"/>
      <name val="仿宋"/>
      <family val="3"/>
      <charset val="134"/>
    </font>
    <font>
      <sz val="16"/>
      <color theme="1"/>
      <name val="宋体"/>
      <family val="2"/>
      <scheme val="minor"/>
    </font>
    <font>
      <sz val="16"/>
      <color theme="1"/>
      <name val="宋体"/>
      <family val="3"/>
      <charset val="134"/>
      <scheme val="minor"/>
    </font>
    <font>
      <b/>
      <sz val="12"/>
      <color rgb="FFFF0000"/>
      <name val="仿宋"/>
      <family val="3"/>
      <charset val="134"/>
    </font>
  </fonts>
  <fills count="7">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theme="5" tint="0.79998168889431442"/>
        <bgColor indexed="64"/>
      </patternFill>
    </fill>
    <fill>
      <patternFill patternType="solid">
        <fgColor theme="0" tint="-0.249977111117893"/>
        <bgColor indexed="64"/>
      </patternFill>
    </fill>
  </fills>
  <borders count="22">
    <border>
      <left/>
      <right/>
      <top/>
      <bottom/>
      <diagonal/>
    </border>
    <border>
      <left style="thin">
        <color auto="1"/>
      </left>
      <right style="thin">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double">
        <color auto="1"/>
      </top>
      <bottom style="thin">
        <color auto="1"/>
      </bottom>
      <diagonal/>
    </border>
    <border>
      <left style="thin">
        <color auto="1"/>
      </left>
      <right/>
      <top style="double">
        <color auto="1"/>
      </top>
      <bottom style="thin">
        <color auto="1"/>
      </bottom>
      <diagonal/>
    </border>
    <border>
      <left/>
      <right style="thin">
        <color auto="1"/>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style="thin">
        <color auto="1"/>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auto="1"/>
      </right>
      <top/>
      <bottom/>
      <diagonal/>
    </border>
  </borders>
  <cellStyleXfs count="2">
    <xf numFmtId="0" fontId="0" fillId="0" borderId="0"/>
    <xf numFmtId="9" fontId="2" fillId="0" borderId="0" applyFont="0" applyFill="0" applyBorder="0" applyAlignment="0" applyProtection="0">
      <alignment vertical="center"/>
    </xf>
  </cellStyleXfs>
  <cellXfs count="111">
    <xf numFmtId="0" fontId="0" fillId="0" borderId="0" xfId="0"/>
    <xf numFmtId="0" fontId="0" fillId="0" borderId="0" xfId="0" applyAlignment="1">
      <alignment wrapText="1"/>
    </xf>
    <xf numFmtId="0" fontId="0" fillId="0" borderId="2" xfId="0" applyBorder="1"/>
    <xf numFmtId="0" fontId="0" fillId="2" borderId="3" xfId="0" applyFill="1" applyBorder="1" applyAlignment="1">
      <alignment horizontal="center"/>
    </xf>
    <xf numFmtId="0" fontId="4" fillId="0" borderId="7" xfId="0" applyFont="1" applyBorder="1" applyAlignment="1">
      <alignment horizontal="center" vertical="center" wrapText="1"/>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xf numFmtId="0" fontId="5" fillId="0" borderId="6" xfId="0" applyFont="1" applyBorder="1" applyAlignment="1">
      <alignment horizontal="center" vertical="center" wrapText="1"/>
    </xf>
    <xf numFmtId="9" fontId="5" fillId="0" borderId="3" xfId="1" applyNumberFormat="1" applyFont="1" applyBorder="1" applyAlignment="1">
      <alignment horizontal="center" vertical="center" wrapText="1"/>
    </xf>
    <xf numFmtId="0" fontId="5" fillId="0" borderId="3" xfId="0" applyFont="1" applyBorder="1" applyAlignment="1">
      <alignment horizontal="center" vertical="center" wrapText="1"/>
    </xf>
    <xf numFmtId="0" fontId="5" fillId="0" borderId="5" xfId="0" applyFont="1" applyBorder="1" applyAlignment="1">
      <alignment horizontal="left" vertical="center" wrapText="1"/>
    </xf>
    <xf numFmtId="176" fontId="5" fillId="0" borderId="3" xfId="1" applyNumberFormat="1" applyFont="1" applyBorder="1" applyAlignment="1">
      <alignment horizontal="center" vertical="center" wrapText="1"/>
    </xf>
    <xf numFmtId="10" fontId="5" fillId="0" borderId="3" xfId="1" applyNumberFormat="1" applyFont="1" applyBorder="1" applyAlignment="1">
      <alignment horizontal="center" vertical="center" wrapText="1"/>
    </xf>
    <xf numFmtId="177" fontId="8" fillId="0" borderId="3" xfId="0" applyNumberFormat="1" applyFont="1" applyBorder="1" applyAlignment="1">
      <alignment horizontal="center" vertical="center" wrapText="1"/>
    </xf>
    <xf numFmtId="0" fontId="0" fillId="0" borderId="0" xfId="0" applyAlignment="1">
      <alignment horizontal="center" vertical="center" wrapText="1"/>
    </xf>
    <xf numFmtId="178" fontId="8" fillId="0" borderId="3" xfId="0" applyNumberFormat="1" applyFont="1" applyBorder="1" applyAlignment="1">
      <alignment horizontal="center" vertical="center" wrapText="1"/>
    </xf>
    <xf numFmtId="179" fontId="8" fillId="0" borderId="3" xfId="0" applyNumberFormat="1" applyFont="1" applyBorder="1" applyAlignment="1">
      <alignment horizontal="center" vertical="center" wrapText="1"/>
    </xf>
    <xf numFmtId="0" fontId="6" fillId="0" borderId="7" xfId="0" applyFont="1" applyBorder="1" applyAlignment="1">
      <alignment horizontal="center" vertical="center" wrapText="1"/>
    </xf>
    <xf numFmtId="0" fontId="6" fillId="0" borderId="1" xfId="0" applyFont="1" applyBorder="1" applyAlignment="1">
      <alignment horizontal="center" vertical="center" wrapText="1"/>
    </xf>
    <xf numFmtId="0" fontId="6" fillId="0" borderId="8" xfId="0" applyFont="1" applyBorder="1" applyAlignment="1">
      <alignment horizontal="center" vertical="center" wrapText="1"/>
    </xf>
    <xf numFmtId="0" fontId="8" fillId="0" borderId="6" xfId="0" applyFont="1" applyBorder="1" applyAlignment="1">
      <alignment horizontal="center" vertical="center" wrapText="1"/>
    </xf>
    <xf numFmtId="0" fontId="8" fillId="0" borderId="9" xfId="0" applyFont="1" applyBorder="1" applyAlignment="1">
      <alignment horizontal="center" vertical="center" wrapText="1"/>
    </xf>
    <xf numFmtId="178" fontId="8" fillId="0" borderId="4" xfId="0" applyNumberFormat="1" applyFont="1" applyBorder="1" applyAlignment="1">
      <alignment horizontal="center" vertical="center" wrapText="1"/>
    </xf>
    <xf numFmtId="0" fontId="0" fillId="0" borderId="3" xfId="0" applyBorder="1" applyAlignment="1">
      <alignment horizontal="center" vertical="center"/>
    </xf>
    <xf numFmtId="0" fontId="4" fillId="0" borderId="11" xfId="0" applyFont="1" applyBorder="1" applyAlignment="1">
      <alignment horizontal="center" vertical="center" wrapText="1"/>
    </xf>
    <xf numFmtId="0" fontId="4" fillId="0" borderId="9" xfId="0" applyFont="1" applyBorder="1" applyAlignment="1">
      <alignment horizontal="center" vertical="center" wrapText="1"/>
    </xf>
    <xf numFmtId="0" fontId="0" fillId="0" borderId="4" xfId="0" applyFont="1" applyBorder="1" applyAlignment="1">
      <alignment horizontal="center" vertical="center" wrapText="1"/>
    </xf>
    <xf numFmtId="0" fontId="4" fillId="0" borderId="10" xfId="0" applyFont="1" applyBorder="1" applyAlignment="1">
      <alignment horizontal="center" vertical="center" wrapText="1"/>
    </xf>
    <xf numFmtId="178" fontId="0" fillId="0" borderId="0" xfId="0" applyNumberFormat="1" applyAlignment="1">
      <alignment wrapText="1"/>
    </xf>
    <xf numFmtId="0" fontId="5" fillId="0" borderId="6" xfId="0" applyFont="1" applyBorder="1" applyAlignment="1">
      <alignment horizontal="center" wrapText="1"/>
    </xf>
    <xf numFmtId="0" fontId="5" fillId="0" borderId="3" xfId="0" applyFont="1" applyBorder="1" applyAlignment="1">
      <alignment horizontal="center" wrapText="1"/>
    </xf>
    <xf numFmtId="0" fontId="5" fillId="0" borderId="5" xfId="0" applyFont="1" applyBorder="1" applyAlignment="1">
      <alignment horizontal="center" wrapText="1"/>
    </xf>
    <xf numFmtId="0" fontId="13" fillId="0" borderId="3" xfId="0" applyFont="1" applyBorder="1" applyAlignment="1">
      <alignment horizontal="center" wrapText="1"/>
    </xf>
    <xf numFmtId="10" fontId="5" fillId="0" borderId="5" xfId="0" applyNumberFormat="1" applyFont="1" applyBorder="1" applyAlignment="1">
      <alignment horizontal="center" wrapText="1"/>
    </xf>
    <xf numFmtId="0" fontId="5" fillId="0" borderId="9" xfId="0" applyFont="1" applyBorder="1" applyAlignment="1">
      <alignment horizontal="center" wrapText="1"/>
    </xf>
    <xf numFmtId="0" fontId="5" fillId="0" borderId="4" xfId="0" applyFont="1" applyBorder="1" applyAlignment="1">
      <alignment horizontal="center" wrapText="1"/>
    </xf>
    <xf numFmtId="10" fontId="5" fillId="0" borderId="10" xfId="0" applyNumberFormat="1" applyFont="1" applyBorder="1" applyAlignment="1">
      <alignment horizontal="center" wrapText="1"/>
    </xf>
    <xf numFmtId="0" fontId="0" fillId="0" borderId="4" xfId="0" applyBorder="1" applyAlignment="1">
      <alignment wrapText="1"/>
    </xf>
    <xf numFmtId="10" fontId="14" fillId="0" borderId="3" xfId="1" applyNumberFormat="1" applyFont="1" applyBorder="1" applyAlignment="1">
      <alignment horizontal="center" vertical="center" wrapText="1"/>
    </xf>
    <xf numFmtId="177" fontId="0" fillId="0" borderId="0" xfId="0" applyNumberFormat="1" applyAlignment="1">
      <alignment wrapText="1"/>
    </xf>
    <xf numFmtId="0" fontId="14" fillId="0" borderId="0" xfId="0" applyFont="1" applyAlignment="1">
      <alignment horizontal="center" vertical="center" wrapText="1"/>
    </xf>
    <xf numFmtId="0" fontId="0" fillId="0" borderId="14" xfId="0" applyBorder="1"/>
    <xf numFmtId="0" fontId="0" fillId="0" borderId="1" xfId="0" applyBorder="1" applyAlignment="1">
      <alignment horizontal="center" vertical="center"/>
    </xf>
    <xf numFmtId="0" fontId="0" fillId="2" borderId="15" xfId="0" applyFill="1" applyBorder="1" applyAlignment="1">
      <alignment horizontal="center"/>
    </xf>
    <xf numFmtId="0" fontId="0" fillId="2" borderId="16" xfId="0" applyFill="1" applyBorder="1" applyAlignment="1">
      <alignment horizontal="center"/>
    </xf>
    <xf numFmtId="0" fontId="0" fillId="0" borderId="17" xfId="0" applyBorder="1"/>
    <xf numFmtId="0" fontId="0" fillId="0" borderId="4" xfId="0" applyBorder="1" applyAlignment="1">
      <alignment horizontal="center"/>
    </xf>
    <xf numFmtId="0" fontId="0" fillId="0" borderId="18" xfId="0" applyBorder="1" applyAlignment="1">
      <alignment horizontal="center"/>
    </xf>
    <xf numFmtId="178" fontId="5" fillId="0" borderId="3" xfId="0" applyNumberFormat="1" applyFont="1" applyBorder="1" applyAlignment="1">
      <alignment horizontal="center" vertical="center" wrapText="1"/>
    </xf>
    <xf numFmtId="10" fontId="9" fillId="3" borderId="3" xfId="1" applyNumberFormat="1" applyFont="1" applyFill="1" applyBorder="1" applyAlignment="1" applyProtection="1">
      <alignment horizontal="center" vertical="center" wrapText="1"/>
      <protection locked="0"/>
    </xf>
    <xf numFmtId="179" fontId="9" fillId="3" borderId="3" xfId="1" applyNumberFormat="1" applyFont="1" applyFill="1" applyBorder="1" applyAlignment="1" applyProtection="1">
      <alignment horizontal="center" vertical="center" wrapText="1"/>
      <protection locked="0"/>
    </xf>
    <xf numFmtId="0" fontId="0" fillId="0" borderId="7" xfId="0" applyBorder="1"/>
    <xf numFmtId="0" fontId="0" fillId="0" borderId="5" xfId="0" applyBorder="1" applyAlignment="1">
      <alignment horizontal="center" vertical="center"/>
    </xf>
    <xf numFmtId="10" fontId="0" fillId="0" borderId="3" xfId="1" applyNumberFormat="1" applyFont="1" applyBorder="1" applyAlignment="1">
      <alignment horizontal="center" vertical="center"/>
    </xf>
    <xf numFmtId="10" fontId="0" fillId="0" borderId="5" xfId="1" applyNumberFormat="1" applyFont="1" applyBorder="1" applyAlignment="1">
      <alignment horizontal="center" vertical="center"/>
    </xf>
    <xf numFmtId="10" fontId="0" fillId="0" borderId="4" xfId="1" applyNumberFormat="1" applyFont="1" applyBorder="1" applyAlignment="1">
      <alignment horizontal="center" vertical="center"/>
    </xf>
    <xf numFmtId="176" fontId="0" fillId="0" borderId="4" xfId="1" applyNumberFormat="1" applyFont="1" applyBorder="1" applyAlignment="1">
      <alignment horizontal="center" vertical="center"/>
    </xf>
    <xf numFmtId="176" fontId="0" fillId="0" borderId="10" xfId="1" applyNumberFormat="1" applyFont="1" applyBorder="1" applyAlignment="1">
      <alignment horizontal="center" vertical="center"/>
    </xf>
    <xf numFmtId="0" fontId="0" fillId="0" borderId="6" xfId="0" applyBorder="1" applyAlignment="1">
      <alignment vertical="center"/>
    </xf>
    <xf numFmtId="0" fontId="0" fillId="0" borderId="9" xfId="0" applyBorder="1" applyAlignment="1">
      <alignment vertical="center"/>
    </xf>
    <xf numFmtId="0" fontId="4" fillId="0" borderId="0" xfId="0" applyFont="1" applyBorder="1" applyAlignment="1">
      <alignment horizontal="center" vertical="center" wrapText="1"/>
    </xf>
    <xf numFmtId="0" fontId="0" fillId="0" borderId="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5" xfId="0" applyFont="1" applyBorder="1" applyAlignment="1">
      <alignment horizontal="center" vertical="center" wrapText="1"/>
    </xf>
    <xf numFmtId="0" fontId="14"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14" fillId="0" borderId="5" xfId="0" applyFont="1" applyBorder="1" applyAlignment="1">
      <alignment horizontal="center" vertical="center" wrapText="1"/>
    </xf>
    <xf numFmtId="0" fontId="8" fillId="0" borderId="5" xfId="0" quotePrefix="1" applyFont="1" applyBorder="1" applyAlignment="1">
      <alignment horizontal="center" vertical="center" wrapText="1"/>
    </xf>
    <xf numFmtId="0" fontId="15" fillId="0" borderId="5" xfId="0" applyFont="1" applyBorder="1" applyAlignment="1">
      <alignment horizontal="center" vertical="center" wrapText="1"/>
    </xf>
    <xf numFmtId="0" fontId="8" fillId="0" borderId="4" xfId="0" applyFont="1" applyBorder="1" applyAlignment="1">
      <alignment horizontal="center" vertical="center" wrapText="1"/>
    </xf>
    <xf numFmtId="0" fontId="0" fillId="0" borderId="4" xfId="0" applyBorder="1" applyAlignment="1">
      <alignment horizontal="center" vertical="center" wrapText="1"/>
    </xf>
    <xf numFmtId="0" fontId="8" fillId="0" borderId="10"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3" xfId="0" applyFont="1" applyBorder="1" applyAlignment="1">
      <alignment horizontal="center" vertical="center" wrapText="1"/>
    </xf>
    <xf numFmtId="0" fontId="0" fillId="0" borderId="16" xfId="0" applyBorder="1" applyAlignment="1">
      <alignment horizontal="center" vertical="center" wrapText="1"/>
    </xf>
    <xf numFmtId="179" fontId="14" fillId="3" borderId="3" xfId="1" applyNumberFormat="1" applyFont="1" applyFill="1" applyBorder="1" applyAlignment="1" applyProtection="1">
      <alignment horizontal="center" vertical="center" wrapText="1"/>
      <protection locked="0"/>
    </xf>
    <xf numFmtId="179" fontId="14" fillId="3" borderId="16" xfId="1" applyNumberFormat="1" applyFont="1" applyFill="1" applyBorder="1" applyAlignment="1" applyProtection="1">
      <alignment horizontal="center" vertical="center" wrapText="1"/>
      <protection locked="0"/>
    </xf>
    <xf numFmtId="0" fontId="18" fillId="0" borderId="2"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18" xfId="0" applyFont="1" applyBorder="1" applyAlignment="1">
      <alignment horizontal="center" vertical="center" wrapText="1"/>
    </xf>
    <xf numFmtId="177" fontId="0" fillId="0" borderId="0" xfId="0" applyNumberFormat="1" applyAlignment="1">
      <alignment horizontal="center" vertical="center" wrapText="1"/>
    </xf>
    <xf numFmtId="0" fontId="0" fillId="0" borderId="0" xfId="0" applyAlignment="1"/>
    <xf numFmtId="10" fontId="14" fillId="0" borderId="3" xfId="1" applyNumberFormat="1" applyFont="1" applyFill="1" applyBorder="1" applyAlignment="1">
      <alignment horizontal="center" vertical="center" wrapText="1"/>
    </xf>
    <xf numFmtId="0" fontId="8" fillId="0" borderId="3" xfId="0" applyFont="1" applyFill="1" applyBorder="1" applyAlignment="1" applyProtection="1">
      <alignment horizontal="center" vertical="center" wrapText="1"/>
      <protection locked="0"/>
    </xf>
    <xf numFmtId="0" fontId="9" fillId="6" borderId="3" xfId="0" applyFont="1" applyFill="1" applyBorder="1" applyAlignment="1" applyProtection="1">
      <alignment horizontal="center" vertical="center" wrapText="1"/>
      <protection locked="0"/>
    </xf>
    <xf numFmtId="10" fontId="9" fillId="6" borderId="12" xfId="1" applyNumberFormat="1" applyFont="1" applyFill="1" applyBorder="1" applyAlignment="1" applyProtection="1">
      <alignment horizontal="center" vertical="center" wrapText="1"/>
      <protection locked="0"/>
    </xf>
    <xf numFmtId="179" fontId="14" fillId="6" borderId="3" xfId="1" applyNumberFormat="1" applyFont="1" applyFill="1" applyBorder="1" applyAlignment="1" applyProtection="1">
      <alignment horizontal="center" vertical="center" wrapText="1"/>
      <protection locked="0"/>
    </xf>
    <xf numFmtId="177" fontId="14" fillId="6" borderId="3" xfId="1" applyNumberFormat="1" applyFont="1" applyFill="1" applyBorder="1" applyAlignment="1" applyProtection="1">
      <alignment horizontal="center" vertical="center" wrapText="1"/>
      <protection locked="0"/>
    </xf>
    <xf numFmtId="179" fontId="14" fillId="6" borderId="16" xfId="1" applyNumberFormat="1" applyFont="1" applyFill="1" applyBorder="1" applyAlignment="1" applyProtection="1">
      <alignment horizontal="center" vertical="center" wrapText="1"/>
      <protection locked="0"/>
    </xf>
    <xf numFmtId="0" fontId="8" fillId="0" borderId="20" xfId="0" applyFont="1" applyBorder="1" applyAlignment="1">
      <alignment horizontal="center" vertical="center" wrapText="1"/>
    </xf>
    <xf numFmtId="0" fontId="9" fillId="4" borderId="20" xfId="0" applyFont="1" applyFill="1" applyBorder="1" applyAlignment="1" applyProtection="1">
      <alignment horizontal="center" vertical="center" wrapText="1"/>
      <protection locked="0"/>
    </xf>
    <xf numFmtId="179" fontId="20" fillId="3" borderId="20" xfId="0" applyNumberFormat="1" applyFont="1" applyFill="1" applyBorder="1" applyAlignment="1" applyProtection="1">
      <alignment horizontal="center" vertical="center" wrapText="1"/>
      <protection locked="0"/>
    </xf>
    <xf numFmtId="0" fontId="9" fillId="6" borderId="20" xfId="0" applyFont="1" applyFill="1" applyBorder="1" applyAlignment="1" applyProtection="1">
      <alignment horizontal="center" vertical="center" wrapText="1"/>
      <protection locked="0"/>
    </xf>
    <xf numFmtId="0" fontId="9" fillId="3" borderId="20" xfId="0" applyFont="1" applyFill="1" applyBorder="1" applyAlignment="1" applyProtection="1">
      <alignment horizontal="center" vertical="center" wrapText="1"/>
      <protection locked="0"/>
    </xf>
    <xf numFmtId="9" fontId="9" fillId="0" borderId="20" xfId="1" applyFont="1" applyFill="1" applyBorder="1" applyAlignment="1" applyProtection="1">
      <alignment horizontal="center" vertical="center" wrapText="1"/>
      <protection locked="0"/>
    </xf>
    <xf numFmtId="0" fontId="0" fillId="5" borderId="19" xfId="0" applyFill="1" applyBorder="1"/>
    <xf numFmtId="0" fontId="3" fillId="5" borderId="19" xfId="0" applyFont="1" applyFill="1" applyBorder="1"/>
    <xf numFmtId="10" fontId="8" fillId="4" borderId="5" xfId="1" applyNumberFormat="1" applyFont="1" applyFill="1" applyBorder="1" applyAlignment="1" applyProtection="1">
      <alignment horizontal="center" vertical="center" wrapText="1"/>
      <protection locked="0"/>
    </xf>
    <xf numFmtId="0" fontId="23" fillId="6" borderId="3" xfId="0" applyFont="1" applyFill="1" applyBorder="1" applyAlignment="1" applyProtection="1">
      <alignment horizontal="center" vertical="center" wrapText="1"/>
      <protection locked="0"/>
    </xf>
    <xf numFmtId="0" fontId="0" fillId="0" borderId="13" xfId="0" applyBorder="1" applyAlignment="1">
      <alignment horizontal="center" wrapText="1"/>
    </xf>
    <xf numFmtId="0" fontId="3" fillId="0" borderId="0" xfId="0" applyFont="1" applyAlignment="1">
      <alignment horizontal="center" wrapText="1"/>
    </xf>
    <xf numFmtId="0" fontId="3" fillId="0" borderId="21" xfId="0" applyFont="1" applyBorder="1" applyAlignment="1">
      <alignment horizontal="center" wrapText="1"/>
    </xf>
    <xf numFmtId="0" fontId="21" fillId="0" borderId="14" xfId="0" applyFont="1" applyBorder="1" applyAlignment="1">
      <alignment horizontal="center" wrapText="1"/>
    </xf>
    <xf numFmtId="0" fontId="22" fillId="0" borderId="1" xfId="0" applyFont="1" applyBorder="1" applyAlignment="1">
      <alignment horizontal="center" wrapText="1"/>
    </xf>
    <xf numFmtId="0" fontId="22" fillId="0" borderId="15" xfId="0" applyFont="1" applyBorder="1" applyAlignment="1">
      <alignment horizontal="center" wrapText="1"/>
    </xf>
    <xf numFmtId="0" fontId="0" fillId="0" borderId="1" xfId="0" applyBorder="1" applyAlignment="1">
      <alignment horizontal="center" vertical="center"/>
    </xf>
    <xf numFmtId="0" fontId="0" fillId="0" borderId="8" xfId="0" applyBorder="1" applyAlignment="1">
      <alignment horizontal="center" vertical="center"/>
    </xf>
  </cellXfs>
  <cellStyles count="2">
    <cellStyle name="百分比" xfId="1" builtinId="5"/>
    <cellStyle name="常规" xfId="0" builtinId="0"/>
  </cellStyles>
  <dxfs count="0"/>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4"/>
  <sheetViews>
    <sheetView tabSelected="1" zoomScale="96" zoomScaleNormal="96" workbookViewId="0">
      <pane ySplit="1" topLeftCell="A28" activePane="bottomLeft" state="frozen"/>
      <selection pane="bottomLeft" activeCell="F43" sqref="F43"/>
    </sheetView>
  </sheetViews>
  <sheetFormatPr defaultRowHeight="13.5" x14ac:dyDescent="0.15"/>
  <cols>
    <col min="1" max="1" width="8.875" style="1" customWidth="1"/>
    <col min="2" max="2" width="13.25" style="1" customWidth="1"/>
    <col min="3" max="3" width="12.75" style="1" bestFit="1" customWidth="1"/>
    <col min="4" max="4" width="13" style="1" customWidth="1"/>
    <col min="5" max="5" width="11.25" style="1" customWidth="1"/>
    <col min="6" max="6" width="39.5" style="1" customWidth="1"/>
    <col min="7" max="7" width="9" style="1"/>
    <col min="8" max="8" width="13.5" style="1" customWidth="1"/>
    <col min="9" max="9" width="13" style="1" customWidth="1"/>
    <col min="10" max="10" width="6.875" style="1" customWidth="1"/>
    <col min="11" max="11" width="14.75" style="1" customWidth="1"/>
    <col min="12" max="12" width="7.5" style="1" customWidth="1"/>
    <col min="13" max="13" width="11.625" style="1" customWidth="1"/>
    <col min="14" max="14" width="7.5" style="1" customWidth="1"/>
    <col min="15" max="16384" width="9" style="1"/>
  </cols>
  <sheetData>
    <row r="1" spans="1:14" ht="24" customHeight="1" thickBot="1" x14ac:dyDescent="0.2">
      <c r="A1" s="104" t="s">
        <v>155</v>
      </c>
      <c r="B1" s="104"/>
      <c r="C1" s="104"/>
      <c r="D1" s="104"/>
      <c r="E1" s="104"/>
      <c r="F1" s="104"/>
      <c r="G1" s="105"/>
      <c r="H1" s="99"/>
      <c r="I1" s="99"/>
      <c r="J1" s="100">
        <f>C21</f>
        <v>30189</v>
      </c>
    </row>
    <row r="2" spans="1:14" ht="21.75" thickTop="1" thickBot="1" x14ac:dyDescent="0.3">
      <c r="G2" s="106" t="s">
        <v>143</v>
      </c>
      <c r="H2" s="107"/>
      <c r="I2" s="107"/>
      <c r="J2" s="107"/>
      <c r="K2" s="107"/>
      <c r="L2" s="107"/>
      <c r="M2" s="107"/>
      <c r="N2" s="108"/>
    </row>
    <row r="3" spans="1:14" ht="15" thickTop="1" x14ac:dyDescent="0.15">
      <c r="A3" s="17" t="s">
        <v>52</v>
      </c>
      <c r="B3" s="18" t="s">
        <v>53</v>
      </c>
      <c r="C3" s="18" t="s">
        <v>91</v>
      </c>
      <c r="D3" s="18" t="s">
        <v>92</v>
      </c>
      <c r="E3" s="18" t="s">
        <v>93</v>
      </c>
      <c r="F3" s="19" t="s">
        <v>54</v>
      </c>
      <c r="G3" s="73" t="s">
        <v>53</v>
      </c>
      <c r="H3" s="74" t="s">
        <v>144</v>
      </c>
      <c r="I3" s="74" t="s">
        <v>119</v>
      </c>
      <c r="J3" s="74"/>
      <c r="K3" s="74" t="s">
        <v>120</v>
      </c>
      <c r="L3" s="74"/>
      <c r="M3" s="74" t="s">
        <v>121</v>
      </c>
      <c r="N3" s="75"/>
    </row>
    <row r="4" spans="1:14" ht="20.25" customHeight="1" x14ac:dyDescent="0.15">
      <c r="A4" s="20" t="s">
        <v>55</v>
      </c>
      <c r="B4" s="62" t="s">
        <v>56</v>
      </c>
      <c r="C4" s="13">
        <f>ROUND(E4*12*(1-F5),2)</f>
        <v>3047.5</v>
      </c>
      <c r="D4" s="62" t="s">
        <v>153</v>
      </c>
      <c r="E4" s="87">
        <f>ROUND((I16+K16+M16)/3,0)</f>
        <v>265</v>
      </c>
      <c r="F4" s="63" t="s">
        <v>106</v>
      </c>
      <c r="G4" s="73"/>
      <c r="H4" s="76" t="s">
        <v>167</v>
      </c>
      <c r="I4" s="90" t="s">
        <v>122</v>
      </c>
      <c r="J4" s="74"/>
      <c r="K4" s="90" t="s">
        <v>122</v>
      </c>
      <c r="L4" s="74"/>
      <c r="M4" s="90" t="s">
        <v>122</v>
      </c>
      <c r="N4" s="75"/>
    </row>
    <row r="5" spans="1:14" x14ac:dyDescent="0.15">
      <c r="A5" s="20"/>
      <c r="B5" s="62"/>
      <c r="C5" s="13"/>
      <c r="D5" s="62" t="s">
        <v>59</v>
      </c>
      <c r="E5" s="88">
        <v>0.5</v>
      </c>
      <c r="F5" s="101">
        <f>E5/12</f>
        <v>4.1666666666666664E-2</v>
      </c>
      <c r="G5" s="73" t="s">
        <v>123</v>
      </c>
      <c r="H5" s="74"/>
      <c r="I5" s="91">
        <v>726</v>
      </c>
      <c r="J5" s="74"/>
      <c r="K5" s="91">
        <v>75</v>
      </c>
      <c r="L5" s="74"/>
      <c r="M5" s="91">
        <v>76</v>
      </c>
      <c r="N5" s="75"/>
    </row>
    <row r="6" spans="1:14" ht="19.5" customHeight="1" x14ac:dyDescent="0.15">
      <c r="A6" s="20" t="s">
        <v>94</v>
      </c>
      <c r="B6" s="62" t="s">
        <v>61</v>
      </c>
      <c r="C6" s="13">
        <f>E4*E6*(1-F5)</f>
        <v>3.8093749999999997</v>
      </c>
      <c r="D6" s="62" t="s">
        <v>111</v>
      </c>
      <c r="E6" s="49">
        <v>1.4999999999999999E-2</v>
      </c>
      <c r="G6" s="73" t="s">
        <v>117</v>
      </c>
      <c r="H6" s="90" t="s">
        <v>154</v>
      </c>
      <c r="I6" s="76" t="str">
        <f>H6</f>
        <v>住宅</v>
      </c>
      <c r="J6" s="76">
        <v>0</v>
      </c>
      <c r="K6" s="76" t="str">
        <f>H6</f>
        <v>住宅</v>
      </c>
      <c r="L6" s="76">
        <v>0</v>
      </c>
      <c r="M6" s="76" t="str">
        <f>H6</f>
        <v>住宅</v>
      </c>
      <c r="N6" s="77">
        <v>0</v>
      </c>
    </row>
    <row r="7" spans="1:14" x14ac:dyDescent="0.15">
      <c r="A7" s="20" t="s">
        <v>103</v>
      </c>
      <c r="B7" s="62" t="s">
        <v>62</v>
      </c>
      <c r="C7" s="13">
        <f>ROUND(C8+C11+C14+C13+C10,2)</f>
        <v>199.15</v>
      </c>
      <c r="D7" s="62"/>
      <c r="E7" s="64"/>
      <c r="F7" s="63"/>
      <c r="G7" s="73" t="s">
        <v>115</v>
      </c>
      <c r="H7" s="76" t="s">
        <v>163</v>
      </c>
      <c r="I7" s="76" t="s">
        <v>137</v>
      </c>
      <c r="J7" s="76">
        <v>0</v>
      </c>
      <c r="K7" s="76" t="s">
        <v>141</v>
      </c>
      <c r="L7" s="76">
        <v>0</v>
      </c>
      <c r="M7" s="76" t="s">
        <v>141</v>
      </c>
      <c r="N7" s="77">
        <v>0</v>
      </c>
    </row>
    <row r="8" spans="1:14" ht="30.75" customHeight="1" x14ac:dyDescent="0.15">
      <c r="A8" s="20" t="s">
        <v>57</v>
      </c>
      <c r="B8" s="62" t="s">
        <v>147</v>
      </c>
      <c r="C8" s="13">
        <f>ROUND(C4/(1+0.05)*E8*(1+E9),2)</f>
        <v>0</v>
      </c>
      <c r="D8" s="62" t="s">
        <v>113</v>
      </c>
      <c r="E8" s="86">
        <f>IF(B28="个人",IF(B31,0,IF(B26="住宅",0.015,0.05)),IF(B28="一般纳税人",0.05,0.05))</f>
        <v>0</v>
      </c>
      <c r="F8" s="63" t="s">
        <v>149</v>
      </c>
      <c r="G8" s="73" t="s">
        <v>114</v>
      </c>
      <c r="H8" s="90" t="s">
        <v>164</v>
      </c>
      <c r="I8" s="90" t="s">
        <v>124</v>
      </c>
      <c r="J8" s="90">
        <v>2</v>
      </c>
      <c r="K8" s="90" t="s">
        <v>125</v>
      </c>
      <c r="L8" s="90">
        <v>2</v>
      </c>
      <c r="M8" s="90" t="s">
        <v>124</v>
      </c>
      <c r="N8" s="92">
        <v>2</v>
      </c>
    </row>
    <row r="9" spans="1:14" x14ac:dyDescent="0.15">
      <c r="A9" s="20"/>
      <c r="B9" s="65"/>
      <c r="C9" s="65"/>
      <c r="D9" s="62" t="s">
        <v>105</v>
      </c>
      <c r="E9" s="38">
        <f>D26</f>
        <v>0.12</v>
      </c>
      <c r="F9" s="63"/>
      <c r="G9" s="73" t="s">
        <v>135</v>
      </c>
      <c r="H9" s="90" t="s">
        <v>165</v>
      </c>
      <c r="I9" s="76" t="s">
        <v>136</v>
      </c>
      <c r="J9" s="76">
        <v>0</v>
      </c>
      <c r="K9" s="76" t="s">
        <v>142</v>
      </c>
      <c r="L9" s="76">
        <v>0</v>
      </c>
      <c r="M9" s="76" t="s">
        <v>142</v>
      </c>
      <c r="N9" s="77">
        <v>0</v>
      </c>
    </row>
    <row r="10" spans="1:14" ht="23.25" customHeight="1" x14ac:dyDescent="0.15">
      <c r="A10" s="66"/>
      <c r="B10" s="62" t="s">
        <v>148</v>
      </c>
      <c r="C10" s="63">
        <f>ROUND(E10*(C4)/(1+0.05),2)</f>
        <v>116.1</v>
      </c>
      <c r="D10" s="62" t="s">
        <v>95</v>
      </c>
      <c r="E10" s="38">
        <f>IF(B26="住宅",0.04,IF(B28="个人",0.04,0.12))</f>
        <v>0.04</v>
      </c>
      <c r="G10" s="73" t="s">
        <v>126</v>
      </c>
      <c r="H10" s="90" t="s">
        <v>166</v>
      </c>
      <c r="I10" s="90" t="s">
        <v>127</v>
      </c>
      <c r="J10" s="90">
        <v>2</v>
      </c>
      <c r="K10" s="90" t="s">
        <v>128</v>
      </c>
      <c r="L10" s="90">
        <v>3</v>
      </c>
      <c r="M10" s="90" t="s">
        <v>129</v>
      </c>
      <c r="N10" s="92">
        <v>4</v>
      </c>
    </row>
    <row r="11" spans="1:14" x14ac:dyDescent="0.15">
      <c r="A11" s="20" t="s">
        <v>58</v>
      </c>
      <c r="B11" s="62" t="s">
        <v>97</v>
      </c>
      <c r="C11" s="13">
        <f>E12*E11</f>
        <v>2.6</v>
      </c>
      <c r="D11" s="62" t="s">
        <v>63</v>
      </c>
      <c r="E11" s="49">
        <v>2E-3</v>
      </c>
      <c r="F11" s="67" t="s">
        <v>96</v>
      </c>
      <c r="G11" s="73" t="s">
        <v>138</v>
      </c>
      <c r="H11" s="90">
        <v>73</v>
      </c>
      <c r="I11" s="91">
        <v>134.36000000000001</v>
      </c>
      <c r="J11" s="90">
        <v>-2</v>
      </c>
      <c r="K11" s="91">
        <v>129.63</v>
      </c>
      <c r="L11" s="90">
        <v>-2</v>
      </c>
      <c r="M11" s="91">
        <v>133.24</v>
      </c>
      <c r="N11" s="92">
        <v>-2</v>
      </c>
    </row>
    <row r="12" spans="1:14" x14ac:dyDescent="0.15">
      <c r="A12" s="66"/>
      <c r="B12" s="65"/>
      <c r="C12" s="65"/>
      <c r="D12" s="62" t="s">
        <v>112</v>
      </c>
      <c r="E12" s="88">
        <v>1300</v>
      </c>
      <c r="F12" s="63" t="str">
        <f>(E12-100)&amp;"～"&amp;(E12+200)</f>
        <v>1200～1500</v>
      </c>
      <c r="G12" s="73" t="s">
        <v>130</v>
      </c>
      <c r="H12" s="76" t="s">
        <v>145</v>
      </c>
      <c r="I12" s="90" t="s">
        <v>116</v>
      </c>
      <c r="J12" s="90">
        <v>2</v>
      </c>
      <c r="K12" s="90" t="s">
        <v>116</v>
      </c>
      <c r="L12" s="90">
        <v>2</v>
      </c>
      <c r="M12" s="90" t="s">
        <v>116</v>
      </c>
      <c r="N12" s="92">
        <v>2</v>
      </c>
    </row>
    <row r="13" spans="1:14" ht="20.25" customHeight="1" x14ac:dyDescent="0.15">
      <c r="A13" s="20" t="s">
        <v>60</v>
      </c>
      <c r="B13" s="62" t="s">
        <v>99</v>
      </c>
      <c r="C13" s="13">
        <f>C4*E13</f>
        <v>60.95</v>
      </c>
      <c r="D13" s="62" t="s">
        <v>66</v>
      </c>
      <c r="E13" s="49">
        <v>0.02</v>
      </c>
      <c r="F13" s="63" t="s">
        <v>100</v>
      </c>
      <c r="G13" s="73" t="s">
        <v>131</v>
      </c>
      <c r="H13" s="76" t="s">
        <v>146</v>
      </c>
      <c r="I13" s="76" t="s">
        <v>132</v>
      </c>
      <c r="J13" s="76">
        <v>2</v>
      </c>
      <c r="K13" s="76" t="s">
        <v>132</v>
      </c>
      <c r="L13" s="76">
        <v>2</v>
      </c>
      <c r="M13" s="76" t="s">
        <v>132</v>
      </c>
      <c r="N13" s="77">
        <v>2</v>
      </c>
    </row>
    <row r="14" spans="1:14" ht="24" customHeight="1" x14ac:dyDescent="0.15">
      <c r="A14" s="20" t="s">
        <v>64</v>
      </c>
      <c r="B14" s="62" t="s">
        <v>101</v>
      </c>
      <c r="C14" s="13">
        <f>E12*E14</f>
        <v>19.5</v>
      </c>
      <c r="D14" s="62" t="s">
        <v>65</v>
      </c>
      <c r="E14" s="49">
        <v>1.4999999999999999E-2</v>
      </c>
      <c r="F14" s="67" t="s">
        <v>98</v>
      </c>
      <c r="G14" s="73" t="s">
        <v>133</v>
      </c>
      <c r="H14" s="90">
        <v>1992</v>
      </c>
      <c r="I14" s="90" t="s">
        <v>134</v>
      </c>
      <c r="J14" s="90">
        <v>4</v>
      </c>
      <c r="K14" s="90" t="s">
        <v>134</v>
      </c>
      <c r="L14" s="90">
        <v>4</v>
      </c>
      <c r="M14" s="90" t="s">
        <v>134</v>
      </c>
      <c r="N14" s="92">
        <v>4</v>
      </c>
    </row>
    <row r="15" spans="1:14" ht="21" customHeight="1" x14ac:dyDescent="0.15">
      <c r="A15" s="20" t="s">
        <v>79</v>
      </c>
      <c r="B15" s="62" t="s">
        <v>102</v>
      </c>
      <c r="C15" s="13">
        <f>C4-C7+C6</f>
        <v>2852.1593749999997</v>
      </c>
      <c r="D15" s="62"/>
      <c r="E15" s="64"/>
      <c r="F15" s="63" t="s">
        <v>104</v>
      </c>
      <c r="G15" s="78" t="s">
        <v>139</v>
      </c>
      <c r="H15" s="74"/>
      <c r="I15" s="79">
        <f>100+J15</f>
        <v>110</v>
      </c>
      <c r="J15" s="79">
        <f>SUM(J6:J14)</f>
        <v>10</v>
      </c>
      <c r="K15" s="79">
        <f>100+L15</f>
        <v>111</v>
      </c>
      <c r="L15" s="79">
        <f>SUM(L6:L14)</f>
        <v>11</v>
      </c>
      <c r="M15" s="79">
        <f>100+N15</f>
        <v>112</v>
      </c>
      <c r="N15" s="80">
        <f>SUM(N6:N14)</f>
        <v>12</v>
      </c>
    </row>
    <row r="16" spans="1:14" ht="20.25" customHeight="1" thickBot="1" x14ac:dyDescent="0.2">
      <c r="A16" s="20" t="s">
        <v>67</v>
      </c>
      <c r="B16" s="62" t="s">
        <v>69</v>
      </c>
      <c r="C16" s="13">
        <f>ROUND(C15/E17*(1-1/(1+E17)^E16),2)</f>
        <v>12348.36</v>
      </c>
      <c r="D16" s="62" t="s">
        <v>108</v>
      </c>
      <c r="E16" s="50">
        <v>5</v>
      </c>
      <c r="F16" s="68" t="s">
        <v>109</v>
      </c>
      <c r="G16" s="81" t="s">
        <v>140</v>
      </c>
      <c r="H16" s="37"/>
      <c r="I16" s="82">
        <f>ROUND(I5*100/I15,0)</f>
        <v>660</v>
      </c>
      <c r="J16" s="82"/>
      <c r="K16" s="82">
        <f>ROUND(K5*100/K15,0)</f>
        <v>68</v>
      </c>
      <c r="L16" s="82"/>
      <c r="M16" s="82">
        <f>ROUND(M5*100/M15,0)</f>
        <v>68</v>
      </c>
      <c r="N16" s="83"/>
    </row>
    <row r="17" spans="1:14" ht="20.25" customHeight="1" thickTop="1" x14ac:dyDescent="0.15">
      <c r="A17" s="66"/>
      <c r="B17" s="65"/>
      <c r="C17" s="65"/>
      <c r="D17" s="62" t="s">
        <v>110</v>
      </c>
      <c r="E17" s="38">
        <f>G41</f>
        <v>0.05</v>
      </c>
      <c r="F17" s="69"/>
      <c r="G17" s="14"/>
      <c r="H17" s="14"/>
      <c r="I17" s="14"/>
      <c r="J17" s="14"/>
      <c r="K17" s="14"/>
      <c r="L17" s="14"/>
      <c r="M17" s="14"/>
      <c r="N17" s="14"/>
    </row>
    <row r="18" spans="1:14" ht="25.5" x14ac:dyDescent="0.15">
      <c r="A18" s="20" t="s">
        <v>68</v>
      </c>
      <c r="B18" s="62" t="s">
        <v>72</v>
      </c>
      <c r="C18" s="16">
        <f>E19-E20</f>
        <v>22769.347938204799</v>
      </c>
      <c r="D18" s="62" t="s">
        <v>71</v>
      </c>
      <c r="E18" s="49">
        <v>0.02</v>
      </c>
      <c r="F18" s="63" t="s">
        <v>76</v>
      </c>
      <c r="G18" s="14"/>
      <c r="H18" s="14" t="s">
        <v>168</v>
      </c>
      <c r="I18" s="84">
        <f>C4+C6</f>
        <v>3051.3093749999998</v>
      </c>
      <c r="J18" s="40"/>
      <c r="K18" s="84"/>
      <c r="L18" s="14"/>
      <c r="M18" s="14"/>
      <c r="N18" s="14"/>
    </row>
    <row r="19" spans="1:14" ht="24.75" customHeight="1" x14ac:dyDescent="0.15">
      <c r="A19" s="20"/>
      <c r="B19" s="62" t="s">
        <v>162</v>
      </c>
      <c r="C19" s="102">
        <v>20939</v>
      </c>
      <c r="D19" s="62" t="s">
        <v>73</v>
      </c>
      <c r="E19" s="15">
        <f>C19*(1+E18)^E16</f>
        <v>23118.347938204799</v>
      </c>
      <c r="F19" s="63" t="s">
        <v>77</v>
      </c>
      <c r="G19" s="14"/>
      <c r="H19" s="14"/>
      <c r="I19" s="14"/>
      <c r="J19" s="40"/>
      <c r="K19" s="14"/>
      <c r="L19" s="14"/>
      <c r="M19" s="14"/>
      <c r="N19" s="14"/>
    </row>
    <row r="20" spans="1:14" x14ac:dyDescent="0.15">
      <c r="A20" s="66"/>
      <c r="B20" s="65"/>
      <c r="C20" s="65"/>
      <c r="D20" s="62" t="s">
        <v>74</v>
      </c>
      <c r="E20" s="15">
        <f>E31</f>
        <v>349</v>
      </c>
      <c r="F20" s="63"/>
      <c r="G20" s="14"/>
      <c r="H20" s="14"/>
      <c r="I20" s="14"/>
      <c r="J20" s="14"/>
      <c r="K20" s="14"/>
      <c r="L20" s="14"/>
      <c r="M20" s="14"/>
      <c r="N20" s="14"/>
    </row>
    <row r="21" spans="1:14" ht="14.25" thickBot="1" x14ac:dyDescent="0.2">
      <c r="A21" s="21" t="s">
        <v>70</v>
      </c>
      <c r="B21" s="70" t="s">
        <v>75</v>
      </c>
      <c r="C21" s="22">
        <f>ROUND(C16+C18/(1+E17)^E16,0)</f>
        <v>30189</v>
      </c>
      <c r="D21" s="70"/>
      <c r="E21" s="71"/>
      <c r="F21" s="72" t="s">
        <v>78</v>
      </c>
      <c r="G21" s="14"/>
      <c r="H21" s="14"/>
      <c r="I21" s="14"/>
      <c r="J21" s="14"/>
      <c r="K21" s="14"/>
      <c r="L21" s="14"/>
      <c r="M21" s="14"/>
      <c r="N21" s="14"/>
    </row>
    <row r="22" spans="1:14" ht="14.25" thickTop="1" x14ac:dyDescent="0.15"/>
    <row r="23" spans="1:14" ht="14.25" thickBot="1" x14ac:dyDescent="0.2"/>
    <row r="24" spans="1:14" ht="26.25" thickTop="1" x14ac:dyDescent="0.15">
      <c r="A24" s="93" t="s">
        <v>156</v>
      </c>
      <c r="B24" s="94">
        <v>30000</v>
      </c>
      <c r="C24" s="4" t="s">
        <v>27</v>
      </c>
      <c r="D24" s="5" t="s">
        <v>38</v>
      </c>
      <c r="E24" s="5" t="s">
        <v>36</v>
      </c>
      <c r="F24" s="6" t="s">
        <v>37</v>
      </c>
      <c r="K24" s="60"/>
      <c r="L24" s="61"/>
      <c r="M24" s="60"/>
      <c r="N24" s="60"/>
    </row>
    <row r="25" spans="1:14" ht="27" x14ac:dyDescent="0.15">
      <c r="A25" s="62" t="s">
        <v>161</v>
      </c>
      <c r="B25" s="95">
        <f>H11</f>
        <v>73</v>
      </c>
      <c r="C25" s="7" t="s">
        <v>7</v>
      </c>
      <c r="D25" s="8">
        <f>IF(B28="个人",IF(B26="住宅",IF(B27="是",0,0.05),0.05),0.05)</f>
        <v>0</v>
      </c>
      <c r="E25" s="9">
        <f>ROUND(E19/(1+D25)*D25,0)</f>
        <v>0</v>
      </c>
      <c r="F25" s="10" t="str">
        <f>IF(B28="个人",IF(B26="住宅",IF(B27="是",净值计算支持表!G6,净值计算支持表!G7),净值计算支持表!G8),净值计算支持表!G9)</f>
        <v>个人将购买2年以上（含2年）的住房对外销售的，免征增值税</v>
      </c>
      <c r="K25" s="60"/>
      <c r="L25" s="61"/>
      <c r="M25" s="60"/>
      <c r="N25" s="60"/>
    </row>
    <row r="26" spans="1:14" ht="59.25" customHeight="1" x14ac:dyDescent="0.15">
      <c r="A26" s="62" t="s">
        <v>160</v>
      </c>
      <c r="B26" s="96" t="s">
        <v>90</v>
      </c>
      <c r="C26" s="7" t="s">
        <v>46</v>
      </c>
      <c r="D26" s="8">
        <f>IF(B29="市区",0.12,IF(B29="县镇",0.1,0.06))</f>
        <v>0.12</v>
      </c>
      <c r="E26" s="9">
        <f>ROUND(E25*D26,0)</f>
        <v>0</v>
      </c>
      <c r="F26" s="10" t="str">
        <f>净值计算支持表!G10</f>
        <v>以应纳增值税额为计税（费）依据，城市维护建设税按市区7%，县城、镇5%，不在市区、县城或镇的，税率为1%计征。教育费附加按3%的征收率计征。地方教育附加按2%的征收率计征</v>
      </c>
      <c r="K26" s="60"/>
      <c r="L26" s="61"/>
      <c r="M26" s="60"/>
      <c r="N26" s="60"/>
    </row>
    <row r="27" spans="1:14" ht="27" x14ac:dyDescent="0.15">
      <c r="A27" s="93" t="s">
        <v>157</v>
      </c>
      <c r="B27" s="95" t="s">
        <v>50</v>
      </c>
      <c r="C27" s="7" t="s">
        <v>3</v>
      </c>
      <c r="D27" s="11">
        <f>IF(B28="个人",0.015,0)</f>
        <v>1.4999999999999999E-2</v>
      </c>
      <c r="E27" s="9">
        <f>ROUND(E19/(1+D25)*D27,0)</f>
        <v>347</v>
      </c>
      <c r="F27" s="10" t="str">
        <f>IF(B28="个人",净值计算支持表!G11,净值计算支持表!G12)</f>
        <v>个人销售二手房不能核实原值的，按交易总额(增值税不含税收入)的1.5％计征。</v>
      </c>
      <c r="K27" s="60"/>
      <c r="L27" s="61"/>
      <c r="M27" s="60"/>
      <c r="N27" s="60"/>
    </row>
    <row r="28" spans="1:14" ht="27" x14ac:dyDescent="0.15">
      <c r="A28" s="62" t="s">
        <v>151</v>
      </c>
      <c r="B28" s="96" t="s">
        <v>118</v>
      </c>
      <c r="C28" s="7" t="s">
        <v>0</v>
      </c>
      <c r="D28" s="12">
        <f>IF(B28="个人",IF(B26="住宅",0,0.0005),0.0005)</f>
        <v>0</v>
      </c>
      <c r="E28" s="9">
        <f>ROUND(E19/(1+D25)*D28,0)</f>
        <v>0</v>
      </c>
      <c r="F28" s="10" t="str">
        <f>IF(B28="个人",IF(B26="住宅",净值计算支持表!G19,净值计算支持表!G20),净值计算支持表!G20)</f>
        <v>自2008年11月1日起，对个人销售或购买住房暂免征收印花税。</v>
      </c>
      <c r="K28" s="60"/>
      <c r="L28" s="61"/>
      <c r="M28" s="60"/>
      <c r="N28" s="60"/>
    </row>
    <row r="29" spans="1:14" ht="27" x14ac:dyDescent="0.15">
      <c r="A29" s="62" t="s">
        <v>152</v>
      </c>
      <c r="B29" s="97" t="s">
        <v>51</v>
      </c>
      <c r="C29" s="7" t="s">
        <v>1</v>
      </c>
      <c r="D29" s="8">
        <f>IF(B28="个人",IF(B26="住宅",0,0.05),0.05)</f>
        <v>0</v>
      </c>
      <c r="E29" s="9">
        <f>ROUND(E19/(1+D25)*D29,0)</f>
        <v>0</v>
      </c>
      <c r="F29" s="10" t="str">
        <f>IF(B28="个人",IF(B26="住宅",净值计算支持表!G16,净值计算支持表!G15),净值计算支持表!G15)</f>
        <v xml:space="preserve">自2008年11月1日起，个人销售住房暂免征收土地增值税。  </v>
      </c>
      <c r="K29" s="60"/>
      <c r="L29" s="61"/>
      <c r="M29" s="60"/>
      <c r="N29" s="60"/>
    </row>
    <row r="30" spans="1:14" ht="40.5" x14ac:dyDescent="0.15">
      <c r="A30" s="93" t="s">
        <v>158</v>
      </c>
      <c r="B30" s="98">
        <f>IF(B28="一般纳税人",0.11,0.05)</f>
        <v>0.05</v>
      </c>
      <c r="C30" s="7" t="s">
        <v>12</v>
      </c>
      <c r="D30" s="48">
        <f>VLOOKUP(B26,净值计算支持表!H6:I11,2,0)/2</f>
        <v>2</v>
      </c>
      <c r="E30" s="48">
        <f>D30</f>
        <v>2</v>
      </c>
      <c r="F30" s="10" t="str">
        <f>IF(B26="住宅",净值计算支持表!G18,净值计算支持表!G21)</f>
        <v>交易手续费按建筑面积计取，2015年10月15日起，存量住房交易手续费由现行每平方米6元降为每平方米4元，双方各承担50%。</v>
      </c>
      <c r="H30" s="14"/>
      <c r="I30" s="14"/>
    </row>
    <row r="31" spans="1:14" ht="26.25" thickBot="1" x14ac:dyDescent="0.2">
      <c r="A31" s="93" t="s">
        <v>159</v>
      </c>
      <c r="B31" s="94" t="b">
        <f>E4*B25&lt;=B24</f>
        <v>1</v>
      </c>
      <c r="C31" s="25" t="s">
        <v>107</v>
      </c>
      <c r="D31" s="26"/>
      <c r="E31" s="27">
        <f>SUM(E25:E30)</f>
        <v>349</v>
      </c>
      <c r="F31" s="24"/>
      <c r="J31" s="14"/>
    </row>
    <row r="32" spans="1:14" ht="15" thickTop="1" thickBot="1" x14ac:dyDescent="0.2"/>
    <row r="33" spans="3:8" ht="27.75" customHeight="1" thickTop="1" x14ac:dyDescent="0.15">
      <c r="C33" s="39"/>
      <c r="E33" s="103" t="s">
        <v>80</v>
      </c>
      <c r="F33" s="103"/>
      <c r="G33" s="103"/>
    </row>
    <row r="34" spans="3:8" ht="27" x14ac:dyDescent="0.15">
      <c r="E34" s="29" t="s">
        <v>81</v>
      </c>
      <c r="F34" s="30" t="s">
        <v>82</v>
      </c>
      <c r="G34" s="31" t="s">
        <v>83</v>
      </c>
    </row>
    <row r="35" spans="3:8" ht="14.25" x14ac:dyDescent="0.15">
      <c r="E35" s="29">
        <v>1</v>
      </c>
      <c r="F35" s="32" t="s">
        <v>150</v>
      </c>
      <c r="G35" s="33">
        <f>E6</f>
        <v>1.4999999999999999E-2</v>
      </c>
    </row>
    <row r="36" spans="3:8" x14ac:dyDescent="0.15">
      <c r="E36" s="29">
        <v>2</v>
      </c>
      <c r="F36" s="30" t="s">
        <v>84</v>
      </c>
      <c r="G36" s="89">
        <v>1.7500000000000002E-2</v>
      </c>
    </row>
    <row r="37" spans="3:8" x14ac:dyDescent="0.15">
      <c r="E37" s="29">
        <v>3</v>
      </c>
      <c r="F37" s="30" t="s">
        <v>85</v>
      </c>
      <c r="G37" s="89">
        <v>1.4999999999999999E-2</v>
      </c>
    </row>
    <row r="38" spans="3:8" x14ac:dyDescent="0.15">
      <c r="E38" s="29">
        <v>4</v>
      </c>
      <c r="F38" s="30" t="s">
        <v>86</v>
      </c>
      <c r="G38" s="89">
        <v>0.02</v>
      </c>
    </row>
    <row r="39" spans="3:8" x14ac:dyDescent="0.15">
      <c r="E39" s="29">
        <v>5</v>
      </c>
      <c r="F39" s="30" t="s">
        <v>87</v>
      </c>
      <c r="G39" s="89">
        <v>-0.01</v>
      </c>
    </row>
    <row r="40" spans="3:8" x14ac:dyDescent="0.15">
      <c r="E40" s="29">
        <v>6</v>
      </c>
      <c r="F40" s="30" t="s">
        <v>88</v>
      </c>
      <c r="G40" s="89">
        <v>-7.4999999999999997E-3</v>
      </c>
    </row>
    <row r="41" spans="3:8" ht="14.25" thickBot="1" x14ac:dyDescent="0.2">
      <c r="E41" s="34">
        <v>7</v>
      </c>
      <c r="F41" s="35" t="s">
        <v>89</v>
      </c>
      <c r="G41" s="36">
        <f>SUM(G35:G40)</f>
        <v>0.05</v>
      </c>
    </row>
    <row r="42" spans="3:8" ht="14.25" thickTop="1" x14ac:dyDescent="0.15"/>
    <row r="43" spans="3:8" x14ac:dyDescent="0.15">
      <c r="F43" s="85" t="str">
        <f>"根据国家税务总局有关规定，"&amp;B28&amp;"出租"&amp;B26&amp;IF(E8=0,"月租金收入不超过3万元的免征增值税,故","")&amp;"增值税征收率为"&amp;E8*100&amp;"%，城建税、教育费附加、地方教育附加为增值税的"&amp;E9*100&amp;"%。增值税及附加 = "&amp;C4&amp;"/(1+5%)×"&amp;E8*100&amp;"%×(1+"&amp;E9*100&amp;"%)"</f>
        <v>根据国家税务总局有关规定，个人出租住宅月租金收入不超过3万元的免征增值税,故增值税征收率为0%，城建税、教育费附加、地方教育附加为增值税的12%。增值税及附加 = 3047.5/(1+5%)×0%×(1+12%)</v>
      </c>
      <c r="H43" s="28"/>
    </row>
    <row r="44" spans="3:8" x14ac:dyDescent="0.15">
      <c r="H44" s="28"/>
    </row>
  </sheetData>
  <protectedRanges>
    <protectedRange password="CC33" sqref="B25:B29" name="区域1"/>
  </protectedRanges>
  <mergeCells count="3">
    <mergeCell ref="E33:G33"/>
    <mergeCell ref="A1:G1"/>
    <mergeCell ref="G2:N2"/>
  </mergeCells>
  <phoneticPr fontId="1" type="noConversion"/>
  <dataValidations count="2">
    <dataValidation type="list" allowBlank="1" showInputMessage="1" showErrorMessage="1" sqref="B28">
      <formula1>"个人,小规模纳税人,一般纳税人"</formula1>
    </dataValidation>
    <dataValidation type="list" allowBlank="1" showInputMessage="1" showErrorMessage="1" sqref="B27">
      <formula1>"是,否"</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净值计算支持表!$H$6:$H$11</xm:f>
          </x14:formula1>
          <xm:sqref>B26</xm:sqref>
        </x14:dataValidation>
        <x14:dataValidation type="list" allowBlank="1" showInputMessage="1" showErrorMessage="1">
          <x14:formula1>
            <xm:f>净值计算支持表!$A$19:$A$21</xm:f>
          </x14:formula1>
          <xm:sqref>B29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A2" workbookViewId="0">
      <selection activeCell="G22" sqref="G22"/>
    </sheetView>
  </sheetViews>
  <sheetFormatPr defaultRowHeight="13.5" x14ac:dyDescent="0.15"/>
  <cols>
    <col min="1" max="1" width="28.625" customWidth="1"/>
    <col min="6" max="6" width="8.625" customWidth="1"/>
    <col min="7" max="7" width="70.875" style="1" customWidth="1"/>
    <col min="8" max="8" width="12.875" customWidth="1"/>
  </cols>
  <sheetData>
    <row r="1" spans="1:10" x14ac:dyDescent="0.15">
      <c r="A1" t="s">
        <v>15</v>
      </c>
    </row>
    <row r="2" spans="1:10" x14ac:dyDescent="0.15">
      <c r="A2" t="s">
        <v>18</v>
      </c>
    </row>
    <row r="3" spans="1:10" x14ac:dyDescent="0.15">
      <c r="A3" t="s">
        <v>20</v>
      </c>
    </row>
    <row r="4" spans="1:10" ht="14.25" thickBot="1" x14ac:dyDescent="0.2"/>
    <row r="5" spans="1:10" ht="15" thickTop="1" thickBot="1" x14ac:dyDescent="0.2">
      <c r="A5" s="51"/>
      <c r="B5" s="109" t="s">
        <v>14</v>
      </c>
      <c r="C5" s="109"/>
      <c r="D5" s="109" t="s">
        <v>6</v>
      </c>
      <c r="E5" s="110"/>
    </row>
    <row r="6" spans="1:10" ht="14.25" thickTop="1" x14ac:dyDescent="0.15">
      <c r="A6" s="58"/>
      <c r="B6" s="23" t="s">
        <v>16</v>
      </c>
      <c r="C6" s="23" t="s">
        <v>17</v>
      </c>
      <c r="D6" s="23" t="s">
        <v>16</v>
      </c>
      <c r="E6" s="52" t="s">
        <v>2</v>
      </c>
      <c r="G6" s="1" t="s">
        <v>21</v>
      </c>
      <c r="H6" s="41" t="s">
        <v>35</v>
      </c>
      <c r="I6" s="42">
        <v>4</v>
      </c>
      <c r="J6" s="43" t="s">
        <v>39</v>
      </c>
    </row>
    <row r="7" spans="1:10" x14ac:dyDescent="0.15">
      <c r="A7" s="58" t="s">
        <v>7</v>
      </c>
      <c r="B7" s="53">
        <v>0</v>
      </c>
      <c r="C7" s="53">
        <v>0.05</v>
      </c>
      <c r="D7" s="53">
        <v>0.05</v>
      </c>
      <c r="E7" s="54">
        <v>0.05</v>
      </c>
      <c r="G7" s="1" t="s">
        <v>22</v>
      </c>
      <c r="H7" s="2" t="s">
        <v>31</v>
      </c>
      <c r="I7" s="3">
        <v>20</v>
      </c>
      <c r="J7" s="44" t="s">
        <v>4</v>
      </c>
    </row>
    <row r="8" spans="1:10" ht="27" x14ac:dyDescent="0.15">
      <c r="A8" s="58"/>
      <c r="B8" s="53">
        <v>0.05</v>
      </c>
      <c r="C8" s="53">
        <v>0.05</v>
      </c>
      <c r="D8" s="53">
        <v>0.05</v>
      </c>
      <c r="E8" s="54">
        <v>0.05</v>
      </c>
      <c r="G8" s="1" t="s">
        <v>49</v>
      </c>
      <c r="H8" s="2" t="s">
        <v>32</v>
      </c>
      <c r="I8" s="3">
        <v>12</v>
      </c>
      <c r="J8" s="44" t="s">
        <v>4</v>
      </c>
    </row>
    <row r="9" spans="1:10" ht="27" x14ac:dyDescent="0.15">
      <c r="A9" s="58" t="s">
        <v>8</v>
      </c>
      <c r="B9" s="53">
        <v>0.12</v>
      </c>
      <c r="C9" s="53">
        <v>0.12</v>
      </c>
      <c r="D9" s="53">
        <v>0.12</v>
      </c>
      <c r="E9" s="54">
        <v>0.12</v>
      </c>
      <c r="G9" s="1" t="s">
        <v>44</v>
      </c>
      <c r="H9" s="2" t="s">
        <v>33</v>
      </c>
      <c r="I9" s="3">
        <v>7</v>
      </c>
      <c r="J9" s="44" t="s">
        <v>4</v>
      </c>
    </row>
    <row r="10" spans="1:10" ht="40.5" x14ac:dyDescent="0.15">
      <c r="A10" s="58" t="s">
        <v>9</v>
      </c>
      <c r="B10" s="53">
        <v>1.4999999999999999E-2</v>
      </c>
      <c r="C10" s="53">
        <v>1.4999999999999999E-2</v>
      </c>
      <c r="D10" s="53">
        <v>0.03</v>
      </c>
      <c r="E10" s="54">
        <v>0.03</v>
      </c>
      <c r="F10" t="s">
        <v>19</v>
      </c>
      <c r="G10" s="1" t="s">
        <v>45</v>
      </c>
      <c r="H10" s="2" t="s">
        <v>34</v>
      </c>
      <c r="I10" s="3">
        <v>14</v>
      </c>
      <c r="J10" s="44" t="s">
        <v>4</v>
      </c>
    </row>
    <row r="11" spans="1:10" ht="14.25" thickBot="1" x14ac:dyDescent="0.2">
      <c r="A11" s="58" t="s">
        <v>10</v>
      </c>
      <c r="B11" s="53">
        <v>0</v>
      </c>
      <c r="C11" s="53">
        <v>5.0000000000000001E-4</v>
      </c>
      <c r="D11" s="53">
        <v>5.0000000000000001E-4</v>
      </c>
      <c r="E11" s="54">
        <v>5.0000000000000001E-4</v>
      </c>
      <c r="G11" s="1" t="s">
        <v>43</v>
      </c>
      <c r="H11" s="45" t="s">
        <v>5</v>
      </c>
      <c r="I11" s="46">
        <v>4</v>
      </c>
      <c r="J11" s="47" t="s">
        <v>4</v>
      </c>
    </row>
    <row r="12" spans="1:10" ht="27.75" thickTop="1" x14ac:dyDescent="0.15">
      <c r="A12" s="58" t="s">
        <v>11</v>
      </c>
      <c r="B12" s="53">
        <v>0</v>
      </c>
      <c r="C12" s="53">
        <v>0.05</v>
      </c>
      <c r="D12" s="53">
        <v>0.05</v>
      </c>
      <c r="E12" s="54">
        <v>0.05</v>
      </c>
      <c r="G12" s="1" t="s">
        <v>47</v>
      </c>
    </row>
    <row r="13" spans="1:10" ht="27" x14ac:dyDescent="0.15">
      <c r="A13" s="58" t="s">
        <v>12</v>
      </c>
      <c r="B13" s="53"/>
      <c r="C13" s="53"/>
      <c r="D13" s="53"/>
      <c r="E13" s="54"/>
      <c r="G13" s="1" t="s">
        <v>23</v>
      </c>
    </row>
    <row r="14" spans="1:10" ht="14.25" thickBot="1" x14ac:dyDescent="0.2">
      <c r="A14" s="59" t="s">
        <v>13</v>
      </c>
      <c r="B14" s="55">
        <v>2.5000000000000001E-2</v>
      </c>
      <c r="C14" s="55">
        <v>2.5000000000000001E-2</v>
      </c>
      <c r="D14" s="56">
        <v>2.5000000000000001E-2</v>
      </c>
      <c r="E14" s="57">
        <v>2.5000000000000001E-2</v>
      </c>
      <c r="G14" s="1" t="s">
        <v>24</v>
      </c>
    </row>
    <row r="15" spans="1:10" ht="27.75" thickTop="1" x14ac:dyDescent="0.15">
      <c r="G15" s="1" t="s">
        <v>42</v>
      </c>
    </row>
    <row r="16" spans="1:10" x14ac:dyDescent="0.15">
      <c r="G16" s="1" t="s">
        <v>25</v>
      </c>
    </row>
    <row r="17" spans="1:7" ht="40.5" x14ac:dyDescent="0.15">
      <c r="G17" s="1" t="s">
        <v>26</v>
      </c>
    </row>
    <row r="18" spans="1:7" ht="27" x14ac:dyDescent="0.15">
      <c r="G18" s="1" t="s">
        <v>48</v>
      </c>
    </row>
    <row r="19" spans="1:7" x14ac:dyDescent="0.15">
      <c r="A19" t="s">
        <v>28</v>
      </c>
      <c r="G19" s="1" t="s">
        <v>40</v>
      </c>
    </row>
    <row r="20" spans="1:7" ht="27" x14ac:dyDescent="0.15">
      <c r="A20" t="s">
        <v>29</v>
      </c>
      <c r="G20" s="1" t="s">
        <v>41</v>
      </c>
    </row>
    <row r="21" spans="1:7" x14ac:dyDescent="0.15">
      <c r="A21" t="s">
        <v>30</v>
      </c>
      <c r="G21" s="1" t="str">
        <f>CONCATENATE("交易手续费按建筑面积计取，存量",持有转售!B26,"交易手续费每平方米",持有转售!D30*2,"元，双方各承担50%")</f>
        <v>交易手续费按建筑面积计取，存量住宅交易手续费每平方米4元，双方各承担50%</v>
      </c>
    </row>
    <row r="22" spans="1:7" x14ac:dyDescent="0.15">
      <c r="G22" s="1" t="e">
        <f>CONCATENATE("根据市场行情的调查，处置费用按交易总额(增值税不含税收入)的",#REF!*100,"%计算")</f>
        <v>#REF!</v>
      </c>
    </row>
  </sheetData>
  <mergeCells count="2">
    <mergeCell ref="B5:C5"/>
    <mergeCell ref="D5:E5"/>
  </mergeCells>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持有转售</vt:lpstr>
      <vt:lpstr>净值计算支持表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2017-05-24T04:26:31Z</dcterms:modified>
</cp:coreProperties>
</file>