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fileSharing readOnlyRecommended="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rlrm-my.sharepoint.com/personal/v_grieten_lrm_be/Documents/Bureaublad/Test AI tool/"/>
    </mc:Choice>
  </mc:AlternateContent>
  <xr:revisionPtr revIDLastSave="0" documentId="8_{CB44FFB2-0BC0-4B10-8812-3753460F05DE}" xr6:coauthVersionLast="47" xr6:coauthVersionMax="47" xr10:uidLastSave="{00000000-0000-0000-0000-000000000000}"/>
  <bookViews>
    <workbookView xWindow="-108" yWindow="-108" windowWidth="23256" windowHeight="12456" tabRatio="918" activeTab="3" xr2:uid="{C5504F11-B981-4B14-ADE7-D2035F1A09B0}"/>
  </bookViews>
  <sheets>
    <sheet name="QnA" sheetId="24" r:id="rId1"/>
    <sheet name="Actuals &gt;" sheetId="25" r:id="rId2"/>
    <sheet name="ID Fiche" sheetId="77" r:id="rId3"/>
    <sheet name="Historiek" sheetId="26" r:id="rId4"/>
    <sheet name="Balans" sheetId="30" r:id="rId5"/>
    <sheet name="Resultaten" sheetId="31" r:id="rId6"/>
    <sheet name="Summary" sheetId="29" r:id="rId7"/>
    <sheet name="Analyse&gt;" sheetId="14" r:id="rId8"/>
    <sheet name="BP - Monthly" sheetId="51" r:id="rId9"/>
    <sheet name="BP - Annual" sheetId="16" r:id="rId10"/>
    <sheet name="KPI grafiek" sheetId="73" r:id="rId11"/>
    <sheet name="Inkomsten - detail" sheetId="52" r:id="rId12"/>
    <sheet name="D&amp;DG - detail" sheetId="53" r:id="rId13"/>
    <sheet name="Bezoldigingen - detail" sheetId="74" r:id="rId14"/>
    <sheet name="Vergelijking BPs" sheetId="72" r:id="rId15"/>
    <sheet name="Waardering&gt;" sheetId="22" r:id="rId16"/>
    <sheet name="Waardering summary" sheetId="69" r:id="rId17"/>
    <sheet name="DCF" sheetId="18" r:id="rId18"/>
    <sheet name="TM" sheetId="19" r:id="rId19"/>
    <sheet name="MM" sheetId="20" r:id="rId20"/>
    <sheet name="Size premium" sheetId="21" r:id="rId21"/>
    <sheet name="Beta &amp; Gearing" sheetId="65" r:id="rId22"/>
    <sheet name="Structurering &gt;" sheetId="66" r:id="rId23"/>
    <sheet name="LBO" sheetId="75" r:id="rId24"/>
    <sheet name="Rendement" sheetId="76" r:id="rId25"/>
    <sheet name="Bron BP &gt;" sheetId="35" r:id="rId26"/>
  </sheets>
  <externalReferences>
    <externalReference r:id="rId27"/>
    <externalReference r:id="rId28"/>
    <externalReference r:id="rId29"/>
    <externalReference r:id="rId30"/>
    <externalReference r:id="rId31"/>
    <externalReference r:id="rId32"/>
  </externalReferences>
  <definedNames>
    <definedName name="_Order1" hidden="1">255</definedName>
    <definedName name="aantal_vergaderzalen">'[1](input) Basisgegevens'!$B$32</definedName>
    <definedName name="accounting">#REF!</definedName>
    <definedName name="_xlnm.Print_Area" localSheetId="4">Balans!$A$1:$L$58</definedName>
    <definedName name="_xlnm.Print_Area" localSheetId="3">Historiek!$A$1:$E$546</definedName>
    <definedName name="_xlnm.Print_Titles" localSheetId="21">'Beta &amp; Gearing'!$10:$10</definedName>
    <definedName name="B._GRONDWERKEN">#REF!</definedName>
    <definedName name="betaling">[2]Dropboxen!$A$24:$A$33</definedName>
    <definedName name="btwog">'[1](input) Basisgegevens'!$B$12</definedName>
    <definedName name="C._MAGAZIJNUITRUSTING">#REF!</definedName>
    <definedName name="CashStart">#REF!</definedName>
    <definedName name="catOnkosten">OFFSET([2]BackOffice!$A$2,,,COUNTA([2]BackOffice!$A$2:$A$21))</definedName>
    <definedName name="CFcodes">[2]BackOffice!$AI$2:$AI$11</definedName>
    <definedName name="codepl">[2]Dropboxen!$A$55:$A$59</definedName>
    <definedName name="customer_payment_period">[3]Costs!$B$34</definedName>
    <definedName name="d">[4]Dropboxen!$A$53:$A$57</definedName>
    <definedName name="D._MACHINES_PRODUKTIE">#REF!</definedName>
    <definedName name="Departement">OFFSET([2]BackOffice!$R$2,,,COUNTA([2]BackOffice!$R$2:$R$11))</definedName>
    <definedName name="df">[4]Dropboxen!$A$24:$A$33</definedName>
    <definedName name="disconto">'[1](input) Basisgegevens'!$B$61</definedName>
    <definedName name="E._KANTOORMACH.___MEUB.">#REF!</definedName>
    <definedName name="edsb">'[1](input) Basisgegevens'!$B$4</definedName>
    <definedName name="entiteit">OFFSET([2]BackOffice!$AF$2,,,COUNTA([2]BackOffice!$AF$2:$AF$6))</definedName>
    <definedName name="evko">'[1](input) Basisgegevens'!$B$64</definedName>
    <definedName name="evweg">'[1](input) Basisgegevens'!$B$66</definedName>
    <definedName name="ExactAddinConnection" hidden="1">"650"</definedName>
    <definedName name="ExactAddinConnection.600" hidden="1">"LRMSRV02;600;wp;1"</definedName>
    <definedName name="ExactAddinConnection.650" hidden="1">"LRMSRV02;600;wp;1"</definedName>
    <definedName name="ExactAddinReports" hidden="1">1</definedName>
    <definedName name="extra">#REF!</definedName>
    <definedName name="f">'[1](input) Basisgegevens'!$B$6</definedName>
    <definedName name="F._INFORMATICA_MAT.">#REF!</definedName>
    <definedName name="FT_GROUP">'[5]Developing Store'!$D$20</definedName>
    <definedName name="FT_SIMPLE">'[5]Developing Store'!$D$22</definedName>
    <definedName name="FT_SIMPLE_BORDERED">'[5]Developing Store'!$D$24</definedName>
    <definedName name="FT_SUB_GROUP">'[5]Developing Store'!$D$26</definedName>
    <definedName name="FTEEoY24">#REF!</definedName>
    <definedName name="FTEstart">#REF!</definedName>
    <definedName name="G._LEASING">#REF!</definedName>
    <definedName name="gbinfl">'[1](input) Basisgegevens'!$B$15</definedName>
    <definedName name="grinfl">'[1](input) Basisgegevens'!$B$14</definedName>
    <definedName name="H._ROLLEND_MATERIEEL">#REF!</definedName>
    <definedName name="hoe">[2]Dropboxen!$A$11:$A$15</definedName>
    <definedName name="huurprseats">'[1](input) Basisgegevens'!$B$20</definedName>
    <definedName name="index" localSheetId="13">[3]Costs!$B$32</definedName>
    <definedName name="index" localSheetId="10">[3]Costs!$B$32</definedName>
    <definedName name="index" localSheetId="14">[3]Costs!$B$32</definedName>
    <definedName name="index">'[1](input) Basisgegevens'!$B$16</definedName>
    <definedName name="indexko">'[6](input) Algemene Kosten'!$B$3</definedName>
    <definedName name="insurance">#REF!</definedName>
    <definedName name="IPprotectioncosts">#REF!</definedName>
    <definedName name="irs">'[1](input) Basisgegevens'!$B$62</definedName>
    <definedName name="itax">'[1](input) Basisgegevens'!$B$9</definedName>
    <definedName name="kantoorruimte">'[1](input) Basisgegevens'!$B$30</definedName>
    <definedName name="KBClijst">[2]Dropboxen!$A$40:$A$45</definedName>
    <definedName name="laptopstuff">#REF!</definedName>
    <definedName name="legalFees">#REF!</definedName>
    <definedName name="lev">[4]Dropboxen!$A$59:$A$215</definedName>
    <definedName name="leverage">'[1](input) Basisgegevens'!$B$58</definedName>
    <definedName name="Leverancier">[2]Dropboxen!$A$61:$A$244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arketingGrowth">#REF!</definedName>
    <definedName name="MobileAndInternet">#REF!</definedName>
    <definedName name="MRRstart">#REF!</definedName>
    <definedName name="netto_opp">'[1](input) Basisgegevens'!$B$29</definedName>
    <definedName name="officeitems">#REF!</definedName>
    <definedName name="OfficeSupplies">#REF!</definedName>
    <definedName name="opp">'[1](input) Basisgegevens'!$B$28</definedName>
    <definedName name="Personen">OFFSET([2]BackOffice!$Z$2,,,COUNTA([2]BackOffice!$Z$2:$Z$21))</definedName>
    <definedName name="PersonenInit">OFFSET([2]BackOffice!$AA$2,,,COUNTA([2]BackOffice!$AA$2:$AA$21))</definedName>
    <definedName name="PLcodes">[2]BackOffice!$AK$2:$AK$11</definedName>
    <definedName name="production">#REF!</definedName>
    <definedName name="project_payment_period">[3]Costs!$B$33</definedName>
    <definedName name="prototype">#REF!</definedName>
    <definedName name="regulatorycost">#REF!</definedName>
    <definedName name="rent">#REF!</definedName>
    <definedName name="rentekt">'[1](input) Basisgegevens'!$B$56</definedName>
    <definedName name="rentelt">'[1](input) Basisgegevens'!$B$57</definedName>
    <definedName name="ropbrkt">'[1](input) Basisgegevens'!$B$59</definedName>
    <definedName name="sb">'[1](input) Basisgegevens'!$B$3</definedName>
    <definedName name="seats">'[1](input) Basisgegevens'!$B$31</definedName>
    <definedName name="supplier_payment_period">[3]Costs!$B$35</definedName>
    <definedName name="tax">'[1](input) Basisgegevens'!$B$8</definedName>
    <definedName name="te_zoeken_subsidies">'[1](input) Basisgegevens'!$B$54</definedName>
    <definedName name="tooling">#REF!</definedName>
    <definedName name="TOTALEN_PER_JAAR">#REF!</definedName>
    <definedName name="TravelperFTE">#REF!</definedName>
    <definedName name="trial">#REF!</definedName>
    <definedName name="vergoeding_gemeensch">'[1](input) Basisgegevens'!$B$35</definedName>
    <definedName name="vergoeding_vruchtgebruik">'[1](input) Basisgegevens'!$B$34</definedName>
    <definedName name="vks">'[1](input) Basisgegevens'!$B$24</definedName>
    <definedName name="voorwie">[2]Dropboxen!$A$17:$A$22</definedName>
    <definedName name="vvko">'[1](input) Basisgegevens'!$B$65</definedName>
    <definedName name="wan">[4]Dropboxen!$A$3:$A$9</definedName>
    <definedName name="wanneer">[2]Dropboxen!$A$3:$A$9</definedName>
  </definedNames>
  <calcPr calcId="191029" calcMode="autoNoTabl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52" i="16" l="1"/>
  <c r="M52" i="16"/>
  <c r="Q51" i="16"/>
  <c r="P51" i="16"/>
  <c r="O51" i="16"/>
  <c r="N51" i="16"/>
  <c r="M51" i="16"/>
  <c r="E7" i="26"/>
  <c r="E4" i="51" s="1"/>
  <c r="E4" i="16" s="1"/>
  <c r="F4" i="72" s="1"/>
  <c r="BN122" i="51"/>
  <c r="BM122" i="51"/>
  <c r="BL122" i="51"/>
  <c r="BL108" i="51" s="1"/>
  <c r="BK122" i="51"/>
  <c r="BJ122" i="51"/>
  <c r="BK108" i="51" s="1"/>
  <c r="BI122" i="51"/>
  <c r="BH122" i="51"/>
  <c r="BG122" i="51"/>
  <c r="BF122" i="51"/>
  <c r="BG108" i="51" s="1"/>
  <c r="BE122" i="51"/>
  <c r="BD122" i="51"/>
  <c r="BD108" i="51" s="1"/>
  <c r="BC122" i="51"/>
  <c r="BB122" i="51"/>
  <c r="BC108" i="51" s="1"/>
  <c r="BA122" i="51"/>
  <c r="AZ122" i="51"/>
  <c r="AY122" i="51"/>
  <c r="AX122" i="51"/>
  <c r="AY108" i="51" s="1"/>
  <c r="AW122" i="51"/>
  <c r="AV122" i="51"/>
  <c r="AV108" i="51" s="1"/>
  <c r="AU122" i="51"/>
  <c r="AT122" i="51"/>
  <c r="AU108" i="51" s="1"/>
  <c r="AS122" i="51"/>
  <c r="AT108" i="51" s="1"/>
  <c r="AR122" i="51"/>
  <c r="AQ122" i="51"/>
  <c r="AR108" i="51" s="1"/>
  <c r="AP122" i="51"/>
  <c r="AQ108" i="51" s="1"/>
  <c r="AO122" i="51"/>
  <c r="AN122" i="51"/>
  <c r="AN108" i="51" s="1"/>
  <c r="AM122" i="51"/>
  <c r="AL122" i="51"/>
  <c r="AM108" i="51" s="1"/>
  <c r="AK122" i="51"/>
  <c r="AJ122" i="51"/>
  <c r="AI122" i="51"/>
  <c r="AJ108" i="51" s="1"/>
  <c r="AH122" i="51"/>
  <c r="AI108" i="51" s="1"/>
  <c r="AG122" i="51"/>
  <c r="AF122" i="51"/>
  <c r="AF108" i="51" s="1"/>
  <c r="AE122" i="51"/>
  <c r="AD122" i="51"/>
  <c r="AE108" i="51" s="1"/>
  <c r="AC122" i="51"/>
  <c r="AD108" i="51" s="1"/>
  <c r="AB122" i="51"/>
  <c r="AA122" i="51"/>
  <c r="Z122" i="51"/>
  <c r="AA108" i="51" s="1"/>
  <c r="Y122" i="51"/>
  <c r="X122" i="51"/>
  <c r="X108" i="51" s="1"/>
  <c r="W122" i="51"/>
  <c r="V122" i="51"/>
  <c r="W108" i="51" s="1"/>
  <c r="U122" i="51"/>
  <c r="T122" i="51"/>
  <c r="S122" i="51"/>
  <c r="R122" i="51"/>
  <c r="S108" i="51" s="1"/>
  <c r="Q122" i="51"/>
  <c r="P122" i="51"/>
  <c r="P108" i="51" s="1"/>
  <c r="O122" i="51"/>
  <c r="N122" i="51"/>
  <c r="O108" i="51" s="1"/>
  <c r="M122" i="51"/>
  <c r="N108" i="51" s="1"/>
  <c r="L122" i="51"/>
  <c r="K122" i="51"/>
  <c r="L108" i="51" s="1"/>
  <c r="J122" i="51"/>
  <c r="K108" i="51" s="1"/>
  <c r="I122" i="51"/>
  <c r="H122" i="51"/>
  <c r="H108" i="51" s="1"/>
  <c r="G122" i="51"/>
  <c r="BH108" i="51"/>
  <c r="AZ108" i="51"/>
  <c r="AB108" i="51"/>
  <c r="T108" i="51"/>
  <c r="K37" i="16"/>
  <c r="K122" i="16" s="1"/>
  <c r="K108" i="16" s="1"/>
  <c r="J37" i="16"/>
  <c r="J122" i="16" s="1"/>
  <c r="I37" i="16"/>
  <c r="I122" i="16" s="1"/>
  <c r="J108" i="16" s="1"/>
  <c r="H37" i="16"/>
  <c r="H122" i="16" s="1"/>
  <c r="G37" i="16"/>
  <c r="G122" i="16" s="1"/>
  <c r="H108" i="16" s="1"/>
  <c r="F27" i="51"/>
  <c r="E27" i="51"/>
  <c r="D27" i="51"/>
  <c r="F27" i="16"/>
  <c r="E27" i="16"/>
  <c r="D27" i="16"/>
  <c r="K88" i="16"/>
  <c r="J88" i="16"/>
  <c r="I88" i="16"/>
  <c r="H88" i="16"/>
  <c r="G88" i="16"/>
  <c r="K75" i="16"/>
  <c r="J75" i="16"/>
  <c r="I75" i="16"/>
  <c r="H75" i="16"/>
  <c r="G75" i="16"/>
  <c r="BN126" i="51"/>
  <c r="BM126" i="51"/>
  <c r="BL126" i="51"/>
  <c r="BK126" i="51"/>
  <c r="BJ126" i="51"/>
  <c r="BI126" i="51"/>
  <c r="BH126" i="51"/>
  <c r="BG126" i="51"/>
  <c r="BF126" i="51"/>
  <c r="BE126" i="51"/>
  <c r="BD126" i="51"/>
  <c r="BC126" i="51"/>
  <c r="BB126" i="51"/>
  <c r="BA126" i="51"/>
  <c r="AZ126" i="51"/>
  <c r="AY126" i="51"/>
  <c r="AX126" i="51"/>
  <c r="AW126" i="51"/>
  <c r="AV126" i="51"/>
  <c r="AU126" i="51"/>
  <c r="AT126" i="51"/>
  <c r="AS126" i="51"/>
  <c r="AR126" i="51"/>
  <c r="AQ126" i="51"/>
  <c r="AP126" i="51"/>
  <c r="AO126" i="51"/>
  <c r="AN126" i="51"/>
  <c r="AM126" i="51"/>
  <c r="AL126" i="51"/>
  <c r="AK126" i="51"/>
  <c r="AJ126" i="51"/>
  <c r="AI126" i="51"/>
  <c r="AH126" i="51"/>
  <c r="AG126" i="51"/>
  <c r="AF126" i="51"/>
  <c r="AE126" i="51"/>
  <c r="AD126" i="51"/>
  <c r="AC126" i="51"/>
  <c r="AB126" i="51"/>
  <c r="AA126" i="51"/>
  <c r="Z126" i="51"/>
  <c r="Y126" i="51"/>
  <c r="X126" i="51"/>
  <c r="W126" i="51"/>
  <c r="V126" i="51"/>
  <c r="U126" i="51"/>
  <c r="T126" i="51"/>
  <c r="S126" i="51"/>
  <c r="R126" i="51"/>
  <c r="Q126" i="51"/>
  <c r="P126" i="51"/>
  <c r="O126" i="51"/>
  <c r="N126" i="51"/>
  <c r="M126" i="51"/>
  <c r="L126" i="51"/>
  <c r="K126" i="51"/>
  <c r="J126" i="51"/>
  <c r="I126" i="51"/>
  <c r="H126" i="51"/>
  <c r="G126" i="51"/>
  <c r="E6" i="51" l="1"/>
  <c r="E6" i="16" s="1"/>
  <c r="E23" i="16" s="1"/>
  <c r="AK108" i="51"/>
  <c r="BA108" i="51"/>
  <c r="BJ108" i="51"/>
  <c r="I108" i="16"/>
  <c r="U108" i="51"/>
  <c r="I108" i="51"/>
  <c r="R108" i="51"/>
  <c r="Y108" i="51"/>
  <c r="AH108" i="51"/>
  <c r="AO108" i="51"/>
  <c r="AX108" i="51"/>
  <c r="BF108" i="51"/>
  <c r="BM108" i="51"/>
  <c r="Q108" i="51"/>
  <c r="AG108" i="51"/>
  <c r="AW108" i="51"/>
  <c r="BE108" i="51"/>
  <c r="J108" i="51"/>
  <c r="Z108" i="51"/>
  <c r="AP108" i="51"/>
  <c r="BN108" i="51"/>
  <c r="M108" i="51"/>
  <c r="AC108" i="51"/>
  <c r="AS108" i="51"/>
  <c r="BI108" i="51"/>
  <c r="V108" i="51"/>
  <c r="AL108" i="51"/>
  <c r="BB108" i="51"/>
  <c r="K32" i="29"/>
  <c r="K31" i="29"/>
  <c r="J32" i="29"/>
  <c r="I32" i="29"/>
  <c r="H32" i="29"/>
  <c r="G32" i="29"/>
  <c r="F32" i="29"/>
  <c r="E32" i="29"/>
  <c r="D32" i="29"/>
  <c r="C32" i="29"/>
  <c r="J31" i="29"/>
  <c r="I31" i="29"/>
  <c r="H31" i="29"/>
  <c r="G31" i="29"/>
  <c r="F31" i="29"/>
  <c r="E31" i="29"/>
  <c r="D31" i="29"/>
  <c r="C31" i="29"/>
  <c r="B32" i="29"/>
  <c r="B31" i="29"/>
  <c r="K42" i="31"/>
  <c r="J42" i="31"/>
  <c r="I42" i="31"/>
  <c r="H42" i="31"/>
  <c r="G42" i="31"/>
  <c r="F42" i="31"/>
  <c r="E42" i="31"/>
  <c r="D42" i="31"/>
  <c r="C42" i="31"/>
  <c r="K41" i="31"/>
  <c r="J41" i="31"/>
  <c r="I41" i="31"/>
  <c r="H41" i="31"/>
  <c r="G41" i="31"/>
  <c r="F41" i="31"/>
  <c r="E41" i="31"/>
  <c r="D41" i="31"/>
  <c r="C41" i="31"/>
  <c r="K37" i="31"/>
  <c r="J37" i="31"/>
  <c r="I37" i="31"/>
  <c r="H37" i="31"/>
  <c r="G37" i="31"/>
  <c r="F37" i="31"/>
  <c r="E37" i="31"/>
  <c r="D37" i="31"/>
  <c r="C37" i="31"/>
  <c r="K36" i="31"/>
  <c r="J36" i="31"/>
  <c r="I36" i="31"/>
  <c r="H36" i="31"/>
  <c r="G36" i="31"/>
  <c r="F36" i="31"/>
  <c r="E36" i="31"/>
  <c r="D36" i="31"/>
  <c r="C36" i="31"/>
  <c r="K35" i="31"/>
  <c r="J35" i="31"/>
  <c r="I35" i="31"/>
  <c r="H35" i="31"/>
  <c r="G35" i="31"/>
  <c r="F35" i="31"/>
  <c r="E35" i="31"/>
  <c r="D35" i="31"/>
  <c r="C35" i="31"/>
  <c r="K34" i="31"/>
  <c r="K65" i="30" s="1"/>
  <c r="J34" i="31"/>
  <c r="J65" i="30" s="1"/>
  <c r="I34" i="31"/>
  <c r="I65" i="30" s="1"/>
  <c r="H34" i="31"/>
  <c r="H65" i="30" s="1"/>
  <c r="G34" i="31"/>
  <c r="G65" i="30" s="1"/>
  <c r="F34" i="31"/>
  <c r="F65" i="30" s="1"/>
  <c r="O25" i="77" s="1"/>
  <c r="E34" i="31"/>
  <c r="E65" i="30" s="1"/>
  <c r="N25" i="77" s="1"/>
  <c r="D34" i="31"/>
  <c r="D65" i="30" s="1"/>
  <c r="M25" i="77" s="1"/>
  <c r="C34" i="31"/>
  <c r="C65" i="30" s="1"/>
  <c r="L25" i="77" s="1"/>
  <c r="K29" i="31"/>
  <c r="J29" i="31"/>
  <c r="I29" i="31"/>
  <c r="H29" i="31"/>
  <c r="G29" i="31"/>
  <c r="F29" i="31"/>
  <c r="E29" i="31"/>
  <c r="D29" i="31"/>
  <c r="C29" i="31"/>
  <c r="K24" i="31"/>
  <c r="J24" i="31"/>
  <c r="I24" i="31"/>
  <c r="H24" i="31"/>
  <c r="G24" i="31"/>
  <c r="F24" i="31"/>
  <c r="E24" i="31"/>
  <c r="D24" i="31"/>
  <c r="C24" i="31"/>
  <c r="K23" i="31"/>
  <c r="J23" i="31"/>
  <c r="I23" i="31"/>
  <c r="H23" i="31"/>
  <c r="G23" i="31"/>
  <c r="F23" i="31"/>
  <c r="E23" i="31"/>
  <c r="D23" i="31"/>
  <c r="C23" i="31"/>
  <c r="K22" i="31"/>
  <c r="J22" i="31"/>
  <c r="I22" i="31"/>
  <c r="H22" i="31"/>
  <c r="G22" i="31"/>
  <c r="F22" i="31"/>
  <c r="E22" i="31"/>
  <c r="D22" i="31"/>
  <c r="C22" i="31"/>
  <c r="K21" i="31"/>
  <c r="J21" i="31"/>
  <c r="I21" i="31"/>
  <c r="H21" i="31"/>
  <c r="G21" i="31"/>
  <c r="F21" i="31"/>
  <c r="E21" i="31"/>
  <c r="D21" i="31"/>
  <c r="C21" i="31"/>
  <c r="K16" i="31"/>
  <c r="J16" i="31"/>
  <c r="I16" i="31"/>
  <c r="H16" i="31"/>
  <c r="G16" i="31"/>
  <c r="F16" i="31"/>
  <c r="E16" i="31"/>
  <c r="D16" i="31"/>
  <c r="C16" i="31"/>
  <c r="K15" i="31"/>
  <c r="J15" i="31"/>
  <c r="I15" i="31"/>
  <c r="H15" i="31"/>
  <c r="G15" i="31"/>
  <c r="F15" i="31"/>
  <c r="F58" i="51" s="1"/>
  <c r="E15" i="31"/>
  <c r="E58" i="51" s="1"/>
  <c r="D15" i="31"/>
  <c r="D58" i="51" s="1"/>
  <c r="C15" i="31"/>
  <c r="K14" i="31"/>
  <c r="J14" i="31"/>
  <c r="I14" i="31"/>
  <c r="H14" i="31"/>
  <c r="G14" i="31"/>
  <c r="F14" i="31"/>
  <c r="E14" i="31"/>
  <c r="D14" i="31"/>
  <c r="C14" i="31"/>
  <c r="K8" i="31"/>
  <c r="J8" i="31"/>
  <c r="I8" i="31"/>
  <c r="H8" i="31"/>
  <c r="G8" i="31"/>
  <c r="F8" i="31"/>
  <c r="E8" i="31"/>
  <c r="D8" i="31"/>
  <c r="C8" i="31"/>
  <c r="K7" i="31"/>
  <c r="K12" i="31" s="1"/>
  <c r="K7" i="29" s="1"/>
  <c r="J7" i="31"/>
  <c r="J12" i="31" s="1"/>
  <c r="I7" i="31"/>
  <c r="I12" i="31" s="1"/>
  <c r="H7" i="31"/>
  <c r="G7" i="31"/>
  <c r="F7" i="31"/>
  <c r="F52" i="16" s="1"/>
  <c r="E7" i="31"/>
  <c r="D7" i="31"/>
  <c r="C7" i="31"/>
  <c r="C12" i="31" s="1"/>
  <c r="B42" i="31"/>
  <c r="B41" i="31"/>
  <c r="B37" i="31"/>
  <c r="B36" i="31"/>
  <c r="B35" i="31"/>
  <c r="B34" i="31"/>
  <c r="B29" i="31"/>
  <c r="B24" i="31"/>
  <c r="B23" i="31"/>
  <c r="B22" i="31"/>
  <c r="B21" i="31"/>
  <c r="B16" i="31"/>
  <c r="B15" i="31"/>
  <c r="B14" i="31"/>
  <c r="B8" i="31"/>
  <c r="B7" i="31"/>
  <c r="K87" i="30"/>
  <c r="J87" i="30"/>
  <c r="I87" i="30"/>
  <c r="H87" i="30"/>
  <c r="G87" i="30"/>
  <c r="F87" i="30"/>
  <c r="E87" i="30"/>
  <c r="D87" i="30"/>
  <c r="C87" i="30"/>
  <c r="K86" i="30"/>
  <c r="J86" i="30"/>
  <c r="I86" i="30"/>
  <c r="H86" i="30"/>
  <c r="G86" i="30"/>
  <c r="F86" i="30"/>
  <c r="E86" i="30"/>
  <c r="D86" i="30"/>
  <c r="C86" i="30"/>
  <c r="K69" i="30"/>
  <c r="K68" i="30"/>
  <c r="K53" i="30"/>
  <c r="J53" i="30"/>
  <c r="I53" i="30"/>
  <c r="H53" i="30"/>
  <c r="G53" i="30"/>
  <c r="F53" i="30"/>
  <c r="E53" i="30"/>
  <c r="D53" i="30"/>
  <c r="C53" i="30"/>
  <c r="K52" i="30"/>
  <c r="J52" i="30"/>
  <c r="I52" i="30"/>
  <c r="H52" i="30"/>
  <c r="G52" i="30"/>
  <c r="F52" i="30"/>
  <c r="E52" i="30"/>
  <c r="D52" i="30"/>
  <c r="C52" i="30"/>
  <c r="K50" i="30"/>
  <c r="J50" i="30"/>
  <c r="I50" i="30"/>
  <c r="H50" i="30"/>
  <c r="G50" i="30"/>
  <c r="F50" i="30"/>
  <c r="E50" i="30"/>
  <c r="D50" i="30"/>
  <c r="C50" i="30"/>
  <c r="K47" i="30"/>
  <c r="J47" i="30"/>
  <c r="I47" i="30"/>
  <c r="H47" i="30"/>
  <c r="G47" i="30"/>
  <c r="F47" i="30"/>
  <c r="E47" i="30"/>
  <c r="D47" i="30"/>
  <c r="C47" i="30"/>
  <c r="K43" i="30"/>
  <c r="J43" i="30"/>
  <c r="I43" i="30"/>
  <c r="H43" i="30"/>
  <c r="G43" i="30"/>
  <c r="F43" i="30"/>
  <c r="E43" i="30"/>
  <c r="D43" i="30"/>
  <c r="C43" i="30"/>
  <c r="K36" i="30"/>
  <c r="J36" i="30"/>
  <c r="I36" i="30"/>
  <c r="H36" i="30"/>
  <c r="G36" i="30"/>
  <c r="F36" i="30"/>
  <c r="E36" i="30"/>
  <c r="D36" i="30"/>
  <c r="C36" i="30"/>
  <c r="K34" i="30"/>
  <c r="J34" i="30"/>
  <c r="I34" i="30"/>
  <c r="H34" i="30"/>
  <c r="G34" i="30"/>
  <c r="F34" i="30"/>
  <c r="E34" i="30"/>
  <c r="D34" i="30"/>
  <c r="C34" i="30"/>
  <c r="K24" i="30"/>
  <c r="J24" i="30"/>
  <c r="I24" i="30"/>
  <c r="H24" i="30"/>
  <c r="G24" i="30"/>
  <c r="F24" i="30"/>
  <c r="E24" i="30"/>
  <c r="D24" i="30"/>
  <c r="C24" i="30"/>
  <c r="K22" i="30"/>
  <c r="J22" i="30"/>
  <c r="I22" i="30"/>
  <c r="H22" i="30"/>
  <c r="G22" i="30"/>
  <c r="F22" i="30"/>
  <c r="E22" i="30"/>
  <c r="D22" i="30"/>
  <c r="C22" i="30"/>
  <c r="K21" i="30"/>
  <c r="J21" i="30"/>
  <c r="I21" i="30"/>
  <c r="H21" i="30"/>
  <c r="G21" i="30"/>
  <c r="F21" i="30"/>
  <c r="E21" i="30"/>
  <c r="D21" i="30"/>
  <c r="C21" i="30"/>
  <c r="K11" i="30"/>
  <c r="J11" i="30"/>
  <c r="I11" i="30"/>
  <c r="H11" i="30"/>
  <c r="G11" i="30"/>
  <c r="F11" i="30"/>
  <c r="E11" i="30"/>
  <c r="D11" i="30"/>
  <c r="C11" i="30"/>
  <c r="K10" i="30"/>
  <c r="J10" i="30"/>
  <c r="I10" i="30"/>
  <c r="H10" i="30"/>
  <c r="G10" i="30"/>
  <c r="F10" i="30"/>
  <c r="E10" i="30"/>
  <c r="D10" i="30"/>
  <c r="C10" i="30"/>
  <c r="K9" i="30"/>
  <c r="J9" i="30"/>
  <c r="I9" i="30"/>
  <c r="H9" i="30"/>
  <c r="G9" i="30"/>
  <c r="F9" i="30"/>
  <c r="E9" i="30"/>
  <c r="D9" i="30"/>
  <c r="C9" i="30"/>
  <c r="K7" i="30"/>
  <c r="K17" i="29" s="1"/>
  <c r="J7" i="30"/>
  <c r="I7" i="30"/>
  <c r="H7" i="30"/>
  <c r="G7" i="30"/>
  <c r="F7" i="30"/>
  <c r="O16" i="77" s="1"/>
  <c r="E7" i="30"/>
  <c r="N16" i="77" s="1"/>
  <c r="D7" i="30"/>
  <c r="M16" i="77" s="1"/>
  <c r="C7" i="30"/>
  <c r="L16" i="77" s="1"/>
  <c r="K6" i="30"/>
  <c r="J6" i="30"/>
  <c r="I6" i="30"/>
  <c r="H6" i="30"/>
  <c r="G6" i="30"/>
  <c r="F6" i="30"/>
  <c r="E6" i="30"/>
  <c r="D6" i="30"/>
  <c r="C6" i="30"/>
  <c r="B87" i="30"/>
  <c r="B86" i="30"/>
  <c r="B53" i="30"/>
  <c r="B52" i="30"/>
  <c r="B50" i="30"/>
  <c r="B47" i="30"/>
  <c r="B43" i="30"/>
  <c r="B36" i="30"/>
  <c r="B34" i="30"/>
  <c r="B24" i="30"/>
  <c r="B22" i="30"/>
  <c r="B21" i="30"/>
  <c r="B11" i="30"/>
  <c r="B10" i="30"/>
  <c r="B9" i="30"/>
  <c r="B7" i="30"/>
  <c r="K16" i="77" s="1"/>
  <c r="B6" i="30"/>
  <c r="O41" i="77"/>
  <c r="N41" i="77"/>
  <c r="M41" i="77"/>
  <c r="L41" i="77"/>
  <c r="O7" i="77"/>
  <c r="N7" i="77"/>
  <c r="M7" i="77"/>
  <c r="L7" i="77"/>
  <c r="K7" i="77"/>
  <c r="AP35" i="77"/>
  <c r="AO35" i="77"/>
  <c r="AH35" i="77"/>
  <c r="AG35" i="77"/>
  <c r="Z35" i="77"/>
  <c r="Y35" i="77"/>
  <c r="AV41" i="77"/>
  <c r="AU41" i="77"/>
  <c r="AT41" i="77"/>
  <c r="AS41" i="77"/>
  <c r="AR41" i="77"/>
  <c r="AQ41" i="77"/>
  <c r="AP41" i="77"/>
  <c r="AO41" i="77"/>
  <c r="AN41" i="77"/>
  <c r="AM41" i="77"/>
  <c r="AL41" i="77"/>
  <c r="AK41" i="77"/>
  <c r="AJ41" i="77"/>
  <c r="AI41" i="77"/>
  <c r="AH41" i="77"/>
  <c r="AG41" i="77"/>
  <c r="AF41" i="77"/>
  <c r="AE41" i="77"/>
  <c r="AD41" i="77"/>
  <c r="AC41" i="77"/>
  <c r="AB41" i="77"/>
  <c r="AA41" i="77"/>
  <c r="Z41" i="77"/>
  <c r="Y41" i="77"/>
  <c r="X41" i="77"/>
  <c r="W41" i="77"/>
  <c r="V41" i="77"/>
  <c r="U41" i="77"/>
  <c r="T41" i="77"/>
  <c r="S41" i="77"/>
  <c r="R41" i="77"/>
  <c r="Q41" i="77"/>
  <c r="P41" i="77"/>
  <c r="AV40" i="77"/>
  <c r="AU40" i="77"/>
  <c r="AT40" i="77"/>
  <c r="AS40" i="77"/>
  <c r="AR40" i="77"/>
  <c r="AQ40" i="77"/>
  <c r="AP40" i="77"/>
  <c r="AO40" i="77"/>
  <c r="AN40" i="77"/>
  <c r="AM40" i="77"/>
  <c r="AL40" i="77"/>
  <c r="AK40" i="77"/>
  <c r="AJ40" i="77"/>
  <c r="AI40" i="77"/>
  <c r="AH40" i="77"/>
  <c r="AG40" i="77"/>
  <c r="AF40" i="77"/>
  <c r="AE40" i="77"/>
  <c r="AD40" i="77"/>
  <c r="AC40" i="77"/>
  <c r="AB40" i="77"/>
  <c r="AA40" i="77"/>
  <c r="Z40" i="77"/>
  <c r="Y40" i="77"/>
  <c r="X40" i="77"/>
  <c r="W40" i="77"/>
  <c r="V40" i="77"/>
  <c r="P40" i="77"/>
  <c r="AV35" i="77"/>
  <c r="AU35" i="77"/>
  <c r="AT35" i="77"/>
  <c r="AS35" i="77"/>
  <c r="AR35" i="77"/>
  <c r="AQ35" i="77"/>
  <c r="AN35" i="77"/>
  <c r="AM35" i="77"/>
  <c r="AL35" i="77"/>
  <c r="AK35" i="77"/>
  <c r="AJ35" i="77"/>
  <c r="AI35" i="77"/>
  <c r="AF35" i="77"/>
  <c r="AE35" i="77"/>
  <c r="AD35" i="77"/>
  <c r="AC35" i="77"/>
  <c r="AB35" i="77"/>
  <c r="AA35" i="77"/>
  <c r="X35" i="77"/>
  <c r="W35" i="77"/>
  <c r="V35" i="77"/>
  <c r="P35" i="77"/>
  <c r="AV34" i="77"/>
  <c r="AU34" i="77"/>
  <c r="AT34" i="77"/>
  <c r="AS34" i="77"/>
  <c r="AR34" i="77"/>
  <c r="AQ34" i="77"/>
  <c r="AP34" i="77"/>
  <c r="AO34" i="77"/>
  <c r="AN34" i="77"/>
  <c r="AM34" i="77"/>
  <c r="AL34" i="77"/>
  <c r="AK34" i="77"/>
  <c r="AJ34" i="77"/>
  <c r="AI34" i="77"/>
  <c r="AH34" i="77"/>
  <c r="AG34" i="77"/>
  <c r="AF34" i="77"/>
  <c r="AE34" i="77"/>
  <c r="AD34" i="77"/>
  <c r="AC34" i="77"/>
  <c r="AB34" i="77"/>
  <c r="AA34" i="77"/>
  <c r="Z34" i="77"/>
  <c r="Y34" i="77"/>
  <c r="X34" i="77"/>
  <c r="W34" i="77"/>
  <c r="V34" i="77"/>
  <c r="P34" i="77"/>
  <c r="AV33" i="77"/>
  <c r="AU33" i="77"/>
  <c r="AT33" i="77"/>
  <c r="AS33" i="77"/>
  <c r="AR33" i="77"/>
  <c r="AQ33" i="77"/>
  <c r="AP33" i="77"/>
  <c r="AO33" i="77"/>
  <c r="AN33" i="77"/>
  <c r="AM33" i="77"/>
  <c r="AL33" i="77"/>
  <c r="AK33" i="77"/>
  <c r="AJ33" i="77"/>
  <c r="AI33" i="77"/>
  <c r="AH33" i="77"/>
  <c r="AG33" i="77"/>
  <c r="AF33" i="77"/>
  <c r="AE33" i="77"/>
  <c r="AD33" i="77"/>
  <c r="AC33" i="77"/>
  <c r="AB33" i="77"/>
  <c r="AA33" i="77"/>
  <c r="Z33" i="77"/>
  <c r="Y33" i="77"/>
  <c r="X33" i="77"/>
  <c r="W33" i="77"/>
  <c r="V33" i="77"/>
  <c r="P33" i="77"/>
  <c r="AV32" i="77"/>
  <c r="AU32" i="77"/>
  <c r="AT32" i="77"/>
  <c r="AS32" i="77"/>
  <c r="AR32" i="77"/>
  <c r="AQ32" i="77"/>
  <c r="AP32" i="77"/>
  <c r="AO32" i="77"/>
  <c r="AN32" i="77"/>
  <c r="AM32" i="77"/>
  <c r="AL32" i="77"/>
  <c r="AK32" i="77"/>
  <c r="AJ32" i="77"/>
  <c r="AI32" i="77"/>
  <c r="AH32" i="77"/>
  <c r="AG32" i="77"/>
  <c r="AF32" i="77"/>
  <c r="AE32" i="77"/>
  <c r="AD32" i="77"/>
  <c r="AC32" i="77"/>
  <c r="AB32" i="77"/>
  <c r="AA32" i="77"/>
  <c r="Z32" i="77"/>
  <c r="Y32" i="77"/>
  <c r="X32" i="77"/>
  <c r="W32" i="77"/>
  <c r="V32" i="77"/>
  <c r="P32" i="77"/>
  <c r="K41" i="77"/>
  <c r="D7" i="26"/>
  <c r="B3" i="77"/>
  <c r="J3" i="77" s="1"/>
  <c r="J5" i="77"/>
  <c r="J4" i="77"/>
  <c r="E117" i="16" l="1"/>
  <c r="E135" i="16"/>
  <c r="D37" i="51"/>
  <c r="D122" i="51" s="1"/>
  <c r="D37" i="16"/>
  <c r="D122" i="16" s="1"/>
  <c r="E37" i="16"/>
  <c r="E122" i="16" s="1"/>
  <c r="E37" i="51"/>
  <c r="E122" i="51" s="1"/>
  <c r="F37" i="16"/>
  <c r="F122" i="16" s="1"/>
  <c r="G108" i="16" s="1"/>
  <c r="F37" i="51"/>
  <c r="F122" i="51" s="1"/>
  <c r="G108" i="51" s="1"/>
  <c r="D52" i="16"/>
  <c r="E59" i="51"/>
  <c r="E59" i="16"/>
  <c r="D57" i="51"/>
  <c r="D57" i="16"/>
  <c r="F59" i="51"/>
  <c r="F59" i="16"/>
  <c r="E57" i="51"/>
  <c r="E57" i="16"/>
  <c r="D60" i="51"/>
  <c r="D60" i="16"/>
  <c r="F56" i="51"/>
  <c r="F56" i="16"/>
  <c r="F57" i="51"/>
  <c r="F57" i="16"/>
  <c r="E60" i="51"/>
  <c r="E60" i="16"/>
  <c r="F60" i="51"/>
  <c r="F60" i="16"/>
  <c r="E56" i="51"/>
  <c r="E56" i="16"/>
  <c r="F63" i="51"/>
  <c r="F63" i="16"/>
  <c r="E52" i="51"/>
  <c r="E52" i="16"/>
  <c r="D63" i="51"/>
  <c r="D63" i="16"/>
  <c r="D59" i="51"/>
  <c r="D59" i="16"/>
  <c r="D56" i="51"/>
  <c r="D56" i="16"/>
  <c r="E63" i="51"/>
  <c r="E63" i="16"/>
  <c r="D10" i="16"/>
  <c r="E10" i="16"/>
  <c r="F10" i="16"/>
  <c r="D40" i="51"/>
  <c r="D126" i="51" s="1"/>
  <c r="D40" i="16"/>
  <c r="F39" i="51"/>
  <c r="F39" i="16"/>
  <c r="F16" i="51"/>
  <c r="F16" i="16"/>
  <c r="E18" i="51"/>
  <c r="E18" i="16"/>
  <c r="F40" i="51"/>
  <c r="F126" i="51" s="1"/>
  <c r="F40" i="16"/>
  <c r="E40" i="51"/>
  <c r="E126" i="51" s="1"/>
  <c r="E40" i="16"/>
  <c r="F18" i="51"/>
  <c r="F18" i="16"/>
  <c r="D26" i="51"/>
  <c r="D26" i="16"/>
  <c r="E26" i="51"/>
  <c r="E26" i="16"/>
  <c r="E14" i="51"/>
  <c r="E14" i="16"/>
  <c r="F14" i="51"/>
  <c r="F14" i="16"/>
  <c r="F26" i="51"/>
  <c r="F26" i="16"/>
  <c r="D34" i="51"/>
  <c r="D34" i="16"/>
  <c r="D16" i="51"/>
  <c r="D16" i="16"/>
  <c r="E39" i="51"/>
  <c r="E39" i="16"/>
  <c r="D18" i="51"/>
  <c r="D18" i="16"/>
  <c r="E34" i="51"/>
  <c r="E34" i="16"/>
  <c r="E16" i="51"/>
  <c r="E16" i="16"/>
  <c r="D14" i="51"/>
  <c r="D14" i="16"/>
  <c r="F34" i="51"/>
  <c r="F34" i="16"/>
  <c r="D39" i="51"/>
  <c r="D39" i="16"/>
  <c r="D12" i="31"/>
  <c r="D52" i="51"/>
  <c r="F54" i="31"/>
  <c r="F52" i="51"/>
  <c r="F10" i="51"/>
  <c r="E10" i="51"/>
  <c r="D10" i="51"/>
  <c r="AJ42" i="77"/>
  <c r="AJ44" i="77" s="1"/>
  <c r="V42" i="77"/>
  <c r="V44" i="77" s="1"/>
  <c r="AD42" i="77"/>
  <c r="AD44" i="77" s="1"/>
  <c r="X42" i="77"/>
  <c r="X44" i="77" s="1"/>
  <c r="AF42" i="77"/>
  <c r="AF44" i="77" s="1"/>
  <c r="AV42" i="77"/>
  <c r="AV44" i="77" s="1"/>
  <c r="D20" i="30"/>
  <c r="AR42" i="77"/>
  <c r="AR44" i="77" s="1"/>
  <c r="AI42" i="77"/>
  <c r="AI44" i="77" s="1"/>
  <c r="W42" i="77"/>
  <c r="W44" i="77" s="1"/>
  <c r="AE42" i="77"/>
  <c r="AE44" i="77" s="1"/>
  <c r="B67" i="30"/>
  <c r="D67" i="30"/>
  <c r="H82" i="30"/>
  <c r="E70" i="30"/>
  <c r="K46" i="29"/>
  <c r="I70" i="30"/>
  <c r="G25" i="77"/>
  <c r="G20" i="30"/>
  <c r="AU42" i="77"/>
  <c r="AU44" i="77" s="1"/>
  <c r="D70" i="30"/>
  <c r="I67" i="30"/>
  <c r="AQ42" i="77"/>
  <c r="AQ44" i="77" s="1"/>
  <c r="D82" i="30"/>
  <c r="H8" i="30"/>
  <c r="C20" i="30"/>
  <c r="F70" i="30"/>
  <c r="AL42" i="77"/>
  <c r="AL44" i="77" s="1"/>
  <c r="F8" i="30"/>
  <c r="F11" i="16" s="1"/>
  <c r="P42" i="77"/>
  <c r="P44" i="77" s="1"/>
  <c r="E20" i="30"/>
  <c r="E19" i="31"/>
  <c r="AA42" i="77"/>
  <c r="AA44" i="77" s="1"/>
  <c r="AM42" i="77"/>
  <c r="AM44" i="77" s="1"/>
  <c r="E82" i="30"/>
  <c r="AB42" i="77"/>
  <c r="AB44" i="77" s="1"/>
  <c r="AN42" i="77"/>
  <c r="AN44" i="77" s="1"/>
  <c r="K20" i="30"/>
  <c r="J20" i="30"/>
  <c r="G7" i="26"/>
  <c r="H7" i="26" s="1"/>
  <c r="I7" i="26" s="1"/>
  <c r="J7" i="26" s="1"/>
  <c r="K7" i="26" s="1"/>
  <c r="F6" i="51"/>
  <c r="F4" i="51"/>
  <c r="F4" i="16" s="1"/>
  <c r="C8" i="30"/>
  <c r="L17" i="77" s="1"/>
  <c r="K8" i="30"/>
  <c r="K18" i="29" s="1"/>
  <c r="J8" i="30"/>
  <c r="I8" i="30"/>
  <c r="F67" i="30"/>
  <c r="H50" i="31"/>
  <c r="Z42" i="77"/>
  <c r="Z44" i="77" s="1"/>
  <c r="AH42" i="77"/>
  <c r="AH44" i="77" s="1"/>
  <c r="AP42" i="77"/>
  <c r="AP44" i="77" s="1"/>
  <c r="F20" i="30"/>
  <c r="G82" i="30"/>
  <c r="E8" i="30"/>
  <c r="E11" i="16" s="1"/>
  <c r="D8" i="30"/>
  <c r="D11" i="16" s="1"/>
  <c r="F82" i="30"/>
  <c r="AC42" i="77"/>
  <c r="AC44" i="77" s="1"/>
  <c r="AK42" i="77"/>
  <c r="AK44" i="77" s="1"/>
  <c r="AS42" i="77"/>
  <c r="AS44" i="77" s="1"/>
  <c r="G8" i="30"/>
  <c r="I20" i="30"/>
  <c r="D32" i="31"/>
  <c r="J82" i="30"/>
  <c r="C7" i="26"/>
  <c r="B7" i="26" s="1"/>
  <c r="D4" i="51"/>
  <c r="D4" i="16" s="1"/>
  <c r="E4" i="72" s="1"/>
  <c r="D4" i="72" s="1"/>
  <c r="C4" i="72" s="1"/>
  <c r="D6" i="51"/>
  <c r="D6" i="16" s="1"/>
  <c r="D135" i="16" s="1"/>
  <c r="E67" i="30"/>
  <c r="B70" i="30"/>
  <c r="G27" i="31"/>
  <c r="C82" i="30"/>
  <c r="K82" i="30"/>
  <c r="C27" i="31"/>
  <c r="K27" i="31"/>
  <c r="K9" i="29" s="1"/>
  <c r="E32" i="31"/>
  <c r="H20" i="30"/>
  <c r="C70" i="30"/>
  <c r="D27" i="31"/>
  <c r="F19" i="31"/>
  <c r="F32" i="31"/>
  <c r="D50" i="31"/>
  <c r="K5" i="29"/>
  <c r="AT42" i="77"/>
  <c r="AT44" i="77" s="1"/>
  <c r="I19" i="31"/>
  <c r="E50" i="31"/>
  <c r="I50" i="31"/>
  <c r="F12" i="31"/>
  <c r="Y42" i="77"/>
  <c r="Y44" i="77" s="1"/>
  <c r="AG42" i="77"/>
  <c r="AG44" i="77" s="1"/>
  <c r="AO42" i="77"/>
  <c r="AO44" i="77" s="1"/>
  <c r="K70" i="30"/>
  <c r="H32" i="31"/>
  <c r="I82" i="30"/>
  <c r="H25" i="77"/>
  <c r="E24" i="77"/>
  <c r="F24" i="77"/>
  <c r="C24" i="77"/>
  <c r="D24" i="77"/>
  <c r="F25" i="77"/>
  <c r="G24" i="77"/>
  <c r="H24" i="77"/>
  <c r="H27" i="31"/>
  <c r="G54" i="31"/>
  <c r="G67" i="30"/>
  <c r="G19" i="31"/>
  <c r="I27" i="31"/>
  <c r="J50" i="31"/>
  <c r="H54" i="31"/>
  <c r="H67" i="30"/>
  <c r="E12" i="31"/>
  <c r="H19" i="31"/>
  <c r="J27" i="31"/>
  <c r="G32" i="31"/>
  <c r="C50" i="31"/>
  <c r="K50" i="31"/>
  <c r="I54" i="31"/>
  <c r="G70" i="30"/>
  <c r="C67" i="30"/>
  <c r="K67" i="30"/>
  <c r="H70" i="30"/>
  <c r="H12" i="31"/>
  <c r="C19" i="31"/>
  <c r="K19" i="31"/>
  <c r="E27" i="31"/>
  <c r="J32" i="31"/>
  <c r="F50" i="31"/>
  <c r="D54" i="31"/>
  <c r="J54" i="31"/>
  <c r="J19" i="31"/>
  <c r="I32" i="31"/>
  <c r="K54" i="31"/>
  <c r="D19" i="31"/>
  <c r="F27" i="31"/>
  <c r="C32" i="31"/>
  <c r="K32" i="31"/>
  <c r="K11" i="29" s="1"/>
  <c r="G50" i="31"/>
  <c r="E54" i="31"/>
  <c r="J67" i="30"/>
  <c r="G12" i="31"/>
  <c r="C54" i="31"/>
  <c r="J70" i="30"/>
  <c r="G32" i="77"/>
  <c r="G3" i="77"/>
  <c r="H3" i="77"/>
  <c r="H29" i="77"/>
  <c r="H32" i="77"/>
  <c r="G29" i="77"/>
  <c r="G4" i="77"/>
  <c r="G23" i="77"/>
  <c r="G30" i="77"/>
  <c r="H4" i="77"/>
  <c r="H23" i="77"/>
  <c r="H30" i="77"/>
  <c r="H28" i="77"/>
  <c r="G5" i="77"/>
  <c r="H5" i="77"/>
  <c r="G28" i="77"/>
  <c r="C32" i="77"/>
  <c r="F30" i="77"/>
  <c r="F5" i="77"/>
  <c r="C3" i="77"/>
  <c r="C4" i="77"/>
  <c r="D3" i="77"/>
  <c r="C7" i="77"/>
  <c r="C15" i="77"/>
  <c r="D32" i="77"/>
  <c r="E3" i="77"/>
  <c r="F4" i="77"/>
  <c r="E32" i="77"/>
  <c r="D7" i="77"/>
  <c r="D15" i="77"/>
  <c r="F32" i="77"/>
  <c r="E7" i="77"/>
  <c r="E15" i="77"/>
  <c r="C28" i="77"/>
  <c r="F3" i="77"/>
  <c r="D4" i="77"/>
  <c r="F23" i="77"/>
  <c r="D28" i="77"/>
  <c r="C29" i="77"/>
  <c r="E4" i="77"/>
  <c r="C5" i="77"/>
  <c r="E28" i="77"/>
  <c r="D29" i="77"/>
  <c r="C30" i="77"/>
  <c r="F28" i="77"/>
  <c r="E29" i="77"/>
  <c r="D30" i="77"/>
  <c r="D5" i="77"/>
  <c r="E5" i="77"/>
  <c r="F29" i="77"/>
  <c r="E30" i="77"/>
  <c r="F108" i="51" l="1"/>
  <c r="F108" i="16"/>
  <c r="E108" i="16"/>
  <c r="E108" i="51"/>
  <c r="D23" i="16"/>
  <c r="D117" i="16"/>
  <c r="N17" i="77"/>
  <c r="D16" i="77" s="1"/>
  <c r="E11" i="51"/>
  <c r="O17" i="77"/>
  <c r="E16" i="77" s="1"/>
  <c r="F11" i="51"/>
  <c r="M17" i="77"/>
  <c r="C16" i="77" s="1"/>
  <c r="D11" i="51"/>
  <c r="G4" i="72"/>
  <c r="G4" i="16"/>
  <c r="J5" i="76" s="1"/>
  <c r="BG4" i="51"/>
  <c r="AY4" i="51"/>
  <c r="AQ4" i="51"/>
  <c r="AI4" i="51"/>
  <c r="AA4" i="51"/>
  <c r="S4" i="51"/>
  <c r="K4" i="51"/>
  <c r="BK6" i="51"/>
  <c r="BC6" i="51"/>
  <c r="AU6" i="51"/>
  <c r="AM6" i="51"/>
  <c r="AE6" i="51"/>
  <c r="W6" i="51"/>
  <c r="O6" i="51"/>
  <c r="G6" i="51"/>
  <c r="BN4" i="51"/>
  <c r="BF4" i="51"/>
  <c r="AX4" i="51"/>
  <c r="AP4" i="51"/>
  <c r="AH4" i="51"/>
  <c r="Z4" i="51"/>
  <c r="R4" i="51"/>
  <c r="J4" i="51"/>
  <c r="BJ6" i="51"/>
  <c r="BB6" i="51"/>
  <c r="J6" i="16" s="1"/>
  <c r="J135" i="16" s="1"/>
  <c r="AT6" i="51"/>
  <c r="AL6" i="51"/>
  <c r="AD6" i="51"/>
  <c r="H6" i="16" s="1"/>
  <c r="H135" i="16" s="1"/>
  <c r="V6" i="51"/>
  <c r="N6" i="51"/>
  <c r="F6" i="16"/>
  <c r="F135" i="16" s="1"/>
  <c r="BI4" i="51"/>
  <c r="BA4" i="51"/>
  <c r="AS4" i="51"/>
  <c r="AK4" i="51"/>
  <c r="AC4" i="51"/>
  <c r="U4" i="51"/>
  <c r="M4" i="51"/>
  <c r="BM6" i="51"/>
  <c r="BE6" i="51"/>
  <c r="AO6" i="51"/>
  <c r="AG6" i="51"/>
  <c r="Q6" i="51"/>
  <c r="I6" i="51"/>
  <c r="BH4" i="51"/>
  <c r="AR4" i="51"/>
  <c r="AJ4" i="51"/>
  <c r="AB4" i="51"/>
  <c r="L4" i="51"/>
  <c r="BL6" i="51"/>
  <c r="AV6" i="51"/>
  <c r="AN6" i="51"/>
  <c r="X6" i="51"/>
  <c r="P6" i="51"/>
  <c r="H6" i="51"/>
  <c r="BM4" i="51"/>
  <c r="BE4" i="51"/>
  <c r="AW4" i="51"/>
  <c r="AO4" i="51"/>
  <c r="AG4" i="51"/>
  <c r="Y4" i="51"/>
  <c r="Q4" i="51"/>
  <c r="I4" i="51"/>
  <c r="BI6" i="51"/>
  <c r="BA6" i="51"/>
  <c r="AS6" i="51"/>
  <c r="AK6" i="51"/>
  <c r="AC6" i="51"/>
  <c r="U6" i="51"/>
  <c r="M6" i="51"/>
  <c r="N4" i="51"/>
  <c r="J6" i="51"/>
  <c r="AW6" i="51"/>
  <c r="Y6" i="51"/>
  <c r="AZ4" i="51"/>
  <c r="T4" i="51"/>
  <c r="BD6" i="51"/>
  <c r="AF6" i="51"/>
  <c r="BL4" i="51"/>
  <c r="BD4" i="51"/>
  <c r="AV4" i="51"/>
  <c r="AN4" i="51"/>
  <c r="AF4" i="51"/>
  <c r="X4" i="51"/>
  <c r="P4" i="51"/>
  <c r="H4" i="51"/>
  <c r="BH6" i="51"/>
  <c r="AZ6" i="51"/>
  <c r="AR6" i="51"/>
  <c r="AJ6" i="51"/>
  <c r="AB6" i="51"/>
  <c r="T6" i="51"/>
  <c r="L6" i="51"/>
  <c r="BK4" i="51"/>
  <c r="BC4" i="51"/>
  <c r="AU4" i="51"/>
  <c r="AM4" i="51"/>
  <c r="AE4" i="51"/>
  <c r="W4" i="51"/>
  <c r="O4" i="51"/>
  <c r="G4" i="51"/>
  <c r="BG6" i="51"/>
  <c r="AY6" i="51"/>
  <c r="AQ6" i="51"/>
  <c r="AI6" i="51"/>
  <c r="AA6" i="51"/>
  <c r="S6" i="51"/>
  <c r="K6" i="51"/>
  <c r="BJ4" i="51"/>
  <c r="BB4" i="51"/>
  <c r="AT4" i="51"/>
  <c r="AL4" i="51"/>
  <c r="AD4" i="51"/>
  <c r="V4" i="51"/>
  <c r="BN6" i="51"/>
  <c r="K6" i="16" s="1"/>
  <c r="K135" i="16" s="1"/>
  <c r="BF6" i="51"/>
  <c r="AX6" i="51"/>
  <c r="AP6" i="51"/>
  <c r="I6" i="16" s="1"/>
  <c r="I135" i="16" s="1"/>
  <c r="AH6" i="51"/>
  <c r="Z6" i="51"/>
  <c r="R6" i="51"/>
  <c r="G6" i="16" s="1"/>
  <c r="G135" i="16" s="1"/>
  <c r="J21" i="76"/>
  <c r="J7" i="76"/>
  <c r="I3" i="76"/>
  <c r="I5" i="76"/>
  <c r="D16" i="76"/>
  <c r="E16" i="76" s="1"/>
  <c r="F16" i="76" s="1"/>
  <c r="G16" i="76" s="1"/>
  <c r="D10" i="76"/>
  <c r="E10" i="76" s="1"/>
  <c r="F10" i="76" s="1"/>
  <c r="G10" i="76" s="1"/>
  <c r="G9" i="76"/>
  <c r="G14" i="76" s="1"/>
  <c r="F9" i="76"/>
  <c r="F14" i="76" s="1"/>
  <c r="E9" i="76"/>
  <c r="E14" i="76" s="1"/>
  <c r="D9" i="76"/>
  <c r="D14" i="76" s="1"/>
  <c r="D15" i="76" s="1"/>
  <c r="D8" i="76"/>
  <c r="E8" i="76" s="1"/>
  <c r="F8" i="76" s="1"/>
  <c r="H23" i="16" l="1"/>
  <c r="H117" i="16"/>
  <c r="K23" i="16"/>
  <c r="K117" i="16"/>
  <c r="I23" i="16"/>
  <c r="I117" i="16"/>
  <c r="J23" i="16"/>
  <c r="J117" i="16"/>
  <c r="G23" i="16"/>
  <c r="G117" i="16"/>
  <c r="F23" i="16"/>
  <c r="F117" i="16"/>
  <c r="H4" i="16"/>
  <c r="H4" i="72"/>
  <c r="D18" i="76"/>
  <c r="E15" i="76"/>
  <c r="D17" i="76"/>
  <c r="G8" i="76"/>
  <c r="G11" i="76" s="1"/>
  <c r="G21" i="76" s="1"/>
  <c r="F11" i="76"/>
  <c r="F21" i="76" s="1"/>
  <c r="G20" i="76" s="1"/>
  <c r="D11" i="76"/>
  <c r="D21" i="76" s="1"/>
  <c r="E20" i="76" s="1"/>
  <c r="E11" i="76"/>
  <c r="E21" i="76" s="1"/>
  <c r="F20" i="76" s="1"/>
  <c r="I4" i="16" l="1"/>
  <c r="I4" i="72"/>
  <c r="K5" i="76"/>
  <c r="E18" i="76"/>
  <c r="F15" i="76"/>
  <c r="E17" i="76"/>
  <c r="J4" i="16" l="1"/>
  <c r="J4" i="72"/>
  <c r="L5" i="76"/>
  <c r="G15" i="76"/>
  <c r="F18" i="76"/>
  <c r="F17" i="76"/>
  <c r="K4" i="16" l="1"/>
  <c r="K4" i="72"/>
  <c r="M5" i="76"/>
  <c r="G18" i="76"/>
  <c r="G17" i="76"/>
  <c r="L4" i="72" l="1"/>
  <c r="N5" i="76"/>
  <c r="O5" i="76" s="1"/>
  <c r="P5" i="76" s="1"/>
  <c r="Q5" i="76" s="1"/>
  <c r="C3" i="76"/>
  <c r="M23" i="76"/>
  <c r="L22" i="76"/>
  <c r="K7" i="76"/>
  <c r="L7" i="76" s="1"/>
  <c r="M7" i="76" s="1"/>
  <c r="N7" i="76" s="1"/>
  <c r="O7" i="76" s="1"/>
  <c r="P7" i="76" s="1"/>
  <c r="Q7" i="76" s="1"/>
  <c r="K21" i="76"/>
  <c r="J22" i="76"/>
  <c r="J23" i="76" s="1"/>
  <c r="J24" i="76" s="1"/>
  <c r="K20" i="76"/>
  <c r="L20" i="76" s="1"/>
  <c r="M20" i="76" s="1"/>
  <c r="N20" i="76" s="1"/>
  <c r="O20" i="76" s="1"/>
  <c r="P20" i="76" s="1"/>
  <c r="Q20" i="76" s="1"/>
  <c r="J25" i="76" l="1"/>
  <c r="J26" i="76" l="1"/>
  <c r="J27" i="76" l="1"/>
  <c r="O8" i="76" l="1"/>
  <c r="O11" i="76" s="1"/>
  <c r="O14" i="76" l="1"/>
  <c r="O15" i="76"/>
  <c r="O13" i="76"/>
  <c r="O17" i="76" s="1"/>
  <c r="P8" i="76"/>
  <c r="P11" i="76" s="1"/>
  <c r="P14" i="76" l="1"/>
  <c r="P15" i="76"/>
  <c r="P13" i="76"/>
  <c r="P17" i="76" s="1"/>
  <c r="O25" i="76"/>
  <c r="O18" i="76" s="1"/>
  <c r="Q8" i="76"/>
  <c r="Q11" i="76" s="1"/>
  <c r="Q15" i="76" l="1"/>
  <c r="Q13" i="76"/>
  <c r="Q14" i="76"/>
  <c r="P26" i="76"/>
  <c r="P18" i="76" s="1"/>
  <c r="Q27" i="76" l="1"/>
  <c r="Q18" i="76" s="1"/>
  <c r="Q17" i="76"/>
  <c r="H115" i="75"/>
  <c r="I115" i="75" s="1"/>
  <c r="J115" i="75" s="1"/>
  <c r="K115" i="75" s="1"/>
  <c r="G115" i="75"/>
  <c r="F115" i="75"/>
  <c r="E115" i="75"/>
  <c r="D115" i="75"/>
  <c r="C115" i="75"/>
  <c r="B115" i="75"/>
  <c r="B114" i="75"/>
  <c r="H78" i="75"/>
  <c r="I78" i="75" s="1"/>
  <c r="J78" i="75" s="1"/>
  <c r="G78" i="75"/>
  <c r="F78" i="75"/>
  <c r="E78" i="75"/>
  <c r="D78" i="75"/>
  <c r="C78" i="75"/>
  <c r="B78" i="75"/>
  <c r="H63" i="75"/>
  <c r="I63" i="75" s="1"/>
  <c r="J63" i="75" s="1"/>
  <c r="K63" i="75" s="1"/>
  <c r="G63" i="75"/>
  <c r="F63" i="75"/>
  <c r="E63" i="75"/>
  <c r="D63" i="75"/>
  <c r="C63" i="75"/>
  <c r="B63" i="75"/>
  <c r="B77" i="75"/>
  <c r="K78" i="75" l="1"/>
  <c r="H48" i="75" l="1"/>
  <c r="I48" i="75" s="1"/>
  <c r="J48" i="75" s="1"/>
  <c r="K48" i="75" s="1"/>
  <c r="G48" i="75"/>
  <c r="F48" i="75"/>
  <c r="E48" i="75"/>
  <c r="D48" i="75"/>
  <c r="C48" i="75"/>
  <c r="B48" i="75"/>
  <c r="B62" i="75"/>
  <c r="B47" i="75"/>
  <c r="H26" i="75"/>
  <c r="I26" i="75" s="1"/>
  <c r="J26" i="75" s="1"/>
  <c r="K26" i="75" s="1"/>
  <c r="G26" i="75"/>
  <c r="F26" i="75"/>
  <c r="E26" i="75"/>
  <c r="D26" i="75"/>
  <c r="C26" i="75"/>
  <c r="B26" i="75"/>
  <c r="B3" i="75"/>
  <c r="B25" i="75"/>
  <c r="N14" i="75"/>
  <c r="N13" i="75" s="1"/>
  <c r="O11" i="75"/>
  <c r="E130" i="75"/>
  <c r="F130" i="75" s="1"/>
  <c r="G130" i="75" s="1"/>
  <c r="H130" i="75" s="1"/>
  <c r="I130" i="75" s="1"/>
  <c r="J130" i="75" s="1"/>
  <c r="K130" i="75" s="1"/>
  <c r="C125" i="75"/>
  <c r="D117" i="75"/>
  <c r="E117" i="75" s="1"/>
  <c r="F117" i="75" s="1"/>
  <c r="G117" i="75" s="1"/>
  <c r="H117" i="75" s="1"/>
  <c r="I117" i="75" s="1"/>
  <c r="J117" i="75" s="1"/>
  <c r="K117" i="75" s="1"/>
  <c r="A75" i="75"/>
  <c r="K70" i="75" l="1"/>
  <c r="J70" i="75"/>
  <c r="C123" i="75"/>
  <c r="I70" i="75"/>
  <c r="C124" i="75"/>
  <c r="B3" i="72" l="1"/>
  <c r="C35" i="72"/>
  <c r="C36" i="72" s="1"/>
  <c r="L35" i="72"/>
  <c r="L36" i="72" s="1"/>
  <c r="K35" i="72"/>
  <c r="K36" i="72" s="1"/>
  <c r="J35" i="72"/>
  <c r="J36" i="72" s="1"/>
  <c r="I35" i="72"/>
  <c r="I36" i="72" s="1"/>
  <c r="H35" i="72"/>
  <c r="H36" i="72" s="1"/>
  <c r="G35" i="72"/>
  <c r="G36" i="72" s="1"/>
  <c r="F35" i="72"/>
  <c r="F36" i="72" s="1"/>
  <c r="E35" i="72"/>
  <c r="E36" i="72" s="1"/>
  <c r="D35" i="72"/>
  <c r="D36" i="72" s="1"/>
  <c r="L23" i="72"/>
  <c r="L24" i="72" s="1"/>
  <c r="K23" i="72"/>
  <c r="K24" i="72" s="1"/>
  <c r="J23" i="72"/>
  <c r="J24" i="72" s="1"/>
  <c r="I23" i="72"/>
  <c r="I24" i="72" s="1"/>
  <c r="H23" i="72"/>
  <c r="H24" i="72" s="1"/>
  <c r="G23" i="72"/>
  <c r="G24" i="72" s="1"/>
  <c r="F23" i="72"/>
  <c r="F24" i="72" s="1"/>
  <c r="E23" i="72"/>
  <c r="E24" i="72" s="1"/>
  <c r="D23" i="72"/>
  <c r="D24" i="72" s="1"/>
  <c r="C23" i="72"/>
  <c r="C24" i="72" s="1"/>
  <c r="L34" i="72"/>
  <c r="K34" i="72"/>
  <c r="J34" i="72"/>
  <c r="I34" i="72"/>
  <c r="H34" i="72"/>
  <c r="G34" i="72"/>
  <c r="F34" i="72"/>
  <c r="E34" i="72"/>
  <c r="D34" i="72"/>
  <c r="L32" i="72"/>
  <c r="K32" i="72"/>
  <c r="J32" i="72"/>
  <c r="I32" i="72"/>
  <c r="H32" i="72"/>
  <c r="G32" i="72"/>
  <c r="F32" i="72"/>
  <c r="E32" i="72"/>
  <c r="D32" i="72"/>
  <c r="L30" i="72"/>
  <c r="K30" i="72"/>
  <c r="J30" i="72"/>
  <c r="I30" i="72"/>
  <c r="H30" i="72"/>
  <c r="G30" i="72"/>
  <c r="F30" i="72"/>
  <c r="E30" i="72"/>
  <c r="D30" i="72"/>
  <c r="L28" i="72"/>
  <c r="K28" i="72"/>
  <c r="J28" i="72"/>
  <c r="I28" i="72"/>
  <c r="H28" i="72"/>
  <c r="G28" i="72"/>
  <c r="F28" i="72"/>
  <c r="E28" i="72"/>
  <c r="D28" i="72"/>
  <c r="L26" i="72"/>
  <c r="K26" i="72"/>
  <c r="J26" i="72"/>
  <c r="I26" i="72"/>
  <c r="H26" i="72"/>
  <c r="G26" i="72"/>
  <c r="F26" i="72"/>
  <c r="E26" i="72"/>
  <c r="D26" i="72"/>
  <c r="C34" i="72"/>
  <c r="C32" i="72"/>
  <c r="C30" i="72"/>
  <c r="C28" i="72"/>
  <c r="C26" i="72"/>
  <c r="L22" i="72"/>
  <c r="K22" i="72"/>
  <c r="J22" i="72"/>
  <c r="I22" i="72"/>
  <c r="H22" i="72"/>
  <c r="G22" i="72"/>
  <c r="F22" i="72"/>
  <c r="E22" i="72"/>
  <c r="D22" i="72"/>
  <c r="L20" i="72"/>
  <c r="K20" i="72"/>
  <c r="J20" i="72"/>
  <c r="I20" i="72"/>
  <c r="H20" i="72"/>
  <c r="G20" i="72"/>
  <c r="F20" i="72"/>
  <c r="E20" i="72"/>
  <c r="D20" i="72"/>
  <c r="L18" i="72"/>
  <c r="K18" i="72"/>
  <c r="J18" i="72"/>
  <c r="I18" i="72"/>
  <c r="H18" i="72"/>
  <c r="G18" i="72"/>
  <c r="F18" i="72"/>
  <c r="E18" i="72"/>
  <c r="D18" i="72"/>
  <c r="L16" i="72"/>
  <c r="K16" i="72"/>
  <c r="J16" i="72"/>
  <c r="I16" i="72"/>
  <c r="H16" i="72"/>
  <c r="G16" i="72"/>
  <c r="F16" i="72"/>
  <c r="E16" i="72"/>
  <c r="D16" i="72"/>
  <c r="L14" i="72"/>
  <c r="K14" i="72"/>
  <c r="J14" i="72"/>
  <c r="I14" i="72"/>
  <c r="H14" i="72"/>
  <c r="G14" i="72"/>
  <c r="F14" i="72"/>
  <c r="E14" i="72"/>
  <c r="D14" i="72"/>
  <c r="C22" i="72"/>
  <c r="C20" i="72"/>
  <c r="C18" i="72"/>
  <c r="C16" i="72"/>
  <c r="C14" i="72"/>
  <c r="F11" i="72"/>
  <c r="F12" i="72" s="1"/>
  <c r="E11" i="72"/>
  <c r="E12" i="72" s="1"/>
  <c r="D11" i="72"/>
  <c r="D12" i="72" s="1"/>
  <c r="C11" i="72"/>
  <c r="C12" i="72" s="1"/>
  <c r="J52" i="74"/>
  <c r="J50" i="74"/>
  <c r="K52" i="74"/>
  <c r="I52" i="74"/>
  <c r="H52" i="74"/>
  <c r="G52" i="74"/>
  <c r="K51" i="74"/>
  <c r="J51" i="74"/>
  <c r="I51" i="74"/>
  <c r="H51" i="74"/>
  <c r="G51" i="74"/>
  <c r="K50" i="74"/>
  <c r="I50" i="74"/>
  <c r="H50" i="74"/>
  <c r="G50" i="74"/>
  <c r="K49" i="74"/>
  <c r="J49" i="74"/>
  <c r="I49" i="74"/>
  <c r="H49" i="74"/>
  <c r="G49" i="74"/>
  <c r="K48" i="74"/>
  <c r="J48" i="74"/>
  <c r="I48" i="74"/>
  <c r="H48" i="74"/>
  <c r="G48" i="74"/>
  <c r="K54" i="74"/>
  <c r="J54" i="74"/>
  <c r="I54" i="74"/>
  <c r="H54" i="74"/>
  <c r="G54" i="74"/>
  <c r="F54" i="74"/>
  <c r="E54" i="74"/>
  <c r="D54" i="74"/>
  <c r="F52" i="74"/>
  <c r="E52" i="74"/>
  <c r="D52" i="74"/>
  <c r="F51" i="74"/>
  <c r="E51" i="74"/>
  <c r="D51" i="74"/>
  <c r="F50" i="74"/>
  <c r="E50" i="74"/>
  <c r="D50" i="74"/>
  <c r="F49" i="74"/>
  <c r="E49" i="74"/>
  <c r="D49" i="74"/>
  <c r="F48" i="74"/>
  <c r="E48" i="74"/>
  <c r="D48" i="74"/>
  <c r="K47" i="74"/>
  <c r="J47" i="74"/>
  <c r="I47" i="74"/>
  <c r="H47" i="74"/>
  <c r="G47" i="74"/>
  <c r="F47" i="74"/>
  <c r="E47" i="74"/>
  <c r="D47" i="74"/>
  <c r="C47" i="74"/>
  <c r="C46" i="74"/>
  <c r="BN35" i="74"/>
  <c r="BM35" i="74"/>
  <c r="BL35" i="74"/>
  <c r="BK35" i="74"/>
  <c r="BJ35" i="74"/>
  <c r="BI35" i="74"/>
  <c r="BH35" i="74"/>
  <c r="BG35" i="74"/>
  <c r="BF35" i="74"/>
  <c r="BE35" i="74"/>
  <c r="BD35" i="74"/>
  <c r="BC35" i="74"/>
  <c r="BB35" i="74"/>
  <c r="BA35" i="74"/>
  <c r="AZ35" i="74"/>
  <c r="AY35" i="74"/>
  <c r="AX35" i="74"/>
  <c r="AW35" i="74"/>
  <c r="AV35" i="74"/>
  <c r="AU35" i="74"/>
  <c r="AT35" i="74"/>
  <c r="AS35" i="74"/>
  <c r="AR35" i="74"/>
  <c r="AQ35" i="74"/>
  <c r="AP35" i="74"/>
  <c r="AO35" i="74"/>
  <c r="AN35" i="74"/>
  <c r="AM35" i="74"/>
  <c r="AL35" i="74"/>
  <c r="AK35" i="74"/>
  <c r="AJ35" i="74"/>
  <c r="AI35" i="74"/>
  <c r="AH35" i="74"/>
  <c r="AG35" i="74"/>
  <c r="AF35" i="74"/>
  <c r="AE35" i="74"/>
  <c r="AD35" i="74"/>
  <c r="AC35" i="74"/>
  <c r="AB35" i="74"/>
  <c r="AA35" i="74"/>
  <c r="Z35" i="74"/>
  <c r="Y35" i="74"/>
  <c r="X35" i="74"/>
  <c r="W35" i="74"/>
  <c r="V35" i="74"/>
  <c r="U35" i="74"/>
  <c r="T35" i="74"/>
  <c r="S35" i="74"/>
  <c r="R35" i="74"/>
  <c r="Q35" i="74"/>
  <c r="P35" i="74"/>
  <c r="O35" i="74"/>
  <c r="N35" i="74"/>
  <c r="M35" i="74"/>
  <c r="L35" i="74"/>
  <c r="K35" i="74"/>
  <c r="J35" i="74"/>
  <c r="I35" i="74"/>
  <c r="H35" i="74"/>
  <c r="G35" i="74"/>
  <c r="F35" i="74"/>
  <c r="E35" i="74"/>
  <c r="D35" i="74"/>
  <c r="C35" i="74"/>
  <c r="BN42" i="74"/>
  <c r="BM42" i="74"/>
  <c r="BL42" i="74"/>
  <c r="BK42" i="74"/>
  <c r="BJ42" i="74"/>
  <c r="BI42" i="74"/>
  <c r="BH42" i="74"/>
  <c r="BG42" i="74"/>
  <c r="BF42" i="74"/>
  <c r="BE42" i="74"/>
  <c r="BD42" i="74"/>
  <c r="BC42" i="74"/>
  <c r="BB42" i="74"/>
  <c r="BA42" i="74"/>
  <c r="AZ42" i="74"/>
  <c r="AY42" i="74"/>
  <c r="AX42" i="74"/>
  <c r="AW42" i="74"/>
  <c r="AV42" i="74"/>
  <c r="AU42" i="74"/>
  <c r="AT42" i="74"/>
  <c r="AS42" i="74"/>
  <c r="AR42" i="74"/>
  <c r="AQ42" i="74"/>
  <c r="AP42" i="74"/>
  <c r="AO42" i="74"/>
  <c r="AN42" i="74"/>
  <c r="AM42" i="74"/>
  <c r="AL42" i="74"/>
  <c r="AK42" i="74"/>
  <c r="AJ42" i="74"/>
  <c r="AI42" i="74"/>
  <c r="AH42" i="74"/>
  <c r="AG42" i="74"/>
  <c r="AF42" i="74"/>
  <c r="AE42" i="74"/>
  <c r="AD42" i="74"/>
  <c r="AC42" i="74"/>
  <c r="AB42" i="74"/>
  <c r="AA42" i="74"/>
  <c r="Z42" i="74"/>
  <c r="Y42" i="74"/>
  <c r="X42" i="74"/>
  <c r="W42" i="74"/>
  <c r="V42" i="74"/>
  <c r="U42" i="74"/>
  <c r="T42" i="74"/>
  <c r="S42" i="74"/>
  <c r="R42" i="74"/>
  <c r="Q42" i="74"/>
  <c r="P42" i="74"/>
  <c r="O42" i="74"/>
  <c r="N42" i="74"/>
  <c r="M42" i="74"/>
  <c r="L42" i="74"/>
  <c r="K42" i="74"/>
  <c r="J42" i="74"/>
  <c r="I42" i="74"/>
  <c r="H42" i="74"/>
  <c r="G42" i="74"/>
  <c r="F42" i="74"/>
  <c r="E42" i="74"/>
  <c r="D42" i="74"/>
  <c r="A44" i="74"/>
  <c r="C34" i="74"/>
  <c r="A13" i="74"/>
  <c r="BN11" i="74"/>
  <c r="BM11" i="74"/>
  <c r="BL11" i="74"/>
  <c r="BK11" i="74"/>
  <c r="BJ11" i="74"/>
  <c r="BI11" i="74"/>
  <c r="BH11" i="74"/>
  <c r="BG11" i="74"/>
  <c r="BF11" i="74"/>
  <c r="BE11" i="74"/>
  <c r="BD11" i="74"/>
  <c r="BC11" i="74"/>
  <c r="BB11" i="74"/>
  <c r="BA11" i="74"/>
  <c r="AZ11" i="74"/>
  <c r="AY11" i="74"/>
  <c r="AX11" i="74"/>
  <c r="AW11" i="74"/>
  <c r="AV11" i="74"/>
  <c r="AU11" i="74"/>
  <c r="AT11" i="74"/>
  <c r="AS11" i="74"/>
  <c r="AR11" i="74"/>
  <c r="AQ11" i="74"/>
  <c r="AP11" i="74"/>
  <c r="AO11" i="74"/>
  <c r="AN11" i="74"/>
  <c r="AM11" i="74"/>
  <c r="AL11" i="74"/>
  <c r="AK11" i="74"/>
  <c r="AJ11" i="74"/>
  <c r="AI11" i="74"/>
  <c r="AH11" i="74"/>
  <c r="AG11" i="74"/>
  <c r="AF11" i="74"/>
  <c r="AE11" i="74"/>
  <c r="AD11" i="74"/>
  <c r="AC11" i="74"/>
  <c r="AB11" i="74"/>
  <c r="AA11" i="74"/>
  <c r="Z11" i="74"/>
  <c r="Y11" i="74"/>
  <c r="X11" i="74"/>
  <c r="W11" i="74"/>
  <c r="V11" i="74"/>
  <c r="U11" i="74"/>
  <c r="T11" i="74"/>
  <c r="S11" i="74"/>
  <c r="R11" i="74"/>
  <c r="Q11" i="74"/>
  <c r="P11" i="74"/>
  <c r="O11" i="74"/>
  <c r="N11" i="74"/>
  <c r="M11" i="74"/>
  <c r="L11" i="74"/>
  <c r="K11" i="74"/>
  <c r="J11" i="74"/>
  <c r="I11" i="74"/>
  <c r="H11" i="74"/>
  <c r="G11" i="74"/>
  <c r="BN4" i="74"/>
  <c r="BM4" i="74"/>
  <c r="BL4" i="74"/>
  <c r="BK4" i="74"/>
  <c r="BJ4" i="74"/>
  <c r="BI4" i="74"/>
  <c r="BH4" i="74"/>
  <c r="BG4" i="74"/>
  <c r="BF4" i="74"/>
  <c r="BE4" i="74"/>
  <c r="BD4" i="74"/>
  <c r="BC4" i="74"/>
  <c r="BB4" i="74"/>
  <c r="BA4" i="74"/>
  <c r="AZ4" i="74"/>
  <c r="AY4" i="74"/>
  <c r="AX4" i="74"/>
  <c r="AW4" i="74"/>
  <c r="AV4" i="74"/>
  <c r="AU4" i="74"/>
  <c r="AT4" i="74"/>
  <c r="AS4" i="74"/>
  <c r="AR4" i="74"/>
  <c r="AQ4" i="74"/>
  <c r="AP4" i="74"/>
  <c r="AO4" i="74"/>
  <c r="AN4" i="74"/>
  <c r="AM4" i="74"/>
  <c r="AL4" i="74"/>
  <c r="AK4" i="74"/>
  <c r="AJ4" i="74"/>
  <c r="AI4" i="74"/>
  <c r="AH4" i="74"/>
  <c r="AG4" i="74"/>
  <c r="AF4" i="74"/>
  <c r="AE4" i="74"/>
  <c r="AD4" i="74"/>
  <c r="AC4" i="74"/>
  <c r="AB4" i="74"/>
  <c r="AA4" i="74"/>
  <c r="Z4" i="74"/>
  <c r="Y4" i="74"/>
  <c r="X4" i="74"/>
  <c r="W4" i="74"/>
  <c r="V4" i="74"/>
  <c r="U4" i="74"/>
  <c r="T4" i="74"/>
  <c r="S4" i="74"/>
  <c r="R4" i="74"/>
  <c r="Q4" i="74"/>
  <c r="P4" i="74"/>
  <c r="O4" i="74"/>
  <c r="N4" i="74"/>
  <c r="M4" i="74"/>
  <c r="L4" i="74"/>
  <c r="K4" i="74"/>
  <c r="J4" i="74"/>
  <c r="I4" i="74"/>
  <c r="H4" i="74"/>
  <c r="G4" i="74"/>
  <c r="F4" i="74"/>
  <c r="E4" i="74"/>
  <c r="D4" i="74"/>
  <c r="C4" i="74"/>
  <c r="K21" i="53"/>
  <c r="J21" i="53"/>
  <c r="I21" i="53"/>
  <c r="H21" i="53"/>
  <c r="G21" i="53"/>
  <c r="F21" i="53"/>
  <c r="E21" i="53"/>
  <c r="D21" i="53"/>
  <c r="C21" i="53"/>
  <c r="BN4" i="53"/>
  <c r="BM4" i="53"/>
  <c r="BL4" i="53"/>
  <c r="BK4" i="53"/>
  <c r="BJ4" i="53"/>
  <c r="BI4" i="53"/>
  <c r="BH4" i="53"/>
  <c r="BG4" i="53"/>
  <c r="BF4" i="53"/>
  <c r="BE4" i="53"/>
  <c r="BD4" i="53"/>
  <c r="BC4" i="53"/>
  <c r="BB4" i="53"/>
  <c r="BA4" i="53"/>
  <c r="AZ4" i="53"/>
  <c r="AY4" i="53"/>
  <c r="AX4" i="53"/>
  <c r="AW4" i="53"/>
  <c r="AV4" i="53"/>
  <c r="AU4" i="53"/>
  <c r="AT4" i="53"/>
  <c r="AS4" i="53"/>
  <c r="AR4" i="53"/>
  <c r="AQ4" i="53"/>
  <c r="AP4" i="53"/>
  <c r="AO4" i="53"/>
  <c r="AN4" i="53"/>
  <c r="AM4" i="53"/>
  <c r="AL4" i="53"/>
  <c r="AK4" i="53"/>
  <c r="AJ4" i="53"/>
  <c r="AI4" i="53"/>
  <c r="AH4" i="53"/>
  <c r="AG4" i="53"/>
  <c r="AF4" i="53"/>
  <c r="AE4" i="53"/>
  <c r="AD4" i="53"/>
  <c r="AC4" i="53"/>
  <c r="AB4" i="53"/>
  <c r="AA4" i="53"/>
  <c r="Z4" i="53"/>
  <c r="Y4" i="53"/>
  <c r="X4" i="53"/>
  <c r="W4" i="53"/>
  <c r="V4" i="53"/>
  <c r="U4" i="53"/>
  <c r="T4" i="53"/>
  <c r="S4" i="53"/>
  <c r="R4" i="53"/>
  <c r="Q4" i="53"/>
  <c r="P4" i="53"/>
  <c r="O4" i="53"/>
  <c r="N4" i="53"/>
  <c r="M4" i="53"/>
  <c r="L4" i="53"/>
  <c r="K4" i="53"/>
  <c r="J4" i="53"/>
  <c r="I4" i="53"/>
  <c r="H4" i="53"/>
  <c r="G4" i="53"/>
  <c r="F4" i="53"/>
  <c r="E4" i="53"/>
  <c r="D4" i="53"/>
  <c r="C4" i="53"/>
  <c r="C26" i="52"/>
  <c r="C20" i="52"/>
  <c r="C4" i="52"/>
  <c r="K26" i="52"/>
  <c r="J26" i="52"/>
  <c r="I26" i="52"/>
  <c r="H26" i="52"/>
  <c r="G26" i="52"/>
  <c r="F26" i="52"/>
  <c r="E26" i="52"/>
  <c r="D26" i="52"/>
  <c r="BN20" i="52"/>
  <c r="BM20" i="52"/>
  <c r="BL20" i="52"/>
  <c r="BK20" i="52"/>
  <c r="BJ20" i="52"/>
  <c r="BI20" i="52"/>
  <c r="BH20" i="52"/>
  <c r="BG20" i="52"/>
  <c r="BF20" i="52"/>
  <c r="BE20" i="52"/>
  <c r="BD20" i="52"/>
  <c r="BC20" i="52"/>
  <c r="BB20" i="52"/>
  <c r="BA20" i="52"/>
  <c r="AZ20" i="52"/>
  <c r="AY20" i="52"/>
  <c r="AX20" i="52"/>
  <c r="AW20" i="52"/>
  <c r="AV20" i="52"/>
  <c r="AU20" i="52"/>
  <c r="AT20" i="52"/>
  <c r="AS20" i="52"/>
  <c r="AR20" i="52"/>
  <c r="AQ20" i="52"/>
  <c r="AP20" i="52"/>
  <c r="AO20" i="52"/>
  <c r="AN20" i="52"/>
  <c r="AM20" i="52"/>
  <c r="AL20" i="52"/>
  <c r="AK20" i="52"/>
  <c r="AJ20" i="52"/>
  <c r="AI20" i="52"/>
  <c r="AH20" i="52"/>
  <c r="AG20" i="52"/>
  <c r="AF20" i="52"/>
  <c r="AE20" i="52"/>
  <c r="AD20" i="52"/>
  <c r="AC20" i="52"/>
  <c r="AB20" i="52"/>
  <c r="AA20" i="52"/>
  <c r="Z20" i="52"/>
  <c r="Y20" i="52"/>
  <c r="X20" i="52"/>
  <c r="W20" i="52"/>
  <c r="V20" i="52"/>
  <c r="U20" i="52"/>
  <c r="T20" i="52"/>
  <c r="S20" i="52"/>
  <c r="R20" i="52"/>
  <c r="Q20" i="52"/>
  <c r="P20" i="52"/>
  <c r="O20" i="52"/>
  <c r="N20" i="52"/>
  <c r="M20" i="52"/>
  <c r="L20" i="52"/>
  <c r="K20" i="52"/>
  <c r="J20" i="52"/>
  <c r="I20" i="52"/>
  <c r="H20" i="52"/>
  <c r="G20" i="52"/>
  <c r="F20" i="52"/>
  <c r="E20" i="52"/>
  <c r="D20" i="52"/>
  <c r="BN4" i="52"/>
  <c r="BM4" i="52"/>
  <c r="BL4" i="52"/>
  <c r="BK4" i="52"/>
  <c r="BJ4" i="52"/>
  <c r="BI4" i="52"/>
  <c r="BH4" i="52"/>
  <c r="BG4" i="52"/>
  <c r="BF4" i="52"/>
  <c r="BE4" i="52"/>
  <c r="BD4" i="52"/>
  <c r="BC4" i="52"/>
  <c r="BB4" i="52"/>
  <c r="BA4" i="52"/>
  <c r="AZ4" i="52"/>
  <c r="AY4" i="52"/>
  <c r="AX4" i="52"/>
  <c r="AW4" i="52"/>
  <c r="AV4" i="52"/>
  <c r="AU4" i="52"/>
  <c r="AT4" i="52"/>
  <c r="AS4" i="52"/>
  <c r="AR4" i="52"/>
  <c r="AQ4" i="52"/>
  <c r="AP4" i="52"/>
  <c r="AO4" i="52"/>
  <c r="AN4" i="52"/>
  <c r="AM4" i="52"/>
  <c r="AL4" i="52"/>
  <c r="AK4" i="52"/>
  <c r="AJ4" i="52"/>
  <c r="AI4" i="52"/>
  <c r="AH4" i="52"/>
  <c r="AG4" i="52"/>
  <c r="AF4" i="52"/>
  <c r="AE4" i="52"/>
  <c r="AD4" i="52"/>
  <c r="AC4" i="52"/>
  <c r="AB4" i="52"/>
  <c r="AA4" i="52"/>
  <c r="Z4" i="52"/>
  <c r="Y4" i="52"/>
  <c r="X4" i="52"/>
  <c r="W4" i="52"/>
  <c r="V4" i="52"/>
  <c r="U4" i="52"/>
  <c r="T4" i="52"/>
  <c r="S4" i="52"/>
  <c r="R4" i="52"/>
  <c r="Q4" i="52"/>
  <c r="P4" i="52"/>
  <c r="O4" i="52"/>
  <c r="N4" i="52"/>
  <c r="M4" i="52"/>
  <c r="L4" i="52"/>
  <c r="K4" i="52"/>
  <c r="J4" i="52"/>
  <c r="I4" i="52"/>
  <c r="H4" i="52"/>
  <c r="G4" i="52"/>
  <c r="F4" i="52"/>
  <c r="E4" i="52"/>
  <c r="D4" i="52"/>
  <c r="F11" i="74"/>
  <c r="E11" i="74"/>
  <c r="D11" i="74"/>
  <c r="C3" i="74"/>
  <c r="C4" i="73"/>
  <c r="K58" i="16"/>
  <c r="K7" i="73" s="1"/>
  <c r="J58" i="16"/>
  <c r="J7" i="73" s="1"/>
  <c r="I58" i="16"/>
  <c r="I7" i="73" s="1"/>
  <c r="H58" i="16"/>
  <c r="H7" i="73" s="1"/>
  <c r="G58" i="16"/>
  <c r="G7" i="73" s="1"/>
  <c r="K31" i="53"/>
  <c r="J31" i="53"/>
  <c r="I31" i="53"/>
  <c r="H31" i="53"/>
  <c r="G31" i="53"/>
  <c r="K30" i="53"/>
  <c r="J30" i="53"/>
  <c r="I30" i="53"/>
  <c r="H30" i="53"/>
  <c r="G30" i="53"/>
  <c r="K29" i="53"/>
  <c r="J29" i="53"/>
  <c r="I29" i="53"/>
  <c r="H29" i="53"/>
  <c r="G29" i="53"/>
  <c r="K28" i="53"/>
  <c r="J28" i="53"/>
  <c r="I28" i="53"/>
  <c r="H28" i="53"/>
  <c r="G28" i="53"/>
  <c r="K27" i="53"/>
  <c r="J27" i="53"/>
  <c r="I27" i="53"/>
  <c r="H27" i="53"/>
  <c r="G27" i="53"/>
  <c r="K26" i="53"/>
  <c r="J26" i="53"/>
  <c r="I26" i="53"/>
  <c r="H26" i="53"/>
  <c r="G26" i="53"/>
  <c r="K25" i="53"/>
  <c r="J25" i="53"/>
  <c r="I25" i="53"/>
  <c r="H25" i="53"/>
  <c r="G25" i="53"/>
  <c r="K24" i="53"/>
  <c r="J24" i="53"/>
  <c r="I24" i="53"/>
  <c r="H24" i="53"/>
  <c r="G24" i="53"/>
  <c r="K23" i="53"/>
  <c r="J23" i="53"/>
  <c r="I23" i="53"/>
  <c r="H23" i="53"/>
  <c r="G23" i="53"/>
  <c r="L11" i="72"/>
  <c r="L12" i="72" s="1"/>
  <c r="K11" i="72"/>
  <c r="K12" i="72" s="1"/>
  <c r="I11" i="72"/>
  <c r="I12" i="72" s="1"/>
  <c r="H11" i="72"/>
  <c r="H12" i="72" s="1"/>
  <c r="J11" i="72"/>
  <c r="J12" i="72" s="1"/>
  <c r="F53" i="74" l="1"/>
  <c r="F55" i="74" s="1"/>
  <c r="A1" i="74"/>
  <c r="J53" i="74"/>
  <c r="J55" i="74" s="1"/>
  <c r="I53" i="74"/>
  <c r="I55" i="74" s="1"/>
  <c r="H53" i="74"/>
  <c r="H55" i="74" s="1"/>
  <c r="K53" i="74"/>
  <c r="K55" i="74" s="1"/>
  <c r="D53" i="74"/>
  <c r="D55" i="74" s="1"/>
  <c r="E53" i="74"/>
  <c r="E55" i="74" s="1"/>
  <c r="G53" i="74"/>
  <c r="G55" i="74" s="1"/>
  <c r="G11" i="72"/>
  <c r="G12" i="72" s="1"/>
  <c r="C3" i="53" l="1"/>
  <c r="C20" i="53"/>
  <c r="A18" i="53"/>
  <c r="A30" i="52"/>
  <c r="C25" i="52"/>
  <c r="C19" i="52"/>
  <c r="C3" i="52"/>
  <c r="BN15" i="52"/>
  <c r="BM15" i="52"/>
  <c r="BL15" i="52"/>
  <c r="BK15" i="52"/>
  <c r="BJ15" i="52"/>
  <c r="BI15" i="52"/>
  <c r="BH15" i="52"/>
  <c r="BG15" i="52"/>
  <c r="BF15" i="52"/>
  <c r="BE15" i="52"/>
  <c r="BD15" i="52"/>
  <c r="BC15" i="52"/>
  <c r="BB15" i="52"/>
  <c r="BA15" i="52"/>
  <c r="AZ15" i="52"/>
  <c r="AY15" i="52"/>
  <c r="AX15" i="52"/>
  <c r="AW15" i="52"/>
  <c r="AV15" i="52"/>
  <c r="AU15" i="52"/>
  <c r="AT15" i="52"/>
  <c r="AS15" i="52"/>
  <c r="AR15" i="52"/>
  <c r="AQ15" i="52"/>
  <c r="AP15" i="52"/>
  <c r="AO15" i="52"/>
  <c r="AN15" i="52"/>
  <c r="AM15" i="52"/>
  <c r="AL15" i="52"/>
  <c r="AK15" i="52"/>
  <c r="AJ15" i="52"/>
  <c r="AI15" i="52"/>
  <c r="AH15" i="52"/>
  <c r="AG15" i="52"/>
  <c r="AF15" i="52"/>
  <c r="AE15" i="52"/>
  <c r="AD15" i="52"/>
  <c r="AC15" i="52"/>
  <c r="AB15" i="52"/>
  <c r="AA15" i="52"/>
  <c r="Z15" i="52"/>
  <c r="Y15" i="52"/>
  <c r="X15" i="52"/>
  <c r="W15" i="52"/>
  <c r="V15" i="52"/>
  <c r="U15" i="52"/>
  <c r="T15" i="52"/>
  <c r="S15" i="52"/>
  <c r="R15" i="52"/>
  <c r="Q15" i="52"/>
  <c r="P15" i="52"/>
  <c r="O15" i="52"/>
  <c r="N15" i="52"/>
  <c r="M15" i="52"/>
  <c r="L15" i="52"/>
  <c r="K15" i="52"/>
  <c r="J15" i="52"/>
  <c r="I15" i="52"/>
  <c r="H15" i="52"/>
  <c r="G15" i="52"/>
  <c r="BN7" i="52"/>
  <c r="BM7" i="52"/>
  <c r="BL7" i="52"/>
  <c r="BK7" i="52"/>
  <c r="BJ7" i="52"/>
  <c r="BI7" i="52"/>
  <c r="BH7" i="52"/>
  <c r="BG7" i="52"/>
  <c r="BF7" i="52"/>
  <c r="BE7" i="52"/>
  <c r="BD7" i="52"/>
  <c r="BC7" i="52"/>
  <c r="BB7" i="52"/>
  <c r="BA7" i="52"/>
  <c r="AZ7" i="52"/>
  <c r="AY7" i="52"/>
  <c r="AX7" i="52"/>
  <c r="AW7" i="52"/>
  <c r="AV7" i="52"/>
  <c r="AU7" i="52"/>
  <c r="AT7" i="52"/>
  <c r="AS7" i="52"/>
  <c r="AR7" i="52"/>
  <c r="AQ7" i="52"/>
  <c r="AP7" i="52"/>
  <c r="AO7" i="52"/>
  <c r="AN7" i="52"/>
  <c r="AM7" i="52"/>
  <c r="AL7" i="52"/>
  <c r="AK7" i="52"/>
  <c r="AJ7" i="52"/>
  <c r="AI7" i="52"/>
  <c r="AH7" i="52"/>
  <c r="AG7" i="52"/>
  <c r="AF7" i="52"/>
  <c r="AE7" i="52"/>
  <c r="AD7" i="52"/>
  <c r="AC7" i="52"/>
  <c r="AB7" i="52"/>
  <c r="AA7" i="52"/>
  <c r="Z7" i="52"/>
  <c r="Y7" i="52"/>
  <c r="X7" i="52"/>
  <c r="W7" i="52"/>
  <c r="V7" i="52"/>
  <c r="U7" i="52"/>
  <c r="T7" i="52"/>
  <c r="S7" i="52"/>
  <c r="R7" i="52"/>
  <c r="Q7" i="52"/>
  <c r="P7" i="52"/>
  <c r="O7" i="52"/>
  <c r="N7" i="52"/>
  <c r="M7" i="52"/>
  <c r="L7" i="52"/>
  <c r="K7" i="52"/>
  <c r="J7" i="52"/>
  <c r="I7" i="52"/>
  <c r="H7" i="52"/>
  <c r="C4" i="69"/>
  <c r="D4" i="69"/>
  <c r="E4" i="69"/>
  <c r="L4" i="69" s="1"/>
  <c r="C5" i="69"/>
  <c r="D5" i="69"/>
  <c r="E5" i="69"/>
  <c r="L5" i="69" s="1"/>
  <c r="C6" i="69"/>
  <c r="D6" i="69"/>
  <c r="K6" i="69" s="1"/>
  <c r="E6" i="69"/>
  <c r="L6" i="69" s="1"/>
  <c r="I4" i="69" l="1"/>
  <c r="H4" i="69"/>
  <c r="H5" i="69"/>
  <c r="H6" i="69"/>
  <c r="I5" i="69"/>
  <c r="J4" i="69"/>
  <c r="J5" i="69"/>
  <c r="J6" i="69"/>
  <c r="I6" i="69"/>
  <c r="K4" i="69"/>
  <c r="K5" i="69"/>
  <c r="E76" i="18" l="1"/>
  <c r="H73" i="18"/>
  <c r="E69" i="18"/>
  <c r="E77" i="18" s="1"/>
  <c r="E67" i="18"/>
  <c r="E75" i="18" s="1"/>
  <c r="G65" i="18"/>
  <c r="F65" i="18" s="1"/>
  <c r="F73" i="18" s="1"/>
  <c r="I65" i="18"/>
  <c r="I73" i="18" s="1"/>
  <c r="F51" i="18"/>
  <c r="G51" i="18" s="1"/>
  <c r="H51" i="18" s="1"/>
  <c r="I51" i="18" s="1"/>
  <c r="J51" i="18" s="1"/>
  <c r="J37" i="18"/>
  <c r="J43" i="18" s="1"/>
  <c r="I32" i="18"/>
  <c r="H32" i="18"/>
  <c r="G32" i="18"/>
  <c r="F32" i="18"/>
  <c r="E32" i="18"/>
  <c r="D32" i="18"/>
  <c r="C24" i="18"/>
  <c r="C3" i="18"/>
  <c r="D30" i="18"/>
  <c r="J41" i="18" s="1"/>
  <c r="D29" i="18"/>
  <c r="J34" i="18" s="1"/>
  <c r="E70" i="18" l="1"/>
  <c r="E78" i="18" s="1"/>
  <c r="E41" i="18"/>
  <c r="F41" i="18"/>
  <c r="E66" i="18"/>
  <c r="E74" i="18" s="1"/>
  <c r="G41" i="18"/>
  <c r="H41" i="18"/>
  <c r="I41" i="18"/>
  <c r="J65" i="18"/>
  <c r="J73" i="18" s="1"/>
  <c r="G73" i="18"/>
  <c r="D19" i="18" l="1"/>
  <c r="D20" i="18" s="1"/>
  <c r="D14" i="18"/>
  <c r="D17" i="18" s="1"/>
  <c r="D8" i="18"/>
  <c r="D12" i="18" s="1"/>
  <c r="P38" i="20"/>
  <c r="P31" i="20"/>
  <c r="P39" i="20" s="1"/>
  <c r="P29" i="20"/>
  <c r="P28" i="20" s="1"/>
  <c r="P36" i="20" s="1"/>
  <c r="S35" i="20"/>
  <c r="R27" i="20"/>
  <c r="Q27" i="20" s="1"/>
  <c r="Q35" i="20" s="1"/>
  <c r="T27" i="20"/>
  <c r="T35" i="20" s="1"/>
  <c r="U61" i="20"/>
  <c r="T61" i="20"/>
  <c r="S61" i="20"/>
  <c r="R61" i="20"/>
  <c r="Q61" i="20"/>
  <c r="P61" i="20"/>
  <c r="O61" i="20"/>
  <c r="N61" i="20"/>
  <c r="M61" i="20"/>
  <c r="L61" i="20"/>
  <c r="K61" i="20"/>
  <c r="J61" i="20"/>
  <c r="I61" i="20"/>
  <c r="H61" i="20"/>
  <c r="U60" i="20"/>
  <c r="T60" i="20"/>
  <c r="S60" i="20"/>
  <c r="R60" i="20"/>
  <c r="Q60" i="20"/>
  <c r="P60" i="20"/>
  <c r="O60" i="20"/>
  <c r="N60" i="20"/>
  <c r="M60" i="20"/>
  <c r="L60" i="20"/>
  <c r="K60" i="20"/>
  <c r="J60" i="20"/>
  <c r="I60" i="20"/>
  <c r="H60" i="20"/>
  <c r="U59" i="20"/>
  <c r="T59" i="20"/>
  <c r="S59" i="20"/>
  <c r="R59" i="20"/>
  <c r="Q59" i="20"/>
  <c r="P59" i="20"/>
  <c r="O59" i="20"/>
  <c r="N59" i="20"/>
  <c r="M59" i="20"/>
  <c r="L59" i="20"/>
  <c r="K59" i="20"/>
  <c r="J59" i="20"/>
  <c r="I59" i="20"/>
  <c r="H59" i="20"/>
  <c r="U58" i="20"/>
  <c r="T58" i="20"/>
  <c r="S58" i="20"/>
  <c r="R58" i="20"/>
  <c r="Q58" i="20"/>
  <c r="P58" i="20"/>
  <c r="O58" i="20"/>
  <c r="N58" i="20"/>
  <c r="M58" i="20"/>
  <c r="L58" i="20"/>
  <c r="K58" i="20"/>
  <c r="J58" i="20"/>
  <c r="I58" i="20"/>
  <c r="H58" i="20"/>
  <c r="G61" i="20"/>
  <c r="G60" i="20"/>
  <c r="G59" i="20"/>
  <c r="G58" i="20"/>
  <c r="C44" i="20"/>
  <c r="C3" i="19"/>
  <c r="C3" i="20"/>
  <c r="F19" i="20"/>
  <c r="G19" i="20" s="1"/>
  <c r="F18" i="20"/>
  <c r="G18" i="20" s="1"/>
  <c r="F17" i="20"/>
  <c r="G17" i="20" s="1"/>
  <c r="F16" i="20"/>
  <c r="G16" i="20" s="1"/>
  <c r="K14" i="20"/>
  <c r="F14" i="20"/>
  <c r="G14" i="20" s="1"/>
  <c r="F13" i="20"/>
  <c r="G13" i="20" s="1"/>
  <c r="K12" i="20"/>
  <c r="F12" i="20"/>
  <c r="G12" i="20" s="1"/>
  <c r="F11" i="20"/>
  <c r="G11" i="20" s="1"/>
  <c r="K9" i="20"/>
  <c r="F9" i="20"/>
  <c r="G9" i="20" s="1"/>
  <c r="K8" i="20"/>
  <c r="K13" i="20" s="1"/>
  <c r="F8" i="20"/>
  <c r="G8" i="20" s="1"/>
  <c r="K7" i="20"/>
  <c r="F7" i="20"/>
  <c r="G7" i="20" s="1"/>
  <c r="F6" i="20"/>
  <c r="G6" i="20" s="1"/>
  <c r="L33" i="51"/>
  <c r="I41" i="51"/>
  <c r="BN125" i="51"/>
  <c r="BM125" i="51"/>
  <c r="BL125" i="51"/>
  <c r="BK125" i="51"/>
  <c r="BJ125" i="51"/>
  <c r="BI125" i="51"/>
  <c r="BH125" i="51"/>
  <c r="BG125" i="51"/>
  <c r="BF125" i="51"/>
  <c r="BE125" i="51"/>
  <c r="BD125" i="51"/>
  <c r="BC125" i="51"/>
  <c r="BB125" i="51"/>
  <c r="BA125" i="51"/>
  <c r="AZ125" i="51"/>
  <c r="AY125" i="51"/>
  <c r="AX125" i="51"/>
  <c r="AW125" i="51"/>
  <c r="AV125" i="51"/>
  <c r="AU125" i="51"/>
  <c r="AT125" i="51"/>
  <c r="AS125" i="51"/>
  <c r="AR125" i="51"/>
  <c r="AQ125" i="51"/>
  <c r="AP125" i="51"/>
  <c r="AO125" i="51"/>
  <c r="AN125" i="51"/>
  <c r="AM125" i="51"/>
  <c r="AL125" i="51"/>
  <c r="AK125" i="51"/>
  <c r="AJ125" i="51"/>
  <c r="AI125" i="51"/>
  <c r="AH125" i="51"/>
  <c r="AG125" i="51"/>
  <c r="AF125" i="51"/>
  <c r="AE125" i="51"/>
  <c r="AD125" i="51"/>
  <c r="AC125" i="51"/>
  <c r="AB125" i="51"/>
  <c r="AA125" i="51"/>
  <c r="Z125" i="51"/>
  <c r="Y125" i="51"/>
  <c r="X125" i="51"/>
  <c r="W125" i="51"/>
  <c r="V125" i="51"/>
  <c r="U125" i="51"/>
  <c r="T125" i="51"/>
  <c r="S125" i="51"/>
  <c r="R125" i="51"/>
  <c r="Q125" i="51"/>
  <c r="P125" i="51"/>
  <c r="O125" i="51"/>
  <c r="N125" i="51"/>
  <c r="M125" i="51"/>
  <c r="L125" i="51"/>
  <c r="K125" i="51"/>
  <c r="J125" i="51"/>
  <c r="I125" i="51"/>
  <c r="H125" i="51"/>
  <c r="G125" i="51"/>
  <c r="BN124" i="51"/>
  <c r="BM124" i="51"/>
  <c r="BL124" i="51"/>
  <c r="BK124" i="51"/>
  <c r="BJ124" i="51"/>
  <c r="BI124" i="51"/>
  <c r="BH124" i="51"/>
  <c r="BG124" i="51"/>
  <c r="BF124" i="51"/>
  <c r="BE124" i="51"/>
  <c r="BD124" i="51"/>
  <c r="BC124" i="51"/>
  <c r="BB124" i="51"/>
  <c r="BA124" i="51"/>
  <c r="AZ124" i="51"/>
  <c r="AY124" i="51"/>
  <c r="AX124" i="51"/>
  <c r="AW124" i="51"/>
  <c r="AV124" i="51"/>
  <c r="AU124" i="51"/>
  <c r="AT124" i="51"/>
  <c r="AS124" i="51"/>
  <c r="AR124" i="51"/>
  <c r="AQ124" i="51"/>
  <c r="AP124" i="51"/>
  <c r="AO124" i="51"/>
  <c r="AN124" i="51"/>
  <c r="AM124" i="51"/>
  <c r="AL124" i="51"/>
  <c r="AK124" i="51"/>
  <c r="AJ124" i="51"/>
  <c r="AI124" i="51"/>
  <c r="AH124" i="51"/>
  <c r="AG124" i="51"/>
  <c r="AF124" i="51"/>
  <c r="AE124" i="51"/>
  <c r="AD124" i="51"/>
  <c r="AC124" i="51"/>
  <c r="AB124" i="51"/>
  <c r="AA124" i="51"/>
  <c r="Z124" i="51"/>
  <c r="Y124" i="51"/>
  <c r="X124" i="51"/>
  <c r="W124" i="51"/>
  <c r="V124" i="51"/>
  <c r="U124" i="51"/>
  <c r="T124" i="51"/>
  <c r="S124" i="51"/>
  <c r="R124" i="51"/>
  <c r="Q124" i="51"/>
  <c r="P124" i="51"/>
  <c r="O124" i="51"/>
  <c r="N124" i="51"/>
  <c r="M124" i="51"/>
  <c r="L124" i="51"/>
  <c r="K124" i="51"/>
  <c r="J124" i="51"/>
  <c r="I124" i="51"/>
  <c r="H124" i="51"/>
  <c r="G124" i="51"/>
  <c r="BN123" i="51"/>
  <c r="BM123" i="51"/>
  <c r="BL123" i="51"/>
  <c r="BK123" i="51"/>
  <c r="BJ123" i="51"/>
  <c r="BI123" i="51"/>
  <c r="BH123" i="51"/>
  <c r="BG123" i="51"/>
  <c r="BF123" i="51"/>
  <c r="BE123" i="51"/>
  <c r="BD123" i="51"/>
  <c r="BC123" i="51"/>
  <c r="BB123" i="51"/>
  <c r="BA123" i="51"/>
  <c r="AZ123" i="51"/>
  <c r="AY123" i="51"/>
  <c r="AX123" i="51"/>
  <c r="AW123" i="51"/>
  <c r="AV123" i="51"/>
  <c r="AU123" i="51"/>
  <c r="AT123" i="51"/>
  <c r="AS123" i="51"/>
  <c r="AR123" i="51"/>
  <c r="AQ123" i="51"/>
  <c r="AP123" i="51"/>
  <c r="AO123" i="51"/>
  <c r="AN123" i="51"/>
  <c r="AM123" i="51"/>
  <c r="AL123" i="51"/>
  <c r="AK123" i="51"/>
  <c r="AJ123" i="51"/>
  <c r="AI123" i="51"/>
  <c r="AH123" i="51"/>
  <c r="AG123" i="51"/>
  <c r="AF123" i="51"/>
  <c r="AE123" i="51"/>
  <c r="AD123" i="51"/>
  <c r="AC123" i="51"/>
  <c r="AB123" i="51"/>
  <c r="AA123" i="51"/>
  <c r="Z123" i="51"/>
  <c r="Y123" i="51"/>
  <c r="X123" i="51"/>
  <c r="W123" i="51"/>
  <c r="V123" i="51"/>
  <c r="U123" i="51"/>
  <c r="T123" i="51"/>
  <c r="S123" i="51"/>
  <c r="R123" i="51"/>
  <c r="Q123" i="51"/>
  <c r="P123" i="51"/>
  <c r="O123" i="51"/>
  <c r="N123" i="51"/>
  <c r="M123" i="51"/>
  <c r="L123" i="51"/>
  <c r="K123" i="51"/>
  <c r="J123" i="51"/>
  <c r="I123" i="51"/>
  <c r="H123" i="51"/>
  <c r="G123" i="51"/>
  <c r="BN121" i="51"/>
  <c r="BM121" i="51"/>
  <c r="BL121" i="51"/>
  <c r="BK121" i="51"/>
  <c r="BJ121" i="51"/>
  <c r="BI121" i="51"/>
  <c r="BH121" i="51"/>
  <c r="BG121" i="51"/>
  <c r="BF121" i="51"/>
  <c r="BE121" i="51"/>
  <c r="BD121" i="51"/>
  <c r="BC121" i="51"/>
  <c r="BB121" i="51"/>
  <c r="BA121" i="51"/>
  <c r="AZ121" i="51"/>
  <c r="AY121" i="51"/>
  <c r="AX121" i="51"/>
  <c r="AW121" i="51"/>
  <c r="AV121" i="51"/>
  <c r="AU121" i="51"/>
  <c r="AT121" i="51"/>
  <c r="AS121" i="51"/>
  <c r="AR121" i="51"/>
  <c r="AQ121" i="51"/>
  <c r="AP121" i="51"/>
  <c r="AO121" i="51"/>
  <c r="AN121" i="51"/>
  <c r="AM121" i="51"/>
  <c r="AL121" i="51"/>
  <c r="AK121" i="51"/>
  <c r="AJ121" i="51"/>
  <c r="AI121" i="51"/>
  <c r="AH121" i="51"/>
  <c r="AG121" i="51"/>
  <c r="AF121" i="51"/>
  <c r="AE121" i="51"/>
  <c r="AD121" i="51"/>
  <c r="AC121" i="51"/>
  <c r="AB121" i="51"/>
  <c r="AA121" i="51"/>
  <c r="Z121" i="51"/>
  <c r="Y121" i="51"/>
  <c r="X121" i="51"/>
  <c r="W121" i="51"/>
  <c r="V121" i="51"/>
  <c r="U121" i="51"/>
  <c r="T121" i="51"/>
  <c r="S121" i="51"/>
  <c r="R121" i="51"/>
  <c r="Q121" i="51"/>
  <c r="P121" i="51"/>
  <c r="O121" i="51"/>
  <c r="N121" i="51"/>
  <c r="M121" i="51"/>
  <c r="L121" i="51"/>
  <c r="K121" i="51"/>
  <c r="J121" i="51"/>
  <c r="I121" i="51"/>
  <c r="H121" i="51"/>
  <c r="G121" i="51"/>
  <c r="BN120" i="51"/>
  <c r="BM120" i="51"/>
  <c r="BL120" i="51"/>
  <c r="BK120" i="51"/>
  <c r="BJ120" i="51"/>
  <c r="BI120" i="51"/>
  <c r="BH120" i="51"/>
  <c r="BG120" i="51"/>
  <c r="BF120" i="51"/>
  <c r="BE120" i="51"/>
  <c r="BD120" i="51"/>
  <c r="BC120" i="51"/>
  <c r="BB120" i="51"/>
  <c r="BA120" i="51"/>
  <c r="AZ120" i="51"/>
  <c r="AY120" i="51"/>
  <c r="AX120" i="51"/>
  <c r="AW120" i="51"/>
  <c r="AV120" i="51"/>
  <c r="AU120" i="51"/>
  <c r="AT120" i="51"/>
  <c r="AS120" i="51"/>
  <c r="AR120" i="51"/>
  <c r="AQ120" i="51"/>
  <c r="AP120" i="51"/>
  <c r="AO120" i="51"/>
  <c r="AN120" i="51"/>
  <c r="AM120" i="51"/>
  <c r="AL120" i="51"/>
  <c r="AK120" i="51"/>
  <c r="AJ120" i="51"/>
  <c r="AI120" i="51"/>
  <c r="AH120" i="51"/>
  <c r="AG120" i="51"/>
  <c r="AF120" i="51"/>
  <c r="AE120" i="51"/>
  <c r="AD120" i="51"/>
  <c r="AC120" i="51"/>
  <c r="AB120" i="51"/>
  <c r="AA120" i="51"/>
  <c r="Z120" i="51"/>
  <c r="Y120" i="51"/>
  <c r="X120" i="51"/>
  <c r="W120" i="51"/>
  <c r="V120" i="51"/>
  <c r="U120" i="51"/>
  <c r="T120" i="51"/>
  <c r="S120" i="51"/>
  <c r="R120" i="51"/>
  <c r="Q120" i="51"/>
  <c r="P120" i="51"/>
  <c r="O120" i="51"/>
  <c r="N120" i="51"/>
  <c r="M120" i="51"/>
  <c r="L120" i="51"/>
  <c r="K120" i="51"/>
  <c r="J120" i="51"/>
  <c r="I120" i="51"/>
  <c r="H120" i="51"/>
  <c r="G120" i="51"/>
  <c r="BN119" i="51"/>
  <c r="BM119" i="51"/>
  <c r="BL119" i="51"/>
  <c r="BK119" i="51"/>
  <c r="BJ119" i="51"/>
  <c r="BI119" i="51"/>
  <c r="BH119" i="51"/>
  <c r="BG119" i="51"/>
  <c r="BF119" i="51"/>
  <c r="BE119" i="51"/>
  <c r="BD119" i="51"/>
  <c r="BC119" i="51"/>
  <c r="BB119" i="51"/>
  <c r="BA119" i="51"/>
  <c r="AZ119" i="51"/>
  <c r="AY119" i="51"/>
  <c r="AX119" i="51"/>
  <c r="AW119" i="51"/>
  <c r="AV119" i="51"/>
  <c r="AU119" i="51"/>
  <c r="AT119" i="51"/>
  <c r="AS119" i="51"/>
  <c r="AR119" i="51"/>
  <c r="AQ119" i="51"/>
  <c r="AP119" i="51"/>
  <c r="AO119" i="51"/>
  <c r="AN119" i="51"/>
  <c r="AM119" i="51"/>
  <c r="AL119" i="51"/>
  <c r="AK119" i="51"/>
  <c r="AJ119" i="51"/>
  <c r="AI119" i="51"/>
  <c r="AH119" i="51"/>
  <c r="AG119" i="51"/>
  <c r="AF119" i="51"/>
  <c r="AE119" i="51"/>
  <c r="AD119" i="51"/>
  <c r="AC119" i="51"/>
  <c r="AB119" i="51"/>
  <c r="AA119" i="51"/>
  <c r="Z119" i="51"/>
  <c r="Y119" i="51"/>
  <c r="X119" i="51"/>
  <c r="W119" i="51"/>
  <c r="V119" i="51"/>
  <c r="U119" i="51"/>
  <c r="T119" i="51"/>
  <c r="S119" i="51"/>
  <c r="R119" i="51"/>
  <c r="Q119" i="51"/>
  <c r="P119" i="51"/>
  <c r="O119" i="51"/>
  <c r="N119" i="51"/>
  <c r="M119" i="51"/>
  <c r="L119" i="51"/>
  <c r="K119" i="51"/>
  <c r="J119" i="51"/>
  <c r="I119" i="51"/>
  <c r="H119" i="51"/>
  <c r="G119" i="51"/>
  <c r="BN118" i="51"/>
  <c r="BM118" i="51"/>
  <c r="BL118" i="51"/>
  <c r="BK118" i="51"/>
  <c r="BJ118" i="51"/>
  <c r="BI118" i="51"/>
  <c r="BH118" i="51"/>
  <c r="BG118" i="51"/>
  <c r="BF118" i="51"/>
  <c r="BE118" i="51"/>
  <c r="BD118" i="51"/>
  <c r="BC118" i="51"/>
  <c r="BB118" i="51"/>
  <c r="BA118" i="51"/>
  <c r="AZ118" i="51"/>
  <c r="AY118" i="51"/>
  <c r="AX118" i="51"/>
  <c r="AW118" i="51"/>
  <c r="AV118" i="51"/>
  <c r="AU118" i="51"/>
  <c r="AT118" i="51"/>
  <c r="AS118" i="51"/>
  <c r="AR118" i="51"/>
  <c r="AQ118" i="51"/>
  <c r="AP118" i="51"/>
  <c r="AO118" i="51"/>
  <c r="AN118" i="51"/>
  <c r="AM118" i="51"/>
  <c r="AL118" i="51"/>
  <c r="AK118" i="51"/>
  <c r="AJ118" i="51"/>
  <c r="AI118" i="51"/>
  <c r="AH118" i="51"/>
  <c r="AG118" i="51"/>
  <c r="AF118" i="51"/>
  <c r="AE118" i="51"/>
  <c r="AD118" i="51"/>
  <c r="AC118" i="51"/>
  <c r="AB118" i="51"/>
  <c r="AA118" i="51"/>
  <c r="Z118" i="51"/>
  <c r="Y118" i="51"/>
  <c r="X118" i="51"/>
  <c r="W118" i="51"/>
  <c r="V118" i="51"/>
  <c r="U118" i="51"/>
  <c r="T118" i="51"/>
  <c r="S118" i="51"/>
  <c r="R118" i="51"/>
  <c r="Q118" i="51"/>
  <c r="P118" i="51"/>
  <c r="O118" i="51"/>
  <c r="N118" i="51"/>
  <c r="M118" i="51"/>
  <c r="L118" i="51"/>
  <c r="K118" i="51"/>
  <c r="J118" i="51"/>
  <c r="I118" i="51"/>
  <c r="H118" i="51"/>
  <c r="G118" i="51"/>
  <c r="S54" i="19"/>
  <c r="P57" i="19"/>
  <c r="P50" i="19"/>
  <c r="P58" i="19" s="1"/>
  <c r="P48" i="19"/>
  <c r="P47" i="19" s="1"/>
  <c r="P55" i="19" s="1"/>
  <c r="R46" i="19"/>
  <c r="R54" i="19" s="1"/>
  <c r="T46" i="19"/>
  <c r="U46" i="19" s="1"/>
  <c r="U54" i="19" s="1"/>
  <c r="K14" i="19"/>
  <c r="K9" i="19"/>
  <c r="K7" i="19"/>
  <c r="K12" i="19"/>
  <c r="K8" i="19"/>
  <c r="K13" i="19" s="1"/>
  <c r="I42" i="19"/>
  <c r="H41" i="19"/>
  <c r="C26" i="19"/>
  <c r="H42" i="19"/>
  <c r="I41" i="19"/>
  <c r="I40" i="19"/>
  <c r="H40" i="19"/>
  <c r="I39" i="19"/>
  <c r="H39" i="19"/>
  <c r="G42" i="19"/>
  <c r="G41" i="19"/>
  <c r="G40" i="19"/>
  <c r="G39" i="19"/>
  <c r="F19" i="19"/>
  <c r="G19" i="19" s="1"/>
  <c r="F18" i="19"/>
  <c r="G18" i="19" s="1"/>
  <c r="F17" i="19"/>
  <c r="G17" i="19" s="1"/>
  <c r="F16" i="19"/>
  <c r="G16" i="19" s="1"/>
  <c r="F14" i="19"/>
  <c r="G14" i="19" s="1"/>
  <c r="F13" i="19"/>
  <c r="G13" i="19" s="1"/>
  <c r="F12" i="19"/>
  <c r="G12" i="19" s="1"/>
  <c r="F11" i="19"/>
  <c r="G11" i="19" s="1"/>
  <c r="F9" i="19"/>
  <c r="G9" i="19" s="1"/>
  <c r="F8" i="19"/>
  <c r="G8" i="19" s="1"/>
  <c r="F7" i="19"/>
  <c r="G7" i="19" s="1"/>
  <c r="F6" i="19"/>
  <c r="G6" i="19" s="1"/>
  <c r="K70" i="16"/>
  <c r="J70" i="16"/>
  <c r="I70" i="16"/>
  <c r="H70" i="16"/>
  <c r="G70" i="16"/>
  <c r="K69" i="16"/>
  <c r="J69" i="16"/>
  <c r="I69" i="16"/>
  <c r="H69" i="16"/>
  <c r="G69" i="16"/>
  <c r="K67" i="16"/>
  <c r="J67" i="16"/>
  <c r="I67" i="16"/>
  <c r="H67" i="16"/>
  <c r="G67" i="16"/>
  <c r="K66" i="16"/>
  <c r="J66" i="16"/>
  <c r="I66" i="16"/>
  <c r="H66" i="16"/>
  <c r="G66" i="16"/>
  <c r="G49" i="16"/>
  <c r="K32" i="16"/>
  <c r="J32" i="16"/>
  <c r="I32" i="16"/>
  <c r="H32" i="16"/>
  <c r="G32" i="16"/>
  <c r="K31" i="16"/>
  <c r="J31" i="16"/>
  <c r="I31" i="16"/>
  <c r="H31" i="16"/>
  <c r="G31" i="16"/>
  <c r="K103" i="16"/>
  <c r="J103" i="16"/>
  <c r="I103" i="16"/>
  <c r="H103" i="16"/>
  <c r="G103" i="16"/>
  <c r="F103" i="16"/>
  <c r="E103" i="16"/>
  <c r="D103" i="16"/>
  <c r="C103" i="16"/>
  <c r="K81" i="16"/>
  <c r="J81" i="16"/>
  <c r="I81" i="16"/>
  <c r="H81" i="16"/>
  <c r="G81" i="16"/>
  <c r="F81" i="16"/>
  <c r="E81" i="16"/>
  <c r="D81" i="16"/>
  <c r="C81" i="16"/>
  <c r="K48" i="16"/>
  <c r="J48" i="16"/>
  <c r="I48" i="16"/>
  <c r="H48" i="16"/>
  <c r="G48" i="16"/>
  <c r="G5" i="73" s="1"/>
  <c r="F48" i="16"/>
  <c r="F5" i="73" s="1"/>
  <c r="E48" i="16"/>
  <c r="E5" i="73" s="1"/>
  <c r="D48" i="16"/>
  <c r="D5" i="73" s="1"/>
  <c r="C48" i="16"/>
  <c r="C5" i="73" s="1"/>
  <c r="C134" i="16"/>
  <c r="C116" i="16"/>
  <c r="C102" i="16"/>
  <c r="C80" i="16"/>
  <c r="C47" i="16"/>
  <c r="C22" i="16"/>
  <c r="C8" i="16"/>
  <c r="C9" i="16"/>
  <c r="C32" i="18" s="1"/>
  <c r="K9" i="16"/>
  <c r="J9" i="16"/>
  <c r="I9" i="16"/>
  <c r="H9" i="16"/>
  <c r="G9" i="16"/>
  <c r="F9" i="16"/>
  <c r="E9" i="16"/>
  <c r="D9" i="16"/>
  <c r="BN135" i="51"/>
  <c r="BM135" i="51"/>
  <c r="BL135" i="51"/>
  <c r="BK135" i="51"/>
  <c r="BJ135" i="51"/>
  <c r="BI135" i="51"/>
  <c r="BH135" i="51"/>
  <c r="BG135" i="51"/>
  <c r="BF135" i="51"/>
  <c r="BE135" i="51"/>
  <c r="BD135" i="51"/>
  <c r="BC135" i="51"/>
  <c r="BB135" i="51"/>
  <c r="BA135" i="51"/>
  <c r="AZ135" i="51"/>
  <c r="AY135" i="51"/>
  <c r="AX135" i="51"/>
  <c r="AW135" i="51"/>
  <c r="AV135" i="51"/>
  <c r="AU135" i="51"/>
  <c r="AT135" i="51"/>
  <c r="AS135" i="51"/>
  <c r="AR135" i="51"/>
  <c r="AQ135" i="51"/>
  <c r="AP135" i="51"/>
  <c r="AO135" i="51"/>
  <c r="AN135" i="51"/>
  <c r="AM135" i="51"/>
  <c r="AL135" i="51"/>
  <c r="AK135" i="51"/>
  <c r="AJ135" i="51"/>
  <c r="AI135" i="51"/>
  <c r="AH135" i="51"/>
  <c r="AG135" i="51"/>
  <c r="AF135" i="51"/>
  <c r="AE135" i="51"/>
  <c r="AD135" i="51"/>
  <c r="AC135" i="51"/>
  <c r="AB135" i="51"/>
  <c r="AA135" i="51"/>
  <c r="Z135" i="51"/>
  <c r="Y135" i="51"/>
  <c r="X135" i="51"/>
  <c r="W135" i="51"/>
  <c r="V135" i="51"/>
  <c r="U135" i="51"/>
  <c r="T135" i="51"/>
  <c r="S135" i="51"/>
  <c r="R135" i="51"/>
  <c r="Q135" i="51"/>
  <c r="P135" i="51"/>
  <c r="O135" i="51"/>
  <c r="N135" i="51"/>
  <c r="M135" i="51"/>
  <c r="L135" i="51"/>
  <c r="K135" i="51"/>
  <c r="J135" i="51"/>
  <c r="I135" i="51"/>
  <c r="H135" i="51"/>
  <c r="G135" i="51"/>
  <c r="F135" i="51"/>
  <c r="E135" i="51"/>
  <c r="D135" i="51"/>
  <c r="C135" i="51"/>
  <c r="BN117" i="51"/>
  <c r="BM117" i="51"/>
  <c r="BL117" i="51"/>
  <c r="BK117" i="51"/>
  <c r="BJ117" i="51"/>
  <c r="BI117" i="51"/>
  <c r="BH117" i="51"/>
  <c r="BG117" i="51"/>
  <c r="BF117" i="51"/>
  <c r="BE117" i="51"/>
  <c r="BD117" i="51"/>
  <c r="BC117" i="51"/>
  <c r="BB117" i="51"/>
  <c r="BA117" i="51"/>
  <c r="AZ117" i="51"/>
  <c r="AY117" i="51"/>
  <c r="AX117" i="51"/>
  <c r="AW117" i="51"/>
  <c r="AV117" i="51"/>
  <c r="AU117" i="51"/>
  <c r="AT117" i="51"/>
  <c r="AS117" i="51"/>
  <c r="AR117" i="51"/>
  <c r="AQ117" i="51"/>
  <c r="AP117" i="51"/>
  <c r="AO117" i="51"/>
  <c r="AN117" i="51"/>
  <c r="AM117" i="51"/>
  <c r="AL117" i="51"/>
  <c r="AK117" i="51"/>
  <c r="AJ117" i="51"/>
  <c r="AI117" i="51"/>
  <c r="AH117" i="51"/>
  <c r="AG117" i="51"/>
  <c r="AF117" i="51"/>
  <c r="AE117" i="51"/>
  <c r="AD117" i="51"/>
  <c r="AC117" i="51"/>
  <c r="AB117" i="51"/>
  <c r="AA117" i="51"/>
  <c r="Z117" i="51"/>
  <c r="Y117" i="51"/>
  <c r="X117" i="51"/>
  <c r="W117" i="51"/>
  <c r="V117" i="51"/>
  <c r="U117" i="51"/>
  <c r="T117" i="51"/>
  <c r="S117" i="51"/>
  <c r="R117" i="51"/>
  <c r="Q117" i="51"/>
  <c r="P117" i="51"/>
  <c r="O117" i="51"/>
  <c r="N117" i="51"/>
  <c r="M117" i="51"/>
  <c r="L117" i="51"/>
  <c r="K117" i="51"/>
  <c r="J117" i="51"/>
  <c r="I117" i="51"/>
  <c r="H117" i="51"/>
  <c r="G117" i="51"/>
  <c r="F117" i="51"/>
  <c r="E117" i="51"/>
  <c r="D117" i="51"/>
  <c r="C117" i="51"/>
  <c r="BN103" i="51"/>
  <c r="BM103" i="51"/>
  <c r="BL103" i="51"/>
  <c r="BK103" i="51"/>
  <c r="BJ103" i="51"/>
  <c r="BI103" i="51"/>
  <c r="BH103" i="51"/>
  <c r="BG103" i="51"/>
  <c r="BF103" i="51"/>
  <c r="BE103" i="51"/>
  <c r="BD103" i="51"/>
  <c r="BC103" i="51"/>
  <c r="BB103" i="51"/>
  <c r="BA103" i="51"/>
  <c r="AZ103" i="51"/>
  <c r="AY103" i="51"/>
  <c r="AX103" i="51"/>
  <c r="AW103" i="51"/>
  <c r="AV103" i="51"/>
  <c r="AU103" i="51"/>
  <c r="AT103" i="51"/>
  <c r="AS103" i="51"/>
  <c r="AR103" i="51"/>
  <c r="AQ103" i="51"/>
  <c r="AP103" i="51"/>
  <c r="AO103" i="51"/>
  <c r="AN103" i="51"/>
  <c r="AM103" i="51"/>
  <c r="AL103" i="51"/>
  <c r="AK103" i="51"/>
  <c r="AJ103" i="51"/>
  <c r="AI103" i="51"/>
  <c r="AH103" i="51"/>
  <c r="AG103" i="51"/>
  <c r="AF103" i="51"/>
  <c r="AE103" i="51"/>
  <c r="AD103" i="51"/>
  <c r="AC103" i="51"/>
  <c r="AB103" i="51"/>
  <c r="AA103" i="51"/>
  <c r="Z103" i="51"/>
  <c r="Y103" i="51"/>
  <c r="X103" i="51"/>
  <c r="W103" i="51"/>
  <c r="V103" i="51"/>
  <c r="U103" i="51"/>
  <c r="T103" i="51"/>
  <c r="S103" i="51"/>
  <c r="R103" i="51"/>
  <c r="Q103" i="51"/>
  <c r="P103" i="51"/>
  <c r="O103" i="51"/>
  <c r="N103" i="51"/>
  <c r="M103" i="51"/>
  <c r="L103" i="51"/>
  <c r="K103" i="51"/>
  <c r="J103" i="51"/>
  <c r="I103" i="51"/>
  <c r="H103" i="51"/>
  <c r="G103" i="51"/>
  <c r="F103" i="51"/>
  <c r="E103" i="51"/>
  <c r="D103" i="51"/>
  <c r="C103" i="51"/>
  <c r="BN81" i="51"/>
  <c r="BM81" i="51"/>
  <c r="BL81" i="51"/>
  <c r="BK81" i="51"/>
  <c r="BJ81" i="51"/>
  <c r="BI81" i="51"/>
  <c r="BH81" i="51"/>
  <c r="BG81" i="51"/>
  <c r="BF81" i="51"/>
  <c r="BE81" i="51"/>
  <c r="BD81" i="51"/>
  <c r="BC81" i="51"/>
  <c r="BB81" i="51"/>
  <c r="BA81" i="51"/>
  <c r="AZ81" i="51"/>
  <c r="AY81" i="51"/>
  <c r="AX81" i="51"/>
  <c r="AW81" i="51"/>
  <c r="AV81" i="51"/>
  <c r="AU81" i="51"/>
  <c r="AT81" i="51"/>
  <c r="AS81" i="51"/>
  <c r="AR81" i="51"/>
  <c r="AQ81" i="51"/>
  <c r="AP81" i="51"/>
  <c r="AO81" i="51"/>
  <c r="AN81" i="51"/>
  <c r="AM81" i="51"/>
  <c r="AL81" i="51"/>
  <c r="AK81" i="51"/>
  <c r="AJ81" i="51"/>
  <c r="AI81" i="51"/>
  <c r="AH81" i="51"/>
  <c r="AG81" i="51"/>
  <c r="AF81" i="51"/>
  <c r="AE81" i="51"/>
  <c r="AD81" i="51"/>
  <c r="AC81" i="51"/>
  <c r="AB81" i="51"/>
  <c r="AA81" i="51"/>
  <c r="Z81" i="51"/>
  <c r="Y81" i="51"/>
  <c r="X81" i="51"/>
  <c r="W81" i="51"/>
  <c r="V81" i="51"/>
  <c r="U81" i="51"/>
  <c r="T81" i="51"/>
  <c r="S81" i="51"/>
  <c r="R81" i="51"/>
  <c r="Q81" i="51"/>
  <c r="P81" i="51"/>
  <c r="O81" i="51"/>
  <c r="N81" i="51"/>
  <c r="M81" i="51"/>
  <c r="L81" i="51"/>
  <c r="K81" i="51"/>
  <c r="J81" i="51"/>
  <c r="I81" i="51"/>
  <c r="H81" i="51"/>
  <c r="G81" i="51"/>
  <c r="F81" i="51"/>
  <c r="E81" i="51"/>
  <c r="D81" i="51"/>
  <c r="C81" i="51"/>
  <c r="BN48" i="51"/>
  <c r="BM48" i="51"/>
  <c r="BL48" i="51"/>
  <c r="BK48" i="51"/>
  <c r="BJ48" i="51"/>
  <c r="BI48" i="51"/>
  <c r="BH48" i="51"/>
  <c r="BG48" i="51"/>
  <c r="BF48" i="51"/>
  <c r="BE48" i="51"/>
  <c r="BD48" i="51"/>
  <c r="BC48" i="51"/>
  <c r="BB48" i="51"/>
  <c r="BA48" i="51"/>
  <c r="AZ48" i="51"/>
  <c r="AY48" i="51"/>
  <c r="AX48" i="51"/>
  <c r="AW48" i="51"/>
  <c r="AV48" i="51"/>
  <c r="AU48" i="51"/>
  <c r="AT48" i="51"/>
  <c r="AS48" i="51"/>
  <c r="AR48" i="51"/>
  <c r="AQ48" i="51"/>
  <c r="AP48" i="51"/>
  <c r="AO48" i="51"/>
  <c r="AN48" i="51"/>
  <c r="AM48" i="51"/>
  <c r="AL48" i="51"/>
  <c r="AK48" i="51"/>
  <c r="AJ48" i="51"/>
  <c r="AI48" i="51"/>
  <c r="AH48" i="51"/>
  <c r="AG48" i="51"/>
  <c r="AF48" i="51"/>
  <c r="AE48" i="51"/>
  <c r="AD48" i="51"/>
  <c r="AC48" i="51"/>
  <c r="AB48" i="51"/>
  <c r="AA48" i="51"/>
  <c r="Z48" i="51"/>
  <c r="Y48" i="51"/>
  <c r="X48" i="51"/>
  <c r="W48" i="51"/>
  <c r="V48" i="51"/>
  <c r="U48" i="51"/>
  <c r="T48" i="51"/>
  <c r="S48" i="51"/>
  <c r="R48" i="51"/>
  <c r="Q48" i="51"/>
  <c r="P48" i="51"/>
  <c r="O48" i="51"/>
  <c r="N48" i="51"/>
  <c r="M48" i="51"/>
  <c r="L48" i="51"/>
  <c r="K48" i="51"/>
  <c r="J48" i="51"/>
  <c r="I48" i="51"/>
  <c r="H48" i="51"/>
  <c r="G48" i="51"/>
  <c r="F48" i="51"/>
  <c r="E48" i="51"/>
  <c r="D48" i="51"/>
  <c r="C48" i="51"/>
  <c r="F23" i="51"/>
  <c r="BN23" i="51"/>
  <c r="BM23" i="51"/>
  <c r="BL23" i="51"/>
  <c r="BK23" i="51"/>
  <c r="BJ23" i="51"/>
  <c r="BI23" i="51"/>
  <c r="BH23" i="51"/>
  <c r="BG23" i="51"/>
  <c r="BF23" i="51"/>
  <c r="BE23" i="51"/>
  <c r="BD23" i="51"/>
  <c r="BC23" i="51"/>
  <c r="BB23" i="51"/>
  <c r="BA23" i="51"/>
  <c r="AZ23" i="51"/>
  <c r="AY23" i="51"/>
  <c r="AX23" i="51"/>
  <c r="AW23" i="51"/>
  <c r="AV23" i="51"/>
  <c r="AU23" i="51"/>
  <c r="AT23" i="51"/>
  <c r="AS23" i="51"/>
  <c r="AR23" i="51"/>
  <c r="AQ23" i="51"/>
  <c r="AP23" i="51"/>
  <c r="AO23" i="51"/>
  <c r="AN23" i="51"/>
  <c r="AM23" i="51"/>
  <c r="AL23" i="51"/>
  <c r="AK23" i="51"/>
  <c r="AJ23" i="51"/>
  <c r="AI23" i="51"/>
  <c r="AH23" i="51"/>
  <c r="AG23" i="51"/>
  <c r="AF23" i="51"/>
  <c r="AE23" i="51"/>
  <c r="AD23" i="51"/>
  <c r="AC23" i="51"/>
  <c r="AB23" i="51"/>
  <c r="AA23" i="51"/>
  <c r="Z23" i="51"/>
  <c r="Y23" i="51"/>
  <c r="X23" i="51"/>
  <c r="W23" i="51"/>
  <c r="V23" i="51"/>
  <c r="U23" i="51"/>
  <c r="T23" i="51"/>
  <c r="S23" i="51"/>
  <c r="R23" i="51"/>
  <c r="Q23" i="51"/>
  <c r="P23" i="51"/>
  <c r="O23" i="51"/>
  <c r="N23" i="51"/>
  <c r="M23" i="51"/>
  <c r="L23" i="51"/>
  <c r="K23" i="51"/>
  <c r="J23" i="51"/>
  <c r="I23" i="51"/>
  <c r="H23" i="51"/>
  <c r="G23" i="51"/>
  <c r="E23" i="51"/>
  <c r="D23" i="51"/>
  <c r="C23" i="51"/>
  <c r="BN9" i="51"/>
  <c r="BM9" i="51"/>
  <c r="BL9" i="51"/>
  <c r="BK9" i="51"/>
  <c r="BJ9" i="51"/>
  <c r="BI9" i="51"/>
  <c r="BH9" i="51"/>
  <c r="BG9" i="51"/>
  <c r="BF9" i="51"/>
  <c r="BE9" i="51"/>
  <c r="BD9" i="51"/>
  <c r="BC9" i="51"/>
  <c r="BB9" i="51"/>
  <c r="BA9" i="51"/>
  <c r="AZ9" i="51"/>
  <c r="AY9" i="51"/>
  <c r="AX9" i="51"/>
  <c r="AW9" i="51"/>
  <c r="AV9" i="51"/>
  <c r="AU9" i="51"/>
  <c r="AT9" i="51"/>
  <c r="AS9" i="51"/>
  <c r="AR9" i="51"/>
  <c r="AQ9" i="51"/>
  <c r="AP9" i="51"/>
  <c r="AO9" i="51"/>
  <c r="AN9" i="51"/>
  <c r="AM9" i="51"/>
  <c r="AL9" i="51"/>
  <c r="AK9" i="51"/>
  <c r="AJ9" i="51"/>
  <c r="AI9" i="51"/>
  <c r="AH9" i="51"/>
  <c r="AG9" i="51"/>
  <c r="AF9" i="51"/>
  <c r="AE9" i="51"/>
  <c r="AD9" i="51"/>
  <c r="AC9" i="51"/>
  <c r="AB9" i="51"/>
  <c r="AA9" i="51"/>
  <c r="Z9" i="51"/>
  <c r="Y9" i="51"/>
  <c r="X9" i="51"/>
  <c r="W9" i="51"/>
  <c r="V9" i="51"/>
  <c r="U9" i="51"/>
  <c r="T9" i="51"/>
  <c r="S9" i="51"/>
  <c r="R9" i="51"/>
  <c r="Q9" i="51"/>
  <c r="P9" i="51"/>
  <c r="O9" i="51"/>
  <c r="N9" i="51"/>
  <c r="M9" i="51"/>
  <c r="L9" i="51"/>
  <c r="K9" i="51"/>
  <c r="J9" i="51"/>
  <c r="I9" i="51"/>
  <c r="H9" i="51"/>
  <c r="G9" i="51"/>
  <c r="F9" i="51"/>
  <c r="E9" i="51"/>
  <c r="D9" i="51"/>
  <c r="C9" i="51"/>
  <c r="BN33" i="51"/>
  <c r="BM33" i="51"/>
  <c r="BL33" i="51"/>
  <c r="BK33" i="51"/>
  <c r="BJ33" i="51"/>
  <c r="BI33" i="51"/>
  <c r="BH33" i="51"/>
  <c r="BG33" i="51"/>
  <c r="BF33" i="51"/>
  <c r="BE33" i="51"/>
  <c r="BD33" i="51"/>
  <c r="BC33" i="51"/>
  <c r="BB33" i="51"/>
  <c r="BA33" i="51"/>
  <c r="AZ33" i="51"/>
  <c r="AY33" i="51"/>
  <c r="AX33" i="51"/>
  <c r="AW33" i="51"/>
  <c r="AV33" i="51"/>
  <c r="AU33" i="51"/>
  <c r="AT33" i="51"/>
  <c r="AS33" i="51"/>
  <c r="AR33" i="51"/>
  <c r="AQ33" i="51"/>
  <c r="AP33" i="51"/>
  <c r="AO33" i="51"/>
  <c r="AN33" i="51"/>
  <c r="AM33" i="51"/>
  <c r="AL33" i="51"/>
  <c r="AK33" i="51"/>
  <c r="AJ33" i="51"/>
  <c r="AI33" i="51"/>
  <c r="AH33" i="51"/>
  <c r="AG33" i="51"/>
  <c r="AF33" i="51"/>
  <c r="AE33" i="51"/>
  <c r="AD33" i="51"/>
  <c r="AC33" i="51"/>
  <c r="AB33" i="51"/>
  <c r="AA33" i="51"/>
  <c r="Z33" i="51"/>
  <c r="Y33" i="51"/>
  <c r="X33" i="51"/>
  <c r="W33" i="51"/>
  <c r="V33" i="51"/>
  <c r="U33" i="51"/>
  <c r="T33" i="51"/>
  <c r="S33" i="51"/>
  <c r="R33" i="51"/>
  <c r="Q33" i="51"/>
  <c r="P33" i="51"/>
  <c r="O33" i="51"/>
  <c r="N33" i="51"/>
  <c r="M33" i="51"/>
  <c r="K33" i="51"/>
  <c r="J33" i="51"/>
  <c r="I33" i="51"/>
  <c r="H33" i="51"/>
  <c r="G33" i="51"/>
  <c r="BN92" i="51"/>
  <c r="BM92" i="51"/>
  <c r="BL92" i="51"/>
  <c r="BK92" i="51"/>
  <c r="BJ92" i="51"/>
  <c r="BI92" i="51"/>
  <c r="BH92" i="51"/>
  <c r="BG92" i="51"/>
  <c r="BF92" i="51"/>
  <c r="BE92" i="51"/>
  <c r="BD92" i="51"/>
  <c r="BC92" i="51"/>
  <c r="BB92" i="51"/>
  <c r="BA92" i="51"/>
  <c r="AZ92" i="51"/>
  <c r="AY92" i="51"/>
  <c r="AX92" i="51"/>
  <c r="AW92" i="51"/>
  <c r="AV92" i="51"/>
  <c r="AU92" i="51"/>
  <c r="AT92" i="51"/>
  <c r="AS92" i="51"/>
  <c r="AR92" i="51"/>
  <c r="AQ92" i="51"/>
  <c r="AP92" i="51"/>
  <c r="AO92" i="51"/>
  <c r="AN92" i="51"/>
  <c r="AM92" i="51"/>
  <c r="AL92" i="51"/>
  <c r="AK92" i="51"/>
  <c r="AJ92" i="51"/>
  <c r="AI92" i="51"/>
  <c r="AH92" i="51"/>
  <c r="AG92" i="51"/>
  <c r="AF92" i="51"/>
  <c r="AE92" i="51"/>
  <c r="AD92" i="51"/>
  <c r="AC92" i="51"/>
  <c r="AB92" i="51"/>
  <c r="AA92" i="51"/>
  <c r="Z92" i="51"/>
  <c r="Y92" i="51"/>
  <c r="X92" i="51"/>
  <c r="W92" i="51"/>
  <c r="V92" i="51"/>
  <c r="U92" i="51"/>
  <c r="T92" i="51"/>
  <c r="S92" i="51"/>
  <c r="R92" i="51"/>
  <c r="Q92" i="51"/>
  <c r="P92" i="51"/>
  <c r="O92" i="51"/>
  <c r="N92" i="51"/>
  <c r="M92" i="51"/>
  <c r="L92" i="51"/>
  <c r="K92" i="51"/>
  <c r="J92" i="51"/>
  <c r="I92" i="51"/>
  <c r="H92" i="51"/>
  <c r="BN91" i="51"/>
  <c r="BM91" i="51"/>
  <c r="BL91" i="51"/>
  <c r="BK91" i="51"/>
  <c r="BJ91" i="51"/>
  <c r="BI91" i="51"/>
  <c r="BH91" i="51"/>
  <c r="BG91" i="51"/>
  <c r="BF91" i="51"/>
  <c r="BE91" i="51"/>
  <c r="BD91" i="51"/>
  <c r="BC91" i="51"/>
  <c r="BB91" i="51"/>
  <c r="BA91" i="51"/>
  <c r="AZ91" i="51"/>
  <c r="AY91" i="51"/>
  <c r="AX91" i="51"/>
  <c r="AW91" i="51"/>
  <c r="AV91" i="51"/>
  <c r="AU91" i="51"/>
  <c r="AT91" i="51"/>
  <c r="AS91" i="51"/>
  <c r="AR91" i="51"/>
  <c r="AQ91" i="51"/>
  <c r="AP91" i="51"/>
  <c r="AO91" i="51"/>
  <c r="AN91" i="51"/>
  <c r="AM91" i="51"/>
  <c r="AL91" i="51"/>
  <c r="AK91" i="51"/>
  <c r="AJ91" i="51"/>
  <c r="AI91" i="51"/>
  <c r="AH91" i="51"/>
  <c r="AG91" i="51"/>
  <c r="AF91" i="51"/>
  <c r="AE91" i="51"/>
  <c r="AD91" i="51"/>
  <c r="AC91" i="51"/>
  <c r="AB91" i="51"/>
  <c r="AA91" i="51"/>
  <c r="Z91" i="51"/>
  <c r="Y91" i="51"/>
  <c r="X91" i="51"/>
  <c r="W91" i="51"/>
  <c r="V91" i="51"/>
  <c r="U91" i="51"/>
  <c r="T91" i="51"/>
  <c r="S91" i="51"/>
  <c r="R91" i="51"/>
  <c r="Q91" i="51"/>
  <c r="P91" i="51"/>
  <c r="O91" i="51"/>
  <c r="N91" i="51"/>
  <c r="M91" i="51"/>
  <c r="L91" i="51"/>
  <c r="K91" i="51"/>
  <c r="J91" i="51"/>
  <c r="I91" i="51"/>
  <c r="H91" i="51"/>
  <c r="BN89" i="51"/>
  <c r="BM89" i="51"/>
  <c r="BL89" i="51"/>
  <c r="BK89" i="51"/>
  <c r="BJ89" i="51"/>
  <c r="BI89" i="51"/>
  <c r="BH89" i="51"/>
  <c r="BG89" i="51"/>
  <c r="BF89" i="51"/>
  <c r="BE89" i="51"/>
  <c r="BD89" i="51"/>
  <c r="BC89" i="51"/>
  <c r="BB89" i="51"/>
  <c r="BA89" i="51"/>
  <c r="AZ89" i="51"/>
  <c r="AY89" i="51"/>
  <c r="AX89" i="51"/>
  <c r="AW89" i="51"/>
  <c r="AV89" i="51"/>
  <c r="AU89" i="51"/>
  <c r="AT89" i="51"/>
  <c r="AS89" i="51"/>
  <c r="AR89" i="51"/>
  <c r="AQ89" i="51"/>
  <c r="AP89" i="51"/>
  <c r="AO89" i="51"/>
  <c r="AN89" i="51"/>
  <c r="AM89" i="51"/>
  <c r="AL89" i="51"/>
  <c r="AK89" i="51"/>
  <c r="AJ89" i="51"/>
  <c r="AI89" i="51"/>
  <c r="AH89" i="51"/>
  <c r="AG89" i="51"/>
  <c r="AF89" i="51"/>
  <c r="AE89" i="51"/>
  <c r="AD89" i="51"/>
  <c r="AC89" i="51"/>
  <c r="AB89" i="51"/>
  <c r="AA89" i="51"/>
  <c r="Z89" i="51"/>
  <c r="Y89" i="51"/>
  <c r="X89" i="51"/>
  <c r="W89" i="51"/>
  <c r="V89" i="51"/>
  <c r="U89" i="51"/>
  <c r="T89" i="51"/>
  <c r="S89" i="51"/>
  <c r="R89" i="51"/>
  <c r="Q89" i="51"/>
  <c r="P89" i="51"/>
  <c r="O89" i="51"/>
  <c r="N89" i="51"/>
  <c r="M89" i="51"/>
  <c r="L89" i="51"/>
  <c r="K89" i="51"/>
  <c r="J89" i="51"/>
  <c r="I89" i="51"/>
  <c r="H89" i="51"/>
  <c r="BN83" i="51"/>
  <c r="BM83" i="51"/>
  <c r="BL83" i="51"/>
  <c r="BK83" i="51"/>
  <c r="BJ83" i="51"/>
  <c r="BI83" i="51"/>
  <c r="BH83" i="51"/>
  <c r="BG83" i="51"/>
  <c r="BF83" i="51"/>
  <c r="BE83" i="51"/>
  <c r="BD83" i="51"/>
  <c r="BC83" i="51"/>
  <c r="BB83" i="51"/>
  <c r="BA83" i="51"/>
  <c r="AZ83" i="51"/>
  <c r="AY83" i="51"/>
  <c r="AX83" i="51"/>
  <c r="AW83" i="51"/>
  <c r="AV83" i="51"/>
  <c r="AU83" i="51"/>
  <c r="AT83" i="51"/>
  <c r="AS83" i="51"/>
  <c r="AR83" i="51"/>
  <c r="AQ83" i="51"/>
  <c r="AP83" i="51"/>
  <c r="AO83" i="51"/>
  <c r="AN83" i="51"/>
  <c r="AM83" i="51"/>
  <c r="AL83" i="51"/>
  <c r="AK83" i="51"/>
  <c r="AJ83" i="51"/>
  <c r="AI83" i="51"/>
  <c r="AH83" i="51"/>
  <c r="AG83" i="51"/>
  <c r="AF83" i="51"/>
  <c r="AE83" i="51"/>
  <c r="AD83" i="51"/>
  <c r="AC83" i="51"/>
  <c r="AB83" i="51"/>
  <c r="AA83" i="51"/>
  <c r="Z83" i="51"/>
  <c r="Y83" i="51"/>
  <c r="X83" i="51"/>
  <c r="W83" i="51"/>
  <c r="V83" i="51"/>
  <c r="U83" i="51"/>
  <c r="T83" i="51"/>
  <c r="S83" i="51"/>
  <c r="R83" i="51"/>
  <c r="Q83" i="51"/>
  <c r="P83" i="51"/>
  <c r="O83" i="51"/>
  <c r="N83" i="51"/>
  <c r="M83" i="51"/>
  <c r="L83" i="51"/>
  <c r="K83" i="51"/>
  <c r="J83" i="51"/>
  <c r="I83" i="51"/>
  <c r="H83" i="51"/>
  <c r="G83" i="51"/>
  <c r="BN71" i="51"/>
  <c r="BM71" i="51"/>
  <c r="BL71" i="51"/>
  <c r="BK71" i="51"/>
  <c r="BJ71" i="51"/>
  <c r="BI71" i="51"/>
  <c r="BH71" i="51"/>
  <c r="BG71" i="51"/>
  <c r="BF71" i="51"/>
  <c r="BE71" i="51"/>
  <c r="BD71" i="51"/>
  <c r="BC71" i="51"/>
  <c r="BB71" i="51"/>
  <c r="BA71" i="51"/>
  <c r="AZ71" i="51"/>
  <c r="AY71" i="51"/>
  <c r="AX71" i="51"/>
  <c r="AW71" i="51"/>
  <c r="AV71" i="51"/>
  <c r="AU71" i="51"/>
  <c r="AT71" i="51"/>
  <c r="AS71" i="51"/>
  <c r="AR71" i="51"/>
  <c r="AQ71" i="51"/>
  <c r="AP71" i="51"/>
  <c r="AO71" i="51"/>
  <c r="AN71" i="51"/>
  <c r="AM71" i="51"/>
  <c r="AL71" i="51"/>
  <c r="AK71" i="51"/>
  <c r="AJ71" i="51"/>
  <c r="AI71" i="51"/>
  <c r="AH71" i="51"/>
  <c r="AG71" i="51"/>
  <c r="AF71" i="51"/>
  <c r="AE71" i="51"/>
  <c r="AD71" i="51"/>
  <c r="AC71" i="51"/>
  <c r="AB71" i="51"/>
  <c r="AA71" i="51"/>
  <c r="Z71" i="51"/>
  <c r="Y71" i="51"/>
  <c r="X71" i="51"/>
  <c r="W71" i="51"/>
  <c r="V71" i="51"/>
  <c r="U71" i="51"/>
  <c r="T71" i="51"/>
  <c r="S71" i="51"/>
  <c r="R71" i="51"/>
  <c r="Q71" i="51"/>
  <c r="P71" i="51"/>
  <c r="O71" i="51"/>
  <c r="N71" i="51"/>
  <c r="M71" i="51"/>
  <c r="L71" i="51"/>
  <c r="K71" i="51"/>
  <c r="J71" i="51"/>
  <c r="I71" i="51"/>
  <c r="H71" i="51"/>
  <c r="G71" i="51"/>
  <c r="BN68" i="51"/>
  <c r="BM68" i="51"/>
  <c r="BL68" i="51"/>
  <c r="BK68" i="51"/>
  <c r="BJ68" i="51"/>
  <c r="BI68" i="51"/>
  <c r="BH68" i="51"/>
  <c r="BG68" i="51"/>
  <c r="BF68" i="51"/>
  <c r="BE68" i="51"/>
  <c r="BD68" i="51"/>
  <c r="BC68" i="51"/>
  <c r="BB68" i="51"/>
  <c r="BA68" i="51"/>
  <c r="AZ68" i="51"/>
  <c r="AY68" i="51"/>
  <c r="AX68" i="51"/>
  <c r="AW68" i="51"/>
  <c r="AV68" i="51"/>
  <c r="AU68" i="51"/>
  <c r="AT68" i="51"/>
  <c r="AS68" i="51"/>
  <c r="AR68" i="51"/>
  <c r="AQ68" i="51"/>
  <c r="AP68" i="51"/>
  <c r="AO68" i="51"/>
  <c r="AN68" i="51"/>
  <c r="AM68" i="51"/>
  <c r="AL68" i="51"/>
  <c r="AK68" i="51"/>
  <c r="AJ68" i="51"/>
  <c r="AI68" i="51"/>
  <c r="AH68" i="51"/>
  <c r="AG68" i="51"/>
  <c r="AF68" i="51"/>
  <c r="AE68" i="51"/>
  <c r="AD68" i="51"/>
  <c r="AC68" i="51"/>
  <c r="AB68" i="51"/>
  <c r="AA68" i="51"/>
  <c r="Z68" i="51"/>
  <c r="Y68" i="51"/>
  <c r="X68" i="51"/>
  <c r="W68" i="51"/>
  <c r="V68" i="51"/>
  <c r="U68" i="51"/>
  <c r="T68" i="51"/>
  <c r="S68" i="51"/>
  <c r="R68" i="51"/>
  <c r="Q68" i="51"/>
  <c r="P68" i="51"/>
  <c r="O68" i="51"/>
  <c r="N68" i="51"/>
  <c r="M68" i="51"/>
  <c r="L68" i="51"/>
  <c r="K68" i="51"/>
  <c r="J68" i="51"/>
  <c r="I68" i="51"/>
  <c r="H68" i="51"/>
  <c r="G68" i="51"/>
  <c r="C134" i="51"/>
  <c r="C116" i="51"/>
  <c r="C102" i="51"/>
  <c r="C80" i="51"/>
  <c r="C47" i="51"/>
  <c r="C22" i="51"/>
  <c r="C8" i="51"/>
  <c r="A1" i="29"/>
  <c r="F482" i="26"/>
  <c r="E482" i="26"/>
  <c r="D482" i="26"/>
  <c r="F481" i="26"/>
  <c r="E481" i="26"/>
  <c r="D481" i="26"/>
  <c r="F480" i="26"/>
  <c r="E480" i="26"/>
  <c r="D480" i="26"/>
  <c r="D471" i="26"/>
  <c r="F462" i="26"/>
  <c r="F464" i="26" s="1"/>
  <c r="E462" i="26"/>
  <c r="E464" i="26" s="1"/>
  <c r="D462" i="26"/>
  <c r="D464" i="26" s="1"/>
  <c r="D458" i="26"/>
  <c r="F450" i="26"/>
  <c r="E450" i="26"/>
  <c r="D450" i="26"/>
  <c r="F449" i="26"/>
  <c r="E449" i="26"/>
  <c r="D449" i="26"/>
  <c r="F447" i="26"/>
  <c r="E447" i="26"/>
  <c r="D447" i="26"/>
  <c r="F432" i="26"/>
  <c r="E432" i="26"/>
  <c r="D432" i="26"/>
  <c r="F431" i="26"/>
  <c r="E431" i="26"/>
  <c r="D431" i="26"/>
  <c r="F424" i="26"/>
  <c r="E424" i="26"/>
  <c r="D424" i="26"/>
  <c r="F423" i="26"/>
  <c r="E423" i="26"/>
  <c r="D423" i="26"/>
  <c r="F422" i="26"/>
  <c r="E422" i="26"/>
  <c r="D422" i="26"/>
  <c r="F421" i="26"/>
  <c r="E421" i="26"/>
  <c r="D421" i="26"/>
  <c r="F420" i="26"/>
  <c r="E420" i="26"/>
  <c r="D420" i="26"/>
  <c r="F413" i="26"/>
  <c r="E413" i="26"/>
  <c r="D413" i="26"/>
  <c r="F408" i="26"/>
  <c r="E408" i="26"/>
  <c r="D408" i="26"/>
  <c r="F407" i="26"/>
  <c r="E407" i="26"/>
  <c r="D407" i="26"/>
  <c r="F402" i="26"/>
  <c r="E402" i="26"/>
  <c r="D402" i="26"/>
  <c r="F401" i="26"/>
  <c r="E401" i="26"/>
  <c r="D401" i="26"/>
  <c r="D397" i="26"/>
  <c r="F390" i="26"/>
  <c r="E390" i="26"/>
  <c r="D390" i="26"/>
  <c r="D412" i="26" s="1"/>
  <c r="D380" i="26"/>
  <c r="F371" i="26"/>
  <c r="E371" i="26"/>
  <c r="D371" i="26"/>
  <c r="F370" i="26"/>
  <c r="E370" i="26"/>
  <c r="D370" i="26"/>
  <c r="F365" i="26"/>
  <c r="E365" i="26"/>
  <c r="D365" i="26"/>
  <c r="F363" i="26"/>
  <c r="E363" i="26"/>
  <c r="D363" i="26"/>
  <c r="D352" i="26"/>
  <c r="F346" i="26"/>
  <c r="E346" i="26"/>
  <c r="D346" i="26"/>
  <c r="F338" i="26"/>
  <c r="E338" i="26"/>
  <c r="D338" i="26"/>
  <c r="F337" i="26"/>
  <c r="E337" i="26"/>
  <c r="D337" i="26"/>
  <c r="F335" i="26"/>
  <c r="E335" i="26"/>
  <c r="D335" i="26"/>
  <c r="F333" i="26"/>
  <c r="E333" i="26"/>
  <c r="D333" i="26"/>
  <c r="F332" i="26"/>
  <c r="E332" i="26"/>
  <c r="D332" i="26"/>
  <c r="D328" i="26"/>
  <c r="F318" i="26"/>
  <c r="E318" i="26"/>
  <c r="D318" i="26"/>
  <c r="F317" i="26"/>
  <c r="E317" i="26"/>
  <c r="D317" i="26"/>
  <c r="F316" i="26"/>
  <c r="E316" i="26"/>
  <c r="D316" i="26"/>
  <c r="F315" i="26"/>
  <c r="E315" i="26"/>
  <c r="D315" i="26"/>
  <c r="F314" i="26"/>
  <c r="E314" i="26"/>
  <c r="D314" i="26"/>
  <c r="D310" i="26"/>
  <c r="F302" i="26"/>
  <c r="E302" i="26"/>
  <c r="D302" i="26"/>
  <c r="D296" i="26"/>
  <c r="D288" i="26"/>
  <c r="D271" i="26"/>
  <c r="F260" i="26"/>
  <c r="E260" i="26"/>
  <c r="D260" i="26"/>
  <c r="F259" i="26"/>
  <c r="E259" i="26"/>
  <c r="D259" i="26"/>
  <c r="D251" i="26"/>
  <c r="F240" i="26"/>
  <c r="E240" i="26"/>
  <c r="D240" i="26"/>
  <c r="F234" i="26"/>
  <c r="F247" i="26" s="1"/>
  <c r="E234" i="26"/>
  <c r="E247" i="26" s="1"/>
  <c r="D234" i="26"/>
  <c r="D247" i="26" s="1"/>
  <c r="F229" i="26"/>
  <c r="E229" i="26"/>
  <c r="D229" i="26"/>
  <c r="F225" i="26"/>
  <c r="E225" i="26"/>
  <c r="D225" i="26"/>
  <c r="F207" i="26"/>
  <c r="E207" i="26"/>
  <c r="D207" i="26"/>
  <c r="D198" i="26"/>
  <c r="F188" i="26"/>
  <c r="E188" i="26"/>
  <c r="D188" i="26"/>
  <c r="F181" i="26"/>
  <c r="E181" i="26"/>
  <c r="D181" i="26"/>
  <c r="D69" i="51" s="1"/>
  <c r="F174" i="26"/>
  <c r="E174" i="26"/>
  <c r="D174" i="26"/>
  <c r="F169" i="26"/>
  <c r="F66" i="51" s="1"/>
  <c r="E169" i="26"/>
  <c r="D169" i="26"/>
  <c r="D66" i="51" s="1"/>
  <c r="F156" i="26"/>
  <c r="E156" i="26"/>
  <c r="D156" i="26"/>
  <c r="F153" i="26"/>
  <c r="E153" i="26"/>
  <c r="D153" i="26"/>
  <c r="F147" i="26"/>
  <c r="O6" i="77" s="1"/>
  <c r="E6" i="77" s="1"/>
  <c r="E147" i="26"/>
  <c r="N6" i="77" s="1"/>
  <c r="D6" i="77" s="1"/>
  <c r="D147" i="26"/>
  <c r="M6" i="77" s="1"/>
  <c r="C6" i="77" s="1"/>
  <c r="D139" i="26"/>
  <c r="F129" i="26"/>
  <c r="E129" i="26"/>
  <c r="D129" i="26"/>
  <c r="F125" i="26"/>
  <c r="E125" i="26"/>
  <c r="D125" i="26"/>
  <c r="F122" i="26"/>
  <c r="E122" i="26"/>
  <c r="D122" i="26"/>
  <c r="F114" i="26"/>
  <c r="F45" i="30" s="1"/>
  <c r="E114" i="26"/>
  <c r="E45" i="30" s="1"/>
  <c r="D114" i="26"/>
  <c r="D45" i="30" s="1"/>
  <c r="F108" i="26"/>
  <c r="F44" i="30" s="1"/>
  <c r="E108" i="26"/>
  <c r="E44" i="30" s="1"/>
  <c r="D108" i="26"/>
  <c r="D44" i="30" s="1"/>
  <c r="F98" i="26"/>
  <c r="F96" i="26" s="1"/>
  <c r="F40" i="30" s="1"/>
  <c r="E98" i="26"/>
  <c r="E96" i="26" s="1"/>
  <c r="E40" i="30" s="1"/>
  <c r="D98" i="26"/>
  <c r="D96" i="26" s="1"/>
  <c r="D40" i="30" s="1"/>
  <c r="F85" i="26"/>
  <c r="F25" i="16" s="1"/>
  <c r="E85" i="26"/>
  <c r="E25" i="16" s="1"/>
  <c r="D85" i="26"/>
  <c r="D25" i="16" s="1"/>
  <c r="F77" i="26"/>
  <c r="E77" i="26"/>
  <c r="D77" i="26"/>
  <c r="D70" i="26"/>
  <c r="F61" i="26"/>
  <c r="E61" i="26"/>
  <c r="D61" i="26"/>
  <c r="F57" i="26"/>
  <c r="E57" i="26"/>
  <c r="D57" i="26"/>
  <c r="F48" i="26"/>
  <c r="F47" i="26" s="1"/>
  <c r="E48" i="26"/>
  <c r="E47" i="26" s="1"/>
  <c r="D48" i="26"/>
  <c r="D47" i="26" s="1"/>
  <c r="D19" i="30" s="1"/>
  <c r="F43" i="26"/>
  <c r="F18" i="30" s="1"/>
  <c r="E43" i="26"/>
  <c r="E18" i="30" s="1"/>
  <c r="D43" i="26"/>
  <c r="D18" i="30" s="1"/>
  <c r="F37" i="26"/>
  <c r="F14" i="30" s="1"/>
  <c r="E37" i="26"/>
  <c r="E14" i="30" s="1"/>
  <c r="D37" i="26"/>
  <c r="D14" i="30" s="1"/>
  <c r="F34" i="26"/>
  <c r="E34" i="26"/>
  <c r="D34" i="26"/>
  <c r="F30" i="26"/>
  <c r="E30" i="26"/>
  <c r="D30" i="26"/>
  <c r="F21" i="26"/>
  <c r="E21" i="26"/>
  <c r="D21" i="26"/>
  <c r="D70" i="51" l="1"/>
  <c r="D70" i="16"/>
  <c r="E88" i="51"/>
  <c r="E88" i="16"/>
  <c r="E70" i="51"/>
  <c r="E70" i="16"/>
  <c r="D67" i="51"/>
  <c r="D68" i="51" s="1"/>
  <c r="D67" i="16"/>
  <c r="F70" i="51"/>
  <c r="F70" i="16"/>
  <c r="F88" i="51"/>
  <c r="F88" i="16"/>
  <c r="E67" i="51"/>
  <c r="E67" i="16"/>
  <c r="F67" i="51"/>
  <c r="F67" i="16"/>
  <c r="F322" i="26"/>
  <c r="F448" i="26" s="1"/>
  <c r="F452" i="26" s="1"/>
  <c r="E322" i="26"/>
  <c r="E448" i="26" s="1"/>
  <c r="E452" i="26" s="1"/>
  <c r="D322" i="26"/>
  <c r="D448" i="26" s="1"/>
  <c r="D452" i="26" s="1"/>
  <c r="F75" i="16"/>
  <c r="D75" i="16"/>
  <c r="E75" i="51"/>
  <c r="E75" i="16"/>
  <c r="D75" i="51"/>
  <c r="F75" i="51"/>
  <c r="E35" i="30"/>
  <c r="E25" i="51"/>
  <c r="F35" i="30"/>
  <c r="F25" i="51"/>
  <c r="D35" i="30"/>
  <c r="D25" i="51"/>
  <c r="D31" i="51"/>
  <c r="D31" i="16"/>
  <c r="E31" i="51"/>
  <c r="E31" i="16"/>
  <c r="D32" i="51"/>
  <c r="D32" i="16"/>
  <c r="E32" i="51"/>
  <c r="E32" i="16"/>
  <c r="D15" i="51"/>
  <c r="D15" i="16"/>
  <c r="D30" i="51"/>
  <c r="D30" i="16"/>
  <c r="F32" i="51"/>
  <c r="F32" i="16"/>
  <c r="E30" i="51"/>
  <c r="E30" i="16"/>
  <c r="F31" i="51"/>
  <c r="F31" i="16"/>
  <c r="F30" i="51"/>
  <c r="F30" i="16"/>
  <c r="F69" i="16"/>
  <c r="F69" i="51"/>
  <c r="E69" i="16"/>
  <c r="E69" i="51"/>
  <c r="E66" i="16"/>
  <c r="E66" i="51"/>
  <c r="D66" i="16"/>
  <c r="E13" i="30"/>
  <c r="E12" i="30" s="1"/>
  <c r="F375" i="26"/>
  <c r="E412" i="26"/>
  <c r="F412" i="26"/>
  <c r="D13" i="30"/>
  <c r="D12" i="30" s="1"/>
  <c r="D12" i="16" s="1"/>
  <c r="D42" i="30"/>
  <c r="F66" i="30"/>
  <c r="F33" i="30"/>
  <c r="D334" i="26"/>
  <c r="D49" i="30"/>
  <c r="F498" i="26"/>
  <c r="F9" i="31"/>
  <c r="E342" i="26"/>
  <c r="E23" i="30"/>
  <c r="D336" i="26"/>
  <c r="D51" i="30"/>
  <c r="D28" i="29"/>
  <c r="D84" i="30"/>
  <c r="E66" i="30"/>
  <c r="E33" i="30"/>
  <c r="F347" i="26"/>
  <c r="F48" i="30"/>
  <c r="E514" i="26"/>
  <c r="E72" i="30"/>
  <c r="E47" i="29"/>
  <c r="E42" i="30"/>
  <c r="F514" i="26"/>
  <c r="F72" i="30"/>
  <c r="F47" i="29"/>
  <c r="F42" i="30"/>
  <c r="E334" i="26"/>
  <c r="E49" i="30"/>
  <c r="F13" i="30"/>
  <c r="F12" i="30" s="1"/>
  <c r="D342" i="26"/>
  <c r="D23" i="30"/>
  <c r="F334" i="26"/>
  <c r="F49" i="30"/>
  <c r="M24" i="77"/>
  <c r="F342" i="26"/>
  <c r="F23" i="30"/>
  <c r="E336" i="26"/>
  <c r="E51" i="30"/>
  <c r="E28" i="29"/>
  <c r="E84" i="30"/>
  <c r="H127" i="51"/>
  <c r="P127" i="51"/>
  <c r="X127" i="51"/>
  <c r="AF127" i="51"/>
  <c r="AN127" i="51"/>
  <c r="AV127" i="51"/>
  <c r="BD127" i="51"/>
  <c r="BL127" i="51"/>
  <c r="F434" i="26"/>
  <c r="F46" i="31"/>
  <c r="E331" i="26"/>
  <c r="E19" i="30"/>
  <c r="D347" i="26"/>
  <c r="D48" i="30"/>
  <c r="F336" i="26"/>
  <c r="F51" i="30"/>
  <c r="D498" i="26"/>
  <c r="D9" i="31"/>
  <c r="D434" i="26"/>
  <c r="D46" i="31"/>
  <c r="F28" i="29"/>
  <c r="F84" i="30"/>
  <c r="E512" i="26"/>
  <c r="F331" i="26"/>
  <c r="F19" i="30"/>
  <c r="D66" i="30"/>
  <c r="D33" i="30"/>
  <c r="E347" i="26"/>
  <c r="E48" i="30"/>
  <c r="E35" i="16" s="1"/>
  <c r="E498" i="26"/>
  <c r="E9" i="31"/>
  <c r="E434" i="26"/>
  <c r="E46" i="31"/>
  <c r="D514" i="26"/>
  <c r="D72" i="30"/>
  <c r="D47" i="29"/>
  <c r="P51" i="19"/>
  <c r="P59" i="19" s="1"/>
  <c r="D264" i="26"/>
  <c r="P37" i="20"/>
  <c r="F512" i="26"/>
  <c r="F414" i="26"/>
  <c r="D483" i="26"/>
  <c r="I68" i="16"/>
  <c r="D375" i="26"/>
  <c r="H68" i="16"/>
  <c r="K71" i="16"/>
  <c r="T54" i="19"/>
  <c r="E145" i="26"/>
  <c r="E513" i="26" s="1"/>
  <c r="D69" i="16"/>
  <c r="E264" i="26"/>
  <c r="G127" i="51"/>
  <c r="O127" i="51"/>
  <c r="W127" i="51"/>
  <c r="AE127" i="51"/>
  <c r="AM127" i="51"/>
  <c r="AU127" i="51"/>
  <c r="BC127" i="51"/>
  <c r="BK127" i="51"/>
  <c r="F66" i="16"/>
  <c r="D21" i="18"/>
  <c r="D28" i="18" s="1"/>
  <c r="I52" i="18" s="1"/>
  <c r="U27" i="20"/>
  <c r="U35" i="20" s="1"/>
  <c r="D167" i="26"/>
  <c r="D400" i="26" s="1"/>
  <c r="E425" i="26"/>
  <c r="E427" i="26" s="1"/>
  <c r="P32" i="20"/>
  <c r="P40" i="20" s="1"/>
  <c r="D75" i="26"/>
  <c r="F107" i="26"/>
  <c r="F167" i="26"/>
  <c r="F499" i="26" s="1"/>
  <c r="E375" i="26"/>
  <c r="R35" i="20"/>
  <c r="D414" i="26"/>
  <c r="D416" i="26" s="1"/>
  <c r="M13" i="77" s="1"/>
  <c r="C26" i="77" s="1"/>
  <c r="U127" i="51"/>
  <c r="AC127" i="51"/>
  <c r="AK127" i="51"/>
  <c r="AS127" i="51"/>
  <c r="BA127" i="51"/>
  <c r="BI127" i="51"/>
  <c r="F29" i="26"/>
  <c r="F15" i="26" s="1"/>
  <c r="F266" i="26" s="1"/>
  <c r="E414" i="26"/>
  <c r="N127" i="51"/>
  <c r="V127" i="51"/>
  <c r="AD127" i="51"/>
  <c r="AL127" i="51"/>
  <c r="AT127" i="51"/>
  <c r="BB127" i="51"/>
  <c r="BJ127" i="51"/>
  <c r="H5" i="73"/>
  <c r="I5" i="73"/>
  <c r="J68" i="16"/>
  <c r="J5" i="73"/>
  <c r="K5" i="73"/>
  <c r="D29" i="26"/>
  <c r="D15" i="26" s="1"/>
  <c r="D266" i="26" s="1"/>
  <c r="Q46" i="19"/>
  <c r="Q54" i="19" s="1"/>
  <c r="D41" i="26"/>
  <c r="E483" i="26"/>
  <c r="E29" i="26"/>
  <c r="E15" i="26" s="1"/>
  <c r="E266" i="26" s="1"/>
  <c r="F264" i="26"/>
  <c r="D425" i="26"/>
  <c r="D427" i="26" s="1"/>
  <c r="G71" i="16"/>
  <c r="P56" i="19"/>
  <c r="F483" i="26"/>
  <c r="M127" i="51"/>
  <c r="F75" i="26"/>
  <c r="E107" i="26"/>
  <c r="D145" i="26"/>
  <c r="D509" i="26" s="1"/>
  <c r="D512" i="26"/>
  <c r="E41" i="26"/>
  <c r="F145" i="26"/>
  <c r="F513" i="26" s="1"/>
  <c r="H71" i="16"/>
  <c r="J127" i="51"/>
  <c r="R127" i="51"/>
  <c r="Z127" i="51"/>
  <c r="AH127" i="51"/>
  <c r="AP127" i="51"/>
  <c r="AX127" i="51"/>
  <c r="BF127" i="51"/>
  <c r="BN127" i="51"/>
  <c r="I127" i="51"/>
  <c r="Q127" i="51"/>
  <c r="Y127" i="51"/>
  <c r="AG127" i="51"/>
  <c r="AO127" i="51"/>
  <c r="AW127" i="51"/>
  <c r="BE127" i="51"/>
  <c r="BM127" i="51"/>
  <c r="F41" i="26"/>
  <c r="E120" i="26"/>
  <c r="E479" i="26" s="1"/>
  <c r="F425" i="26"/>
  <c r="F427" i="26" s="1"/>
  <c r="K68" i="16"/>
  <c r="K127" i="51"/>
  <c r="S127" i="51"/>
  <c r="AA127" i="51"/>
  <c r="AI127" i="51"/>
  <c r="AQ127" i="51"/>
  <c r="AY127" i="51"/>
  <c r="BG127" i="51"/>
  <c r="E75" i="26"/>
  <c r="D107" i="26"/>
  <c r="E167" i="26"/>
  <c r="E499" i="26" s="1"/>
  <c r="G68" i="16"/>
  <c r="J71" i="16"/>
  <c r="L127" i="51"/>
  <c r="T127" i="51"/>
  <c r="AB127" i="51"/>
  <c r="AJ127" i="51"/>
  <c r="AR127" i="51"/>
  <c r="AZ127" i="51"/>
  <c r="BH127" i="51"/>
  <c r="I71" i="16"/>
  <c r="H33" i="16"/>
  <c r="G33" i="16"/>
  <c r="J33" i="16"/>
  <c r="K33" i="16"/>
  <c r="I33" i="16"/>
  <c r="D331" i="26"/>
  <c r="E484" i="26"/>
  <c r="D484" i="26"/>
  <c r="F484" i="26"/>
  <c r="D120" i="26"/>
  <c r="D479" i="26" s="1"/>
  <c r="F120" i="26"/>
  <c r="BN21" i="52"/>
  <c r="BM21" i="52"/>
  <c r="BL21" i="52"/>
  <c r="BK21" i="52"/>
  <c r="BJ21" i="52"/>
  <c r="BI21" i="52"/>
  <c r="BH21" i="52"/>
  <c r="BG21" i="52"/>
  <c r="BF21" i="52"/>
  <c r="BE21" i="52"/>
  <c r="BD21" i="52"/>
  <c r="BC21" i="52"/>
  <c r="BB21" i="52"/>
  <c r="BA21" i="52"/>
  <c r="AZ21" i="52"/>
  <c r="AY21" i="52"/>
  <c r="AX21" i="52"/>
  <c r="AW21" i="52"/>
  <c r="AV21" i="52"/>
  <c r="AU21" i="52"/>
  <c r="AT21" i="52"/>
  <c r="AS21" i="52"/>
  <c r="AR21" i="52"/>
  <c r="AQ21" i="52"/>
  <c r="AP21" i="52"/>
  <c r="AO21" i="52"/>
  <c r="AN21" i="52"/>
  <c r="AM21" i="52"/>
  <c r="AL21" i="52"/>
  <c r="AK21" i="52"/>
  <c r="AJ21" i="52"/>
  <c r="AI21" i="52"/>
  <c r="AH21" i="52"/>
  <c r="AG21" i="52"/>
  <c r="AF21" i="52"/>
  <c r="AE21" i="52"/>
  <c r="AD21" i="52"/>
  <c r="AC21" i="52"/>
  <c r="AB21" i="52"/>
  <c r="AA21" i="52"/>
  <c r="Z21" i="52"/>
  <c r="Y21" i="52"/>
  <c r="X21" i="52"/>
  <c r="W21" i="52"/>
  <c r="V21" i="52"/>
  <c r="U21" i="52"/>
  <c r="T21" i="52"/>
  <c r="S21" i="52"/>
  <c r="R21" i="52"/>
  <c r="Q21" i="52"/>
  <c r="P21" i="52"/>
  <c r="O21" i="52"/>
  <c r="N21" i="52"/>
  <c r="M21" i="52"/>
  <c r="L21" i="52"/>
  <c r="K21" i="52"/>
  <c r="J21" i="52"/>
  <c r="I21" i="52"/>
  <c r="H21" i="52"/>
  <c r="G21" i="52"/>
  <c r="G22" i="52" s="1"/>
  <c r="K138" i="16"/>
  <c r="J138" i="16"/>
  <c r="I138" i="16"/>
  <c r="H138" i="16"/>
  <c r="G138" i="16"/>
  <c r="K137" i="16"/>
  <c r="J137" i="16"/>
  <c r="I137" i="16"/>
  <c r="H137" i="16"/>
  <c r="G137" i="16"/>
  <c r="K73" i="16"/>
  <c r="J73" i="16"/>
  <c r="I73" i="16"/>
  <c r="H73" i="16"/>
  <c r="G73" i="16"/>
  <c r="K63" i="16"/>
  <c r="H36" i="75" s="1"/>
  <c r="J63" i="16"/>
  <c r="G36" i="75" s="1"/>
  <c r="I63" i="16"/>
  <c r="F36" i="75" s="1"/>
  <c r="H63" i="16"/>
  <c r="E36" i="75" s="1"/>
  <c r="G63" i="16"/>
  <c r="D36" i="75" s="1"/>
  <c r="K59" i="16"/>
  <c r="J59" i="16"/>
  <c r="I59" i="16"/>
  <c r="H59" i="16"/>
  <c r="G59" i="16"/>
  <c r="BN138" i="51"/>
  <c r="BM138" i="51"/>
  <c r="BL138" i="51"/>
  <c r="BK138" i="51"/>
  <c r="BJ138" i="51"/>
  <c r="BI138" i="51"/>
  <c r="BH138" i="51"/>
  <c r="BG138" i="51"/>
  <c r="BF138" i="51"/>
  <c r="BE138" i="51"/>
  <c r="BD138" i="51"/>
  <c r="BC138" i="51"/>
  <c r="BB138" i="51"/>
  <c r="BA138" i="51"/>
  <c r="AZ138" i="51"/>
  <c r="AY138" i="51"/>
  <c r="AX138" i="51"/>
  <c r="AW138" i="51"/>
  <c r="AV138" i="51"/>
  <c r="AU138" i="51"/>
  <c r="AT138" i="51"/>
  <c r="AS138" i="51"/>
  <c r="AR138" i="51"/>
  <c r="AQ138" i="51"/>
  <c r="AP138" i="51"/>
  <c r="AO138" i="51"/>
  <c r="AN138" i="51"/>
  <c r="AM138" i="51"/>
  <c r="AL138" i="51"/>
  <c r="AK138" i="51"/>
  <c r="AJ138" i="51"/>
  <c r="AI138" i="51"/>
  <c r="AH138" i="51"/>
  <c r="AG138" i="51"/>
  <c r="AF138" i="51"/>
  <c r="AE138" i="51"/>
  <c r="AD138" i="51"/>
  <c r="AC138" i="51"/>
  <c r="AB138" i="51"/>
  <c r="AA138" i="51"/>
  <c r="Z138" i="51"/>
  <c r="Y138" i="51"/>
  <c r="X138" i="51"/>
  <c r="W138" i="51"/>
  <c r="V138" i="51"/>
  <c r="U138" i="51"/>
  <c r="T138" i="51"/>
  <c r="S138" i="51"/>
  <c r="R138" i="51"/>
  <c r="Q138" i="51"/>
  <c r="P138" i="51"/>
  <c r="O138" i="51"/>
  <c r="N138" i="51"/>
  <c r="M138" i="51"/>
  <c r="L138" i="51"/>
  <c r="K138" i="51"/>
  <c r="J138" i="51"/>
  <c r="I138" i="51"/>
  <c r="H138" i="51"/>
  <c r="G138" i="51"/>
  <c r="BN87" i="51"/>
  <c r="BM87" i="51"/>
  <c r="BL87" i="51"/>
  <c r="BK87" i="51"/>
  <c r="BI87" i="51"/>
  <c r="BF87" i="51"/>
  <c r="BE87" i="51"/>
  <c r="BA87" i="51"/>
  <c r="AY87" i="51"/>
  <c r="AW87" i="51"/>
  <c r="AS87" i="51"/>
  <c r="AP87" i="51"/>
  <c r="AO87" i="51"/>
  <c r="AK87" i="51"/>
  <c r="AJ87" i="51"/>
  <c r="AI87" i="51"/>
  <c r="AH87" i="51"/>
  <c r="AG87" i="51"/>
  <c r="AF87" i="51"/>
  <c r="AA87" i="51"/>
  <c r="Z87" i="51"/>
  <c r="Y87" i="51"/>
  <c r="R87" i="51"/>
  <c r="Q87" i="51"/>
  <c r="L87" i="51"/>
  <c r="K87" i="51"/>
  <c r="J87" i="51"/>
  <c r="I87" i="51"/>
  <c r="H87" i="51"/>
  <c r="AZ52" i="51"/>
  <c r="AR52" i="51"/>
  <c r="AJ52" i="51"/>
  <c r="AJ54" i="51" s="1"/>
  <c r="AB52" i="51"/>
  <c r="L52" i="51"/>
  <c r="BN52" i="51"/>
  <c r="BN54" i="51" s="1"/>
  <c r="BN55" i="51" s="1"/>
  <c r="BL52" i="51"/>
  <c r="BL54" i="51" s="1"/>
  <c r="BJ52" i="51"/>
  <c r="BJ54" i="51" s="1"/>
  <c r="BG52" i="51"/>
  <c r="BG54" i="51" s="1"/>
  <c r="BF52" i="51"/>
  <c r="BF54" i="51" s="1"/>
  <c r="BF55" i="51" s="1"/>
  <c r="BD52" i="51"/>
  <c r="BD54" i="51" s="1"/>
  <c r="BB52" i="51"/>
  <c r="BB54" i="51" s="1"/>
  <c r="AY52" i="51"/>
  <c r="AY54" i="51" s="1"/>
  <c r="AX52" i="51"/>
  <c r="AX54" i="51" s="1"/>
  <c r="AX55" i="51" s="1"/>
  <c r="AV52" i="51"/>
  <c r="AV54" i="51" s="1"/>
  <c r="AT52" i="51"/>
  <c r="AT54" i="51" s="1"/>
  <c r="AQ52" i="51"/>
  <c r="AQ54" i="51" s="1"/>
  <c r="AP52" i="51"/>
  <c r="AP54" i="51" s="1"/>
  <c r="AP55" i="51" s="1"/>
  <c r="AN52" i="51"/>
  <c r="AN54" i="51" s="1"/>
  <c r="AL52" i="51"/>
  <c r="AL54" i="51" s="1"/>
  <c r="AI52" i="51"/>
  <c r="AI54" i="51" s="1"/>
  <c r="AH52" i="51"/>
  <c r="AH54" i="51" s="1"/>
  <c r="AH55" i="51" s="1"/>
  <c r="AF52" i="51"/>
  <c r="AF54" i="51" s="1"/>
  <c r="AD52" i="51"/>
  <c r="AD54" i="51" s="1"/>
  <c r="AA52" i="51"/>
  <c r="AA54" i="51" s="1"/>
  <c r="Z52" i="51"/>
  <c r="Z54" i="51" s="1"/>
  <c r="Z55" i="51" s="1"/>
  <c r="X52" i="51"/>
  <c r="X54" i="51" s="1"/>
  <c r="V52" i="51"/>
  <c r="V54" i="51" s="1"/>
  <c r="S52" i="51"/>
  <c r="S54" i="51" s="1"/>
  <c r="R52" i="51"/>
  <c r="R54" i="51" s="1"/>
  <c r="R55" i="51" s="1"/>
  <c r="P52" i="51"/>
  <c r="P54" i="51" s="1"/>
  <c r="N52" i="51"/>
  <c r="N54" i="51" s="1"/>
  <c r="K52" i="51"/>
  <c r="K54" i="51" s="1"/>
  <c r="H52" i="51"/>
  <c r="H54" i="51" s="1"/>
  <c r="K30" i="16"/>
  <c r="J30" i="16"/>
  <c r="I30" i="16"/>
  <c r="H30" i="16"/>
  <c r="G30" i="16"/>
  <c r="B65" i="30"/>
  <c r="K25" i="77" s="1"/>
  <c r="I5" i="29"/>
  <c r="B50" i="31"/>
  <c r="K5" i="31"/>
  <c r="K4" i="29" s="1"/>
  <c r="J5" i="31"/>
  <c r="J4" i="29" s="1"/>
  <c r="I5" i="31"/>
  <c r="I4" i="29" s="1"/>
  <c r="H5" i="31"/>
  <c r="H4" i="29" s="1"/>
  <c r="G5" i="31"/>
  <c r="F5" i="31"/>
  <c r="F4" i="29" s="1"/>
  <c r="E5" i="31"/>
  <c r="E4" i="29" s="1"/>
  <c r="D5" i="31"/>
  <c r="D4" i="29" s="1"/>
  <c r="C5" i="31"/>
  <c r="C4" i="29" s="1"/>
  <c r="B5" i="31"/>
  <c r="B4" i="29" s="1"/>
  <c r="K4" i="31"/>
  <c r="D4" i="31"/>
  <c r="D53" i="31" s="1"/>
  <c r="A1" i="31"/>
  <c r="L89" i="30"/>
  <c r="F124" i="16"/>
  <c r="B8" i="30"/>
  <c r="K17" i="77" s="1"/>
  <c r="I18" i="29"/>
  <c r="J17" i="29"/>
  <c r="I17" i="29"/>
  <c r="K4" i="30"/>
  <c r="D4" i="30"/>
  <c r="A1" i="30"/>
  <c r="K482" i="26"/>
  <c r="J482" i="26"/>
  <c r="I482" i="26"/>
  <c r="H482" i="26"/>
  <c r="G482" i="26"/>
  <c r="C482" i="26"/>
  <c r="B482" i="26"/>
  <c r="K481" i="26"/>
  <c r="J481" i="26"/>
  <c r="I481" i="26"/>
  <c r="H481" i="26"/>
  <c r="G481" i="26"/>
  <c r="C481" i="26"/>
  <c r="B481" i="26"/>
  <c r="K480" i="26"/>
  <c r="J480" i="26"/>
  <c r="I480" i="26"/>
  <c r="H480" i="26"/>
  <c r="G480" i="26"/>
  <c r="C480" i="26"/>
  <c r="B480" i="26"/>
  <c r="K471" i="26"/>
  <c r="K462" i="26"/>
  <c r="K464" i="26" s="1"/>
  <c r="J462" i="26"/>
  <c r="J464" i="26" s="1"/>
  <c r="I462" i="26"/>
  <c r="I464" i="26" s="1"/>
  <c r="H462" i="26"/>
  <c r="H464" i="26" s="1"/>
  <c r="G462" i="26"/>
  <c r="G464" i="26" s="1"/>
  <c r="C462" i="26"/>
  <c r="C464" i="26" s="1"/>
  <c r="B462" i="26"/>
  <c r="B464" i="26" s="1"/>
  <c r="K458" i="26"/>
  <c r="K450" i="26"/>
  <c r="J450" i="26"/>
  <c r="I450" i="26"/>
  <c r="H450" i="26"/>
  <c r="G450" i="26"/>
  <c r="C450" i="26"/>
  <c r="B450" i="26"/>
  <c r="K449" i="26"/>
  <c r="J449" i="26"/>
  <c r="I449" i="26"/>
  <c r="H449" i="26"/>
  <c r="G449" i="26"/>
  <c r="C449" i="26"/>
  <c r="B449" i="26"/>
  <c r="K447" i="26"/>
  <c r="J447" i="26"/>
  <c r="I447" i="26"/>
  <c r="H447" i="26"/>
  <c r="G447" i="26"/>
  <c r="C447" i="26"/>
  <c r="B447" i="26"/>
  <c r="K432" i="26"/>
  <c r="J432" i="26"/>
  <c r="I432" i="26"/>
  <c r="H432" i="26"/>
  <c r="G432" i="26"/>
  <c r="C432" i="26"/>
  <c r="B432" i="26"/>
  <c r="K431" i="26"/>
  <c r="J431" i="26"/>
  <c r="I431" i="26"/>
  <c r="H431" i="26"/>
  <c r="G431" i="26"/>
  <c r="C431" i="26"/>
  <c r="B431" i="26"/>
  <c r="K424" i="26"/>
  <c r="J424" i="26"/>
  <c r="I424" i="26"/>
  <c r="H424" i="26"/>
  <c r="G424" i="26"/>
  <c r="C424" i="26"/>
  <c r="B424" i="26"/>
  <c r="K423" i="26"/>
  <c r="J423" i="26"/>
  <c r="I423" i="26"/>
  <c r="H423" i="26"/>
  <c r="G423" i="26"/>
  <c r="C423" i="26"/>
  <c r="B423" i="26"/>
  <c r="K422" i="26"/>
  <c r="J422" i="26"/>
  <c r="I422" i="26"/>
  <c r="H422" i="26"/>
  <c r="G422" i="26"/>
  <c r="C422" i="26"/>
  <c r="B422" i="26"/>
  <c r="K421" i="26"/>
  <c r="J421" i="26"/>
  <c r="I421" i="26"/>
  <c r="H421" i="26"/>
  <c r="G421" i="26"/>
  <c r="C421" i="26"/>
  <c r="B421" i="26"/>
  <c r="K420" i="26"/>
  <c r="J420" i="26"/>
  <c r="I420" i="26"/>
  <c r="H420" i="26"/>
  <c r="G420" i="26"/>
  <c r="C420" i="26"/>
  <c r="B420" i="26"/>
  <c r="K413" i="26"/>
  <c r="J413" i="26"/>
  <c r="I413" i="26"/>
  <c r="H413" i="26"/>
  <c r="G413" i="26"/>
  <c r="C413" i="26"/>
  <c r="B413" i="26"/>
  <c r="K408" i="26"/>
  <c r="J408" i="26"/>
  <c r="I408" i="26"/>
  <c r="H408" i="26"/>
  <c r="G408" i="26"/>
  <c r="C408" i="26"/>
  <c r="B408" i="26"/>
  <c r="K407" i="26"/>
  <c r="J407" i="26"/>
  <c r="I407" i="26"/>
  <c r="H407" i="26"/>
  <c r="G407" i="26"/>
  <c r="C407" i="26"/>
  <c r="B407" i="26"/>
  <c r="K402" i="26"/>
  <c r="J402" i="26"/>
  <c r="I402" i="26"/>
  <c r="H402" i="26"/>
  <c r="G402" i="26"/>
  <c r="C402" i="26"/>
  <c r="B402" i="26"/>
  <c r="K401" i="26"/>
  <c r="J401" i="26"/>
  <c r="I401" i="26"/>
  <c r="H401" i="26"/>
  <c r="G401" i="26"/>
  <c r="C401" i="26"/>
  <c r="B401" i="26"/>
  <c r="K397" i="26"/>
  <c r="K390" i="26"/>
  <c r="J390" i="26"/>
  <c r="I390" i="26"/>
  <c r="H390" i="26"/>
  <c r="G390" i="26"/>
  <c r="C390" i="26"/>
  <c r="B390" i="26"/>
  <c r="K380" i="26"/>
  <c r="K371" i="26"/>
  <c r="J371" i="26"/>
  <c r="I371" i="26"/>
  <c r="H371" i="26"/>
  <c r="G371" i="26"/>
  <c r="C371" i="26"/>
  <c r="B371" i="26"/>
  <c r="K370" i="26"/>
  <c r="J370" i="26"/>
  <c r="I370" i="26"/>
  <c r="H370" i="26"/>
  <c r="G370" i="26"/>
  <c r="C370" i="26"/>
  <c r="B370" i="26"/>
  <c r="K365" i="26"/>
  <c r="J365" i="26"/>
  <c r="I365" i="26"/>
  <c r="H365" i="26"/>
  <c r="G365" i="26"/>
  <c r="C365" i="26"/>
  <c r="B365" i="26"/>
  <c r="K363" i="26"/>
  <c r="J363" i="26"/>
  <c r="I363" i="26"/>
  <c r="H363" i="26"/>
  <c r="G363" i="26"/>
  <c r="C363" i="26"/>
  <c r="B363" i="26"/>
  <c r="K352" i="26"/>
  <c r="K346" i="26"/>
  <c r="J346" i="26"/>
  <c r="I346" i="26"/>
  <c r="H346" i="26"/>
  <c r="G346" i="26"/>
  <c r="C346" i="26"/>
  <c r="B346" i="26"/>
  <c r="K338" i="26"/>
  <c r="J338" i="26"/>
  <c r="I338" i="26"/>
  <c r="H338" i="26"/>
  <c r="G338" i="26"/>
  <c r="C338" i="26"/>
  <c r="B338" i="26"/>
  <c r="K337" i="26"/>
  <c r="J337" i="26"/>
  <c r="I337" i="26"/>
  <c r="H337" i="26"/>
  <c r="G337" i="26"/>
  <c r="C337" i="26"/>
  <c r="B337" i="26"/>
  <c r="K335" i="26"/>
  <c r="J335" i="26"/>
  <c r="I335" i="26"/>
  <c r="H335" i="26"/>
  <c r="G335" i="26"/>
  <c r="C335" i="26"/>
  <c r="B335" i="26"/>
  <c r="K333" i="26"/>
  <c r="J333" i="26"/>
  <c r="I333" i="26"/>
  <c r="H333" i="26"/>
  <c r="G333" i="26"/>
  <c r="C333" i="26"/>
  <c r="B333" i="26"/>
  <c r="K332" i="26"/>
  <c r="J332" i="26"/>
  <c r="I332" i="26"/>
  <c r="H332" i="26"/>
  <c r="G332" i="26"/>
  <c r="C332" i="26"/>
  <c r="B332" i="26"/>
  <c r="K328" i="26"/>
  <c r="K318" i="26"/>
  <c r="J318" i="26"/>
  <c r="I318" i="26"/>
  <c r="H318" i="26"/>
  <c r="G318" i="26"/>
  <c r="C318" i="26"/>
  <c r="B318" i="26"/>
  <c r="K317" i="26"/>
  <c r="J317" i="26"/>
  <c r="I317" i="26"/>
  <c r="H317" i="26"/>
  <c r="G317" i="26"/>
  <c r="C317" i="26"/>
  <c r="B317" i="26"/>
  <c r="K316" i="26"/>
  <c r="J316" i="26"/>
  <c r="I316" i="26"/>
  <c r="H316" i="26"/>
  <c r="G316" i="26"/>
  <c r="C316" i="26"/>
  <c r="B316" i="26"/>
  <c r="K315" i="26"/>
  <c r="J315" i="26"/>
  <c r="I315" i="26"/>
  <c r="H315" i="26"/>
  <c r="G315" i="26"/>
  <c r="C315" i="26"/>
  <c r="B315" i="26"/>
  <c r="K314" i="26"/>
  <c r="J314" i="26"/>
  <c r="I314" i="26"/>
  <c r="H314" i="26"/>
  <c r="G314" i="26"/>
  <c r="C314" i="26"/>
  <c r="B314" i="26"/>
  <c r="K310" i="26"/>
  <c r="K302" i="26"/>
  <c r="J302" i="26"/>
  <c r="I302" i="26"/>
  <c r="H302" i="26"/>
  <c r="G302" i="26"/>
  <c r="C302" i="26"/>
  <c r="B302" i="26"/>
  <c r="K296" i="26"/>
  <c r="K288" i="26"/>
  <c r="K271" i="26"/>
  <c r="K260" i="26"/>
  <c r="J260" i="26"/>
  <c r="I260" i="26"/>
  <c r="H260" i="26"/>
  <c r="G260" i="26"/>
  <c r="C260" i="26"/>
  <c r="B260" i="26"/>
  <c r="K259" i="26"/>
  <c r="J259" i="26"/>
  <c r="I259" i="26"/>
  <c r="H259" i="26"/>
  <c r="G259" i="26"/>
  <c r="C259" i="26"/>
  <c r="B259" i="26"/>
  <c r="K251" i="26"/>
  <c r="K240" i="26"/>
  <c r="K322" i="26" s="1"/>
  <c r="K448" i="26" s="1"/>
  <c r="J240" i="26"/>
  <c r="J322" i="26" s="1"/>
  <c r="J448" i="26" s="1"/>
  <c r="I240" i="26"/>
  <c r="I322" i="26" s="1"/>
  <c r="I448" i="26" s="1"/>
  <c r="H240" i="26"/>
  <c r="H322" i="26" s="1"/>
  <c r="H448" i="26" s="1"/>
  <c r="G240" i="26"/>
  <c r="G322" i="26" s="1"/>
  <c r="G448" i="26" s="1"/>
  <c r="C240" i="26"/>
  <c r="C322" i="26" s="1"/>
  <c r="C448" i="26" s="1"/>
  <c r="B240" i="26"/>
  <c r="B322" i="26" s="1"/>
  <c r="B448" i="26" s="1"/>
  <c r="K234" i="26"/>
  <c r="K247" i="26" s="1"/>
  <c r="J234" i="26"/>
  <c r="J247" i="26" s="1"/>
  <c r="I234" i="26"/>
  <c r="I247" i="26" s="1"/>
  <c r="H234" i="26"/>
  <c r="H247" i="26" s="1"/>
  <c r="G234" i="26"/>
  <c r="G247" i="26" s="1"/>
  <c r="C234" i="26"/>
  <c r="C247" i="26" s="1"/>
  <c r="B234" i="26"/>
  <c r="B247" i="26" s="1"/>
  <c r="K229" i="26"/>
  <c r="J229" i="26"/>
  <c r="I229" i="26"/>
  <c r="H229" i="26"/>
  <c r="G229" i="26"/>
  <c r="C229" i="26"/>
  <c r="B229" i="26"/>
  <c r="K225" i="26"/>
  <c r="J225" i="26"/>
  <c r="I225" i="26"/>
  <c r="H225" i="26"/>
  <c r="G225" i="26"/>
  <c r="C225" i="26"/>
  <c r="B225" i="26"/>
  <c r="K207" i="26"/>
  <c r="J207" i="26"/>
  <c r="I207" i="26"/>
  <c r="H207" i="26"/>
  <c r="H46" i="31" s="1"/>
  <c r="G207" i="26"/>
  <c r="G46" i="31" s="1"/>
  <c r="C207" i="26"/>
  <c r="B207" i="26"/>
  <c r="K198" i="26"/>
  <c r="K188" i="26"/>
  <c r="J188" i="26"/>
  <c r="I188" i="26"/>
  <c r="H188" i="26"/>
  <c r="G188" i="26"/>
  <c r="C188" i="26"/>
  <c r="B188" i="26"/>
  <c r="K181" i="26"/>
  <c r="J181" i="26"/>
  <c r="I181" i="26"/>
  <c r="H181" i="26"/>
  <c r="G181" i="26"/>
  <c r="C181" i="26"/>
  <c r="B181" i="26"/>
  <c r="K174" i="26"/>
  <c r="J174" i="26"/>
  <c r="I174" i="26"/>
  <c r="H174" i="26"/>
  <c r="G174" i="26"/>
  <c r="C174" i="26"/>
  <c r="B174" i="26"/>
  <c r="K169" i="26"/>
  <c r="J169" i="26"/>
  <c r="I169" i="26"/>
  <c r="H169" i="26"/>
  <c r="G169" i="26"/>
  <c r="C169" i="26"/>
  <c r="B169" i="26"/>
  <c r="K156" i="26"/>
  <c r="J156" i="26"/>
  <c r="J9" i="31" s="1"/>
  <c r="I156" i="26"/>
  <c r="I9" i="31" s="1"/>
  <c r="H156" i="26"/>
  <c r="G156" i="26"/>
  <c r="C156" i="26"/>
  <c r="B156" i="26"/>
  <c r="B9" i="31" s="1"/>
  <c r="B71" i="30" s="1"/>
  <c r="K153" i="26"/>
  <c r="J153" i="26"/>
  <c r="I153" i="26"/>
  <c r="H153" i="26"/>
  <c r="G153" i="26"/>
  <c r="C153" i="26"/>
  <c r="B153" i="26"/>
  <c r="K147" i="26"/>
  <c r="J147" i="26"/>
  <c r="I147" i="26"/>
  <c r="H147" i="26"/>
  <c r="G147" i="26"/>
  <c r="C147" i="26"/>
  <c r="L6" i="77" s="1"/>
  <c r="B147" i="26"/>
  <c r="K6" i="77" s="1"/>
  <c r="A143" i="26"/>
  <c r="K139" i="26"/>
  <c r="K129" i="26"/>
  <c r="K51" i="30" s="1"/>
  <c r="J129" i="26"/>
  <c r="J51" i="30" s="1"/>
  <c r="I129" i="26"/>
  <c r="H129" i="26"/>
  <c r="H51" i="30" s="1"/>
  <c r="G129" i="26"/>
  <c r="C129" i="26"/>
  <c r="C51" i="30" s="1"/>
  <c r="B129" i="26"/>
  <c r="B51" i="30" s="1"/>
  <c r="K125" i="26"/>
  <c r="J125" i="26"/>
  <c r="J49" i="30" s="1"/>
  <c r="I125" i="26"/>
  <c r="I49" i="30" s="1"/>
  <c r="H125" i="26"/>
  <c r="H49" i="30" s="1"/>
  <c r="G125" i="26"/>
  <c r="G49" i="30" s="1"/>
  <c r="C125" i="26"/>
  <c r="B125" i="26"/>
  <c r="B49" i="30" s="1"/>
  <c r="K122" i="26"/>
  <c r="K48" i="30" s="1"/>
  <c r="K88" i="30" s="1"/>
  <c r="J122" i="26"/>
  <c r="J48" i="30" s="1"/>
  <c r="I122" i="26"/>
  <c r="I48" i="30" s="1"/>
  <c r="H122" i="26"/>
  <c r="H48" i="30" s="1"/>
  <c r="G122" i="26"/>
  <c r="G48" i="30" s="1"/>
  <c r="C122" i="26"/>
  <c r="C48" i="30" s="1"/>
  <c r="C88" i="30" s="1"/>
  <c r="B122" i="26"/>
  <c r="B48" i="30" s="1"/>
  <c r="K114" i="26"/>
  <c r="K45" i="30" s="1"/>
  <c r="J114" i="26"/>
  <c r="J45" i="30" s="1"/>
  <c r="I114" i="26"/>
  <c r="I45" i="30" s="1"/>
  <c r="H114" i="26"/>
  <c r="H45" i="30" s="1"/>
  <c r="G114" i="26"/>
  <c r="G45" i="30" s="1"/>
  <c r="C114" i="26"/>
  <c r="C45" i="30" s="1"/>
  <c r="B114" i="26"/>
  <c r="B45" i="30" s="1"/>
  <c r="K108" i="26"/>
  <c r="K44" i="30" s="1"/>
  <c r="J108" i="26"/>
  <c r="J44" i="30" s="1"/>
  <c r="I108" i="26"/>
  <c r="I44" i="30" s="1"/>
  <c r="H108" i="26"/>
  <c r="H44" i="30" s="1"/>
  <c r="G108" i="26"/>
  <c r="G44" i="30" s="1"/>
  <c r="C108" i="26"/>
  <c r="B108" i="26"/>
  <c r="K98" i="26"/>
  <c r="K96" i="26" s="1"/>
  <c r="K40" i="30" s="1"/>
  <c r="J98" i="26"/>
  <c r="J96" i="26" s="1"/>
  <c r="J40" i="30" s="1"/>
  <c r="I98" i="26"/>
  <c r="I96" i="26" s="1"/>
  <c r="I40" i="30" s="1"/>
  <c r="H98" i="26"/>
  <c r="H96" i="26" s="1"/>
  <c r="H40" i="30" s="1"/>
  <c r="G98" i="26"/>
  <c r="G96" i="26" s="1"/>
  <c r="G40" i="30" s="1"/>
  <c r="C98" i="26"/>
  <c r="C96" i="26" s="1"/>
  <c r="C40" i="30" s="1"/>
  <c r="B98" i="26"/>
  <c r="B96" i="26" s="1"/>
  <c r="B40" i="30" s="1"/>
  <c r="K85" i="26"/>
  <c r="K35" i="30" s="1"/>
  <c r="J85" i="26"/>
  <c r="J35" i="30" s="1"/>
  <c r="I85" i="26"/>
  <c r="I35" i="30" s="1"/>
  <c r="H85" i="26"/>
  <c r="H35" i="30" s="1"/>
  <c r="G85" i="26"/>
  <c r="G35" i="30" s="1"/>
  <c r="C85" i="26"/>
  <c r="C35" i="30" s="1"/>
  <c r="B85" i="26"/>
  <c r="B35" i="30" s="1"/>
  <c r="K77" i="26"/>
  <c r="J77" i="26"/>
  <c r="I77" i="26"/>
  <c r="H77" i="26"/>
  <c r="G77" i="26"/>
  <c r="C77" i="26"/>
  <c r="B77" i="26"/>
  <c r="K70" i="26"/>
  <c r="K61" i="26"/>
  <c r="K23" i="30" s="1"/>
  <c r="J61" i="26"/>
  <c r="J23" i="30" s="1"/>
  <c r="J90" i="30" s="1"/>
  <c r="I61" i="26"/>
  <c r="I23" i="30" s="1"/>
  <c r="I90" i="30" s="1"/>
  <c r="H61" i="26"/>
  <c r="H23" i="30" s="1"/>
  <c r="H90" i="30" s="1"/>
  <c r="G61" i="26"/>
  <c r="C61" i="26"/>
  <c r="C23" i="30" s="1"/>
  <c r="B61" i="26"/>
  <c r="B23" i="30" s="1"/>
  <c r="K23" i="77" s="1"/>
  <c r="K57" i="26"/>
  <c r="J57" i="26"/>
  <c r="I57" i="26"/>
  <c r="H57" i="26"/>
  <c r="G57" i="26"/>
  <c r="C57" i="26"/>
  <c r="B57" i="26"/>
  <c r="K48" i="26"/>
  <c r="K47" i="26" s="1"/>
  <c r="K19" i="30" s="1"/>
  <c r="J48" i="26"/>
  <c r="J47" i="26" s="1"/>
  <c r="J19" i="30" s="1"/>
  <c r="I48" i="26"/>
  <c r="I47" i="26" s="1"/>
  <c r="I19" i="30" s="1"/>
  <c r="H48" i="26"/>
  <c r="H47" i="26" s="1"/>
  <c r="H19" i="30" s="1"/>
  <c r="G48" i="26"/>
  <c r="G47" i="26" s="1"/>
  <c r="G19" i="30" s="1"/>
  <c r="C48" i="26"/>
  <c r="C47" i="26" s="1"/>
  <c r="C19" i="30" s="1"/>
  <c r="B48" i="26"/>
  <c r="B47" i="26" s="1"/>
  <c r="B19" i="30" s="1"/>
  <c r="K24" i="77" s="1"/>
  <c r="K43" i="26"/>
  <c r="K18" i="30" s="1"/>
  <c r="J43" i="26"/>
  <c r="J18" i="30" s="1"/>
  <c r="I43" i="26"/>
  <c r="I18" i="30" s="1"/>
  <c r="H43" i="26"/>
  <c r="H18" i="30" s="1"/>
  <c r="G43" i="26"/>
  <c r="G18" i="30" s="1"/>
  <c r="C43" i="26"/>
  <c r="C18" i="30" s="1"/>
  <c r="B43" i="26"/>
  <c r="B18" i="30" s="1"/>
  <c r="K37" i="26"/>
  <c r="K14" i="30" s="1"/>
  <c r="J37" i="26"/>
  <c r="J14" i="30" s="1"/>
  <c r="I37" i="26"/>
  <c r="I14" i="30" s="1"/>
  <c r="H37" i="26"/>
  <c r="H14" i="30" s="1"/>
  <c r="G37" i="26"/>
  <c r="G14" i="30" s="1"/>
  <c r="C37" i="26"/>
  <c r="C14" i="30" s="1"/>
  <c r="B37" i="26"/>
  <c r="B14" i="30" s="1"/>
  <c r="K34" i="26"/>
  <c r="J34" i="26"/>
  <c r="I34" i="26"/>
  <c r="H34" i="26"/>
  <c r="G34" i="26"/>
  <c r="C34" i="26"/>
  <c r="B34" i="26"/>
  <c r="K30" i="26"/>
  <c r="J30" i="26"/>
  <c r="I30" i="26"/>
  <c r="H30" i="26"/>
  <c r="G30" i="26"/>
  <c r="C30" i="26"/>
  <c r="B30" i="26"/>
  <c r="K21" i="26"/>
  <c r="J21" i="26"/>
  <c r="I21" i="26"/>
  <c r="H21" i="26"/>
  <c r="G21" i="26"/>
  <c r="C21" i="26"/>
  <c r="B21" i="26"/>
  <c r="A13" i="26"/>
  <c r="J328" i="26"/>
  <c r="C70" i="26"/>
  <c r="J46" i="29"/>
  <c r="I46" i="29"/>
  <c r="G46" i="29"/>
  <c r="G17" i="29"/>
  <c r="E14" i="29"/>
  <c r="H5" i="29"/>
  <c r="I14" i="29" s="1"/>
  <c r="G4" i="29"/>
  <c r="A5" i="24"/>
  <c r="A6" i="24" s="1"/>
  <c r="A7" i="24" s="1"/>
  <c r="A8" i="24" s="1"/>
  <c r="A9" i="24" s="1"/>
  <c r="A10" i="24" s="1"/>
  <c r="A11" i="24" s="1"/>
  <c r="A12" i="24" s="1"/>
  <c r="A13" i="24" s="1"/>
  <c r="A14" i="24" s="1"/>
  <c r="A15" i="24" s="1"/>
  <c r="A16" i="24" s="1"/>
  <c r="A17" i="24" s="1"/>
  <c r="A18" i="24" s="1"/>
  <c r="A19" i="24" s="1"/>
  <c r="A20" i="24" s="1"/>
  <c r="A21" i="24" s="1"/>
  <c r="A22" i="24" s="1"/>
  <c r="A23" i="24" s="1"/>
  <c r="A24" i="24" s="1"/>
  <c r="A25" i="24" s="1"/>
  <c r="A26" i="24" s="1"/>
  <c r="A27" i="24" s="1"/>
  <c r="A28" i="24" s="1"/>
  <c r="D11" i="31" l="1"/>
  <c r="D53" i="16"/>
  <c r="D53" i="51"/>
  <c r="F53" i="16"/>
  <c r="F53" i="51"/>
  <c r="E53" i="51"/>
  <c r="E53" i="16"/>
  <c r="F73" i="51"/>
  <c r="F73" i="16"/>
  <c r="E73" i="51"/>
  <c r="E73" i="16"/>
  <c r="D73" i="51"/>
  <c r="D73" i="16"/>
  <c r="F15" i="51"/>
  <c r="F15" i="16"/>
  <c r="F36" i="51"/>
  <c r="F36" i="16"/>
  <c r="E17" i="51"/>
  <c r="E17" i="16"/>
  <c r="F38" i="51"/>
  <c r="F38" i="16"/>
  <c r="E24" i="51"/>
  <c r="E24" i="16"/>
  <c r="D17" i="51"/>
  <c r="D136" i="51" s="1"/>
  <c r="D17" i="16"/>
  <c r="D35" i="51"/>
  <c r="D35" i="16"/>
  <c r="E38" i="51"/>
  <c r="E38" i="16"/>
  <c r="F12" i="51"/>
  <c r="F12" i="16"/>
  <c r="D36" i="51"/>
  <c r="D36" i="16"/>
  <c r="E15" i="51"/>
  <c r="E15" i="16"/>
  <c r="F17" i="51"/>
  <c r="F17" i="16"/>
  <c r="E36" i="51"/>
  <c r="E36" i="16"/>
  <c r="E12" i="51"/>
  <c r="E12" i="16"/>
  <c r="D24" i="51"/>
  <c r="D24" i="16"/>
  <c r="D38" i="51"/>
  <c r="D38" i="16"/>
  <c r="F24" i="51"/>
  <c r="F24" i="16"/>
  <c r="F35" i="51"/>
  <c r="F35" i="16"/>
  <c r="E88" i="30"/>
  <c r="E35" i="51"/>
  <c r="M18" i="77"/>
  <c r="D12" i="51"/>
  <c r="F71" i="16"/>
  <c r="E71" i="16"/>
  <c r="D71" i="16"/>
  <c r="D68" i="16"/>
  <c r="F68" i="16"/>
  <c r="E68" i="16"/>
  <c r="F500" i="26"/>
  <c r="E511" i="26"/>
  <c r="F502" i="26"/>
  <c r="E416" i="26"/>
  <c r="N13" i="77" s="1"/>
  <c r="D26" i="77" s="1"/>
  <c r="F179" i="26"/>
  <c r="F196" i="26" s="1"/>
  <c r="F202" i="26" s="1"/>
  <c r="F212" i="26" s="1"/>
  <c r="F416" i="26"/>
  <c r="O13" i="77" s="1"/>
  <c r="E26" i="77" s="1"/>
  <c r="I512" i="26"/>
  <c r="F68" i="51"/>
  <c r="E510" i="26"/>
  <c r="E509" i="26"/>
  <c r="J512" i="26"/>
  <c r="H512" i="26"/>
  <c r="F478" i="26"/>
  <c r="J13" i="30"/>
  <c r="J12" i="30" s="1"/>
  <c r="J16" i="30" s="1"/>
  <c r="D16" i="30"/>
  <c r="E68" i="51"/>
  <c r="B13" i="30"/>
  <c r="B12" i="30" s="1"/>
  <c r="K18" i="77" s="1"/>
  <c r="E340" i="26"/>
  <c r="E344" i="26" s="1"/>
  <c r="E349" i="26" s="1"/>
  <c r="D500" i="26"/>
  <c r="D179" i="26"/>
  <c r="D196" i="26" s="1"/>
  <c r="D202" i="26" s="1"/>
  <c r="D212" i="26" s="1"/>
  <c r="D499" i="26"/>
  <c r="F71" i="51"/>
  <c r="D502" i="26"/>
  <c r="H13" i="30"/>
  <c r="H12" i="30" s="1"/>
  <c r="H16" i="30" s="1"/>
  <c r="C264" i="26"/>
  <c r="H89" i="16"/>
  <c r="D76" i="30"/>
  <c r="M19" i="77" s="1"/>
  <c r="C17" i="77" s="1"/>
  <c r="F340" i="26"/>
  <c r="F344" i="26" s="1"/>
  <c r="F349" i="26" s="1"/>
  <c r="K512" i="26"/>
  <c r="D490" i="26"/>
  <c r="H26" i="30"/>
  <c r="H76" i="30"/>
  <c r="F16" i="30"/>
  <c r="O18" i="77"/>
  <c r="G66" i="30"/>
  <c r="G33" i="30"/>
  <c r="G38" i="30" s="1"/>
  <c r="J42" i="30"/>
  <c r="J63" i="30"/>
  <c r="G498" i="26"/>
  <c r="G9" i="31"/>
  <c r="N18" i="77"/>
  <c r="E16" i="30"/>
  <c r="K13" i="30"/>
  <c r="K12" i="30" s="1"/>
  <c r="L24" i="77"/>
  <c r="C26" i="30"/>
  <c r="H33" i="30"/>
  <c r="H38" i="30" s="1"/>
  <c r="H66" i="30"/>
  <c r="K63" i="30"/>
  <c r="K42" i="30"/>
  <c r="C334" i="26"/>
  <c r="C49" i="30"/>
  <c r="C76" i="30" s="1"/>
  <c r="L19" i="77" s="1"/>
  <c r="G336" i="26"/>
  <c r="G51" i="30"/>
  <c r="G76" i="30" s="1"/>
  <c r="H498" i="26"/>
  <c r="H9" i="31"/>
  <c r="G514" i="26"/>
  <c r="G47" i="29"/>
  <c r="G72" i="30"/>
  <c r="J84" i="30"/>
  <c r="J28" i="29"/>
  <c r="D88" i="30"/>
  <c r="D46" i="30"/>
  <c r="D55" i="30" s="1"/>
  <c r="F88" i="30"/>
  <c r="F46" i="30"/>
  <c r="F55" i="30" s="1"/>
  <c r="I66" i="30"/>
  <c r="I33" i="30"/>
  <c r="I38" i="30" s="1"/>
  <c r="I71" i="30"/>
  <c r="I11" i="31"/>
  <c r="I18" i="31" s="1"/>
  <c r="B434" i="26"/>
  <c r="B46" i="31"/>
  <c r="I264" i="26"/>
  <c r="H72" i="30"/>
  <c r="H47" i="29"/>
  <c r="K84" i="30"/>
  <c r="K28" i="29"/>
  <c r="L28" i="29"/>
  <c r="E71" i="51"/>
  <c r="M23" i="77"/>
  <c r="C18" i="77" s="1"/>
  <c r="D90" i="30"/>
  <c r="N23" i="77"/>
  <c r="D18" i="77" s="1"/>
  <c r="E90" i="30"/>
  <c r="G342" i="26"/>
  <c r="G23" i="30"/>
  <c r="G90" i="30" s="1"/>
  <c r="C514" i="26"/>
  <c r="C72" i="30"/>
  <c r="C47" i="29"/>
  <c r="I28" i="29"/>
  <c r="I84" i="30"/>
  <c r="E71" i="30"/>
  <c r="E11" i="31"/>
  <c r="D59" i="30"/>
  <c r="D74" i="30" s="1"/>
  <c r="D79" i="30" s="1"/>
  <c r="D31" i="30"/>
  <c r="O23" i="77"/>
  <c r="E18" i="77" s="1"/>
  <c r="F90" i="30"/>
  <c r="F38" i="30"/>
  <c r="O20" i="77"/>
  <c r="O34" i="77" s="1"/>
  <c r="E22" i="77" s="1"/>
  <c r="C13" i="30"/>
  <c r="C12" i="30" s="1"/>
  <c r="C19" i="29" s="1"/>
  <c r="I26" i="30"/>
  <c r="K66" i="30"/>
  <c r="K33" i="30"/>
  <c r="K38" i="30" s="1"/>
  <c r="K21" i="29" s="1"/>
  <c r="K35" i="29" s="1"/>
  <c r="C107" i="26"/>
  <c r="C44" i="30"/>
  <c r="H88" i="30"/>
  <c r="H46" i="30"/>
  <c r="B28" i="29"/>
  <c r="B84" i="30"/>
  <c r="K59" i="30"/>
  <c r="K74" i="30" s="1"/>
  <c r="K79" i="30" s="1"/>
  <c r="K31" i="30"/>
  <c r="F490" i="26"/>
  <c r="G13" i="30"/>
  <c r="G12" i="30" s="1"/>
  <c r="G16" i="30" s="1"/>
  <c r="J76" i="30"/>
  <c r="J26" i="30"/>
  <c r="G42" i="30"/>
  <c r="I88" i="30"/>
  <c r="J145" i="26"/>
  <c r="J510" i="26" s="1"/>
  <c r="K47" i="29"/>
  <c r="K72" i="30"/>
  <c r="C84" i="30"/>
  <c r="C28" i="29"/>
  <c r="K53" i="31"/>
  <c r="K3" i="29"/>
  <c r="K16" i="29" s="1"/>
  <c r="K25" i="29" s="1"/>
  <c r="K34" i="29" s="1"/>
  <c r="K43" i="29" s="1"/>
  <c r="F400" i="26"/>
  <c r="F403" i="26" s="1"/>
  <c r="F433" i="26" s="1"/>
  <c r="F436" i="26" s="1"/>
  <c r="H52" i="18"/>
  <c r="D71" i="30"/>
  <c r="E46" i="30"/>
  <c r="E55" i="30" s="1"/>
  <c r="E63" i="30"/>
  <c r="K434" i="26"/>
  <c r="K46" i="31"/>
  <c r="B107" i="26"/>
  <c r="B44" i="30"/>
  <c r="I336" i="26"/>
  <c r="I51" i="30"/>
  <c r="I46" i="30" s="1"/>
  <c r="I514" i="26"/>
  <c r="I72" i="30"/>
  <c r="I47" i="29"/>
  <c r="E38" i="30"/>
  <c r="N20" i="77"/>
  <c r="N34" i="77" s="1"/>
  <c r="D22" i="77" s="1"/>
  <c r="D38" i="30"/>
  <c r="M20" i="77"/>
  <c r="M34" i="77" s="1"/>
  <c r="C22" i="77" s="1"/>
  <c r="K44" i="29"/>
  <c r="K26" i="30"/>
  <c r="B75" i="26"/>
  <c r="B33" i="30"/>
  <c r="K20" i="77" s="1"/>
  <c r="K34" i="77" s="1"/>
  <c r="B66" i="30"/>
  <c r="H63" i="30"/>
  <c r="H42" i="30"/>
  <c r="J88" i="30"/>
  <c r="J46" i="30"/>
  <c r="K334" i="26"/>
  <c r="K49" i="30"/>
  <c r="K76" i="30" s="1"/>
  <c r="K20" i="29" s="1"/>
  <c r="I434" i="26"/>
  <c r="I46" i="31"/>
  <c r="G28" i="29"/>
  <c r="G84" i="30"/>
  <c r="H412" i="26"/>
  <c r="D340" i="26"/>
  <c r="D344" i="26" s="1"/>
  <c r="D349" i="26" s="1"/>
  <c r="O24" i="77"/>
  <c r="F26" i="30"/>
  <c r="F76" i="30"/>
  <c r="O19" i="77" s="1"/>
  <c r="E17" i="77" s="1"/>
  <c r="D26" i="30"/>
  <c r="F71" i="30"/>
  <c r="F11" i="31"/>
  <c r="D63" i="30"/>
  <c r="J66" i="30"/>
  <c r="J33" i="30"/>
  <c r="J38" i="30" s="1"/>
  <c r="G88" i="30"/>
  <c r="J71" i="30"/>
  <c r="J11" i="31"/>
  <c r="J18" i="31" s="1"/>
  <c r="C434" i="26"/>
  <c r="C46" i="31"/>
  <c r="E76" i="30"/>
  <c r="N19" i="77" s="1"/>
  <c r="D17" i="77" s="1"/>
  <c r="E26" i="30"/>
  <c r="N24" i="77"/>
  <c r="K90" i="30"/>
  <c r="K45" i="29"/>
  <c r="K498" i="26"/>
  <c r="K9" i="31"/>
  <c r="J514" i="26"/>
  <c r="J72" i="30"/>
  <c r="J47" i="29"/>
  <c r="I13" i="30"/>
  <c r="I12" i="30" s="1"/>
  <c r="I16" i="30" s="1"/>
  <c r="C90" i="30"/>
  <c r="L23" i="77"/>
  <c r="C66" i="30"/>
  <c r="C33" i="30"/>
  <c r="I63" i="30"/>
  <c r="I42" i="30"/>
  <c r="C498" i="26"/>
  <c r="C9" i="31"/>
  <c r="J434" i="26"/>
  <c r="J46" i="31"/>
  <c r="B72" i="30"/>
  <c r="B47" i="29"/>
  <c r="H28" i="29"/>
  <c r="H84" i="30"/>
  <c r="E490" i="26"/>
  <c r="F63" i="30"/>
  <c r="J89" i="16"/>
  <c r="G512" i="26"/>
  <c r="E478" i="26"/>
  <c r="D71" i="51"/>
  <c r="C5" i="29"/>
  <c r="K89" i="16"/>
  <c r="J52" i="18"/>
  <c r="E69" i="26"/>
  <c r="E508" i="26" s="1"/>
  <c r="C9" i="29"/>
  <c r="F52" i="18"/>
  <c r="J18" i="29"/>
  <c r="G52" i="18"/>
  <c r="C75" i="26"/>
  <c r="D513" i="26"/>
  <c r="F511" i="26"/>
  <c r="E52" i="18"/>
  <c r="B18" i="29"/>
  <c r="H17" i="29"/>
  <c r="I75" i="26"/>
  <c r="I107" i="26"/>
  <c r="J264" i="26"/>
  <c r="D511" i="26"/>
  <c r="K264" i="26"/>
  <c r="H414" i="26"/>
  <c r="D45" i="29"/>
  <c r="B120" i="26"/>
  <c r="B479" i="26" s="1"/>
  <c r="B412" i="26"/>
  <c r="I89" i="16"/>
  <c r="H107" i="26"/>
  <c r="D3" i="29"/>
  <c r="F509" i="26"/>
  <c r="C375" i="26"/>
  <c r="D510" i="26"/>
  <c r="F510" i="26"/>
  <c r="F105" i="26"/>
  <c r="F136" i="26" s="1"/>
  <c r="F491" i="26" s="1"/>
  <c r="C483" i="26"/>
  <c r="B264" i="26"/>
  <c r="K412" i="26"/>
  <c r="B46" i="29"/>
  <c r="C46" i="29"/>
  <c r="F479" i="26"/>
  <c r="E502" i="26"/>
  <c r="H120" i="26"/>
  <c r="H479" i="26" s="1"/>
  <c r="H145" i="26"/>
  <c r="H509" i="26" s="1"/>
  <c r="D58" i="16"/>
  <c r="D7" i="73" s="1"/>
  <c r="F69" i="26"/>
  <c r="F508" i="26" s="1"/>
  <c r="G5" i="29"/>
  <c r="D17" i="29"/>
  <c r="H29" i="26"/>
  <c r="H15" i="26" s="1"/>
  <c r="H266" i="26" s="1"/>
  <c r="K75" i="26"/>
  <c r="I120" i="26"/>
  <c r="I479" i="26" s="1"/>
  <c r="H264" i="26"/>
  <c r="H347" i="26"/>
  <c r="C412" i="26"/>
  <c r="F58" i="16"/>
  <c r="F7" i="73" s="1"/>
  <c r="H46" i="29"/>
  <c r="E400" i="26"/>
  <c r="E403" i="26" s="1"/>
  <c r="E433" i="26" s="1"/>
  <c r="E436" i="26" s="1"/>
  <c r="E500" i="26"/>
  <c r="E58" i="16"/>
  <c r="E7" i="73" s="1"/>
  <c r="B17" i="29"/>
  <c r="B512" i="26"/>
  <c r="I29" i="26"/>
  <c r="I15" i="26" s="1"/>
  <c r="I266" i="26" s="1"/>
  <c r="K483" i="26"/>
  <c r="C17" i="29"/>
  <c r="I9" i="29"/>
  <c r="E179" i="26"/>
  <c r="E196" i="26" s="1"/>
  <c r="E202" i="26" s="1"/>
  <c r="E212" i="26" s="1"/>
  <c r="E105" i="26"/>
  <c r="E136" i="26" s="1"/>
  <c r="E491" i="26" s="1"/>
  <c r="J5" i="29"/>
  <c r="K14" i="29" s="1"/>
  <c r="B20" i="30"/>
  <c r="B26" i="30" s="1"/>
  <c r="H90" i="16"/>
  <c r="I90" i="16"/>
  <c r="K90" i="16"/>
  <c r="I27" i="52"/>
  <c r="K27" i="52"/>
  <c r="H27" i="52"/>
  <c r="J27" i="52"/>
  <c r="I412" i="26"/>
  <c r="B514" i="26"/>
  <c r="H83" i="16"/>
  <c r="F37" i="18"/>
  <c r="F43" i="18" s="1"/>
  <c r="J107" i="26"/>
  <c r="H167" i="26"/>
  <c r="H499" i="26" s="1"/>
  <c r="J412" i="26"/>
  <c r="H425" i="26"/>
  <c r="H427" i="26" s="1"/>
  <c r="C452" i="26"/>
  <c r="B32" i="31"/>
  <c r="B11" i="29" s="1"/>
  <c r="I83" i="16"/>
  <c r="G37" i="18"/>
  <c r="G43" i="18" s="1"/>
  <c r="J83" i="16"/>
  <c r="H37" i="18"/>
  <c r="H43" i="18" s="1"/>
  <c r="B5" i="29"/>
  <c r="K375" i="26"/>
  <c r="K83" i="16"/>
  <c r="I37" i="18"/>
  <c r="I43" i="18" s="1"/>
  <c r="D69" i="26"/>
  <c r="J90" i="16"/>
  <c r="J120" i="26"/>
  <c r="J479" i="26" s="1"/>
  <c r="H483" i="26"/>
  <c r="J14" i="29"/>
  <c r="J75" i="26"/>
  <c r="K107" i="26"/>
  <c r="G264" i="26"/>
  <c r="B334" i="26"/>
  <c r="K452" i="26"/>
  <c r="J498" i="26"/>
  <c r="J11" i="29"/>
  <c r="C11" i="29"/>
  <c r="C512" i="26"/>
  <c r="J334" i="26"/>
  <c r="G414" i="26"/>
  <c r="H9" i="29"/>
  <c r="B82" i="30"/>
  <c r="G83" i="16"/>
  <c r="E37" i="18"/>
  <c r="E43" i="18" s="1"/>
  <c r="G27" i="52"/>
  <c r="G28" i="52" s="1"/>
  <c r="AB54" i="51"/>
  <c r="AB55" i="51" s="1"/>
  <c r="AR54" i="51"/>
  <c r="AR55" i="51" s="1"/>
  <c r="AZ54" i="51"/>
  <c r="AZ55" i="51" s="1"/>
  <c r="G53" i="16"/>
  <c r="D30" i="75" s="1"/>
  <c r="I53" i="16"/>
  <c r="F30" i="75" s="1"/>
  <c r="K53" i="16"/>
  <c r="H30" i="75" s="1"/>
  <c r="L54" i="51"/>
  <c r="L55" i="51" s="1"/>
  <c r="G167" i="26"/>
  <c r="G179" i="26" s="1"/>
  <c r="G196" i="26" s="1"/>
  <c r="G202" i="26" s="1"/>
  <c r="G212" i="26" s="1"/>
  <c r="G425" i="26"/>
  <c r="G427" i="26" s="1"/>
  <c r="D105" i="26"/>
  <c r="G29" i="26"/>
  <c r="G15" i="26" s="1"/>
  <c r="G266" i="26" s="1"/>
  <c r="D478" i="26"/>
  <c r="G412" i="26"/>
  <c r="D403" i="26"/>
  <c r="D433" i="26" s="1"/>
  <c r="D436" i="26" s="1"/>
  <c r="G7" i="29"/>
  <c r="Z15" i="53"/>
  <c r="Z17" i="53" s="1"/>
  <c r="L15" i="53"/>
  <c r="L17" i="53" s="1"/>
  <c r="T15" i="53"/>
  <c r="T17" i="53" s="1"/>
  <c r="AB15" i="53"/>
  <c r="AB17" i="53" s="1"/>
  <c r="AJ15" i="53"/>
  <c r="AJ17" i="53" s="1"/>
  <c r="AR15" i="53"/>
  <c r="AR17" i="53" s="1"/>
  <c r="AZ15" i="53"/>
  <c r="AZ17" i="53" s="1"/>
  <c r="BH15" i="53"/>
  <c r="BH17" i="53" s="1"/>
  <c r="H15" i="53"/>
  <c r="H17" i="53" s="1"/>
  <c r="AN15" i="53"/>
  <c r="AN17" i="53" s="1"/>
  <c r="AV15" i="53"/>
  <c r="AV17" i="53" s="1"/>
  <c r="BL15" i="53"/>
  <c r="BL17" i="53" s="1"/>
  <c r="BF15" i="53"/>
  <c r="BF17" i="53" s="1"/>
  <c r="J15" i="53"/>
  <c r="J17" i="53" s="1"/>
  <c r="R15" i="53"/>
  <c r="R17" i="53" s="1"/>
  <c r="AH15" i="53"/>
  <c r="AH17" i="53" s="1"/>
  <c r="AP15" i="53"/>
  <c r="AP17" i="53" s="1"/>
  <c r="AX15" i="53"/>
  <c r="AX17" i="53" s="1"/>
  <c r="BN15" i="53"/>
  <c r="BN17" i="53" s="1"/>
  <c r="M15" i="53"/>
  <c r="M17" i="53" s="1"/>
  <c r="U15" i="53"/>
  <c r="U17" i="53" s="1"/>
  <c r="AC15" i="53"/>
  <c r="AC17" i="53" s="1"/>
  <c r="AK15" i="53"/>
  <c r="AK17" i="53" s="1"/>
  <c r="AS15" i="53"/>
  <c r="AS17" i="53" s="1"/>
  <c r="BA15" i="53"/>
  <c r="BA17" i="53" s="1"/>
  <c r="BI15" i="53"/>
  <c r="BI17" i="53" s="1"/>
  <c r="X15" i="53"/>
  <c r="X17" i="53" s="1"/>
  <c r="BD15" i="53"/>
  <c r="BD17" i="53" s="1"/>
  <c r="W15" i="53"/>
  <c r="W17" i="53" s="1"/>
  <c r="AM15" i="53"/>
  <c r="AM17" i="53" s="1"/>
  <c r="AU15" i="53"/>
  <c r="AU17" i="53" s="1"/>
  <c r="BK15" i="53"/>
  <c r="BK17" i="53" s="1"/>
  <c r="AF15" i="53"/>
  <c r="AF17" i="53" s="1"/>
  <c r="I15" i="53"/>
  <c r="I17" i="53" s="1"/>
  <c r="Q15" i="53"/>
  <c r="Q17" i="53" s="1"/>
  <c r="Y15" i="53"/>
  <c r="Y17" i="53" s="1"/>
  <c r="AO15" i="53"/>
  <c r="AO17" i="53" s="1"/>
  <c r="AW15" i="53"/>
  <c r="AW17" i="53" s="1"/>
  <c r="BE15" i="53"/>
  <c r="BE17" i="53" s="1"/>
  <c r="BM15" i="53"/>
  <c r="BM17" i="53" s="1"/>
  <c r="V15" i="53"/>
  <c r="V17" i="53" s="1"/>
  <c r="AD15" i="53"/>
  <c r="AD17" i="53" s="1"/>
  <c r="AL15" i="53"/>
  <c r="AL17" i="53" s="1"/>
  <c r="AT15" i="53"/>
  <c r="AT17" i="53" s="1"/>
  <c r="BB15" i="53"/>
  <c r="BB17" i="53" s="1"/>
  <c r="BJ15" i="53"/>
  <c r="BJ17" i="53" s="1"/>
  <c r="AI15" i="53"/>
  <c r="AI17" i="53" s="1"/>
  <c r="AY15" i="53"/>
  <c r="AY17" i="53" s="1"/>
  <c r="BG15" i="53"/>
  <c r="BG17" i="53" s="1"/>
  <c r="AG15" i="53"/>
  <c r="AG17" i="53" s="1"/>
  <c r="K15" i="53"/>
  <c r="K17" i="53" s="1"/>
  <c r="AA15" i="53"/>
  <c r="AA17" i="53" s="1"/>
  <c r="H22" i="52"/>
  <c r="I22" i="52" s="1"/>
  <c r="J22" i="52" s="1"/>
  <c r="K22" i="52" s="1"/>
  <c r="L22" i="52" s="1"/>
  <c r="M22" i="52" s="1"/>
  <c r="N22" i="52" s="1"/>
  <c r="O22" i="52" s="1"/>
  <c r="P22" i="52" s="1"/>
  <c r="Q22" i="52" s="1"/>
  <c r="R22" i="52" s="1"/>
  <c r="S22" i="52" s="1"/>
  <c r="T22" i="52" s="1"/>
  <c r="U22" i="52" s="1"/>
  <c r="V22" i="52" s="1"/>
  <c r="W22" i="52" s="1"/>
  <c r="X22" i="52" s="1"/>
  <c r="Y22" i="52" s="1"/>
  <c r="Z22" i="52" s="1"/>
  <c r="AA22" i="52" s="1"/>
  <c r="AB22" i="52" s="1"/>
  <c r="AC22" i="52" s="1"/>
  <c r="AD22" i="52" s="1"/>
  <c r="AE22" i="52" s="1"/>
  <c r="AF22" i="52" s="1"/>
  <c r="AG22" i="52" s="1"/>
  <c r="AH22" i="52" s="1"/>
  <c r="AI22" i="52" s="1"/>
  <c r="AJ22" i="52" s="1"/>
  <c r="AK22" i="52" s="1"/>
  <c r="AL22" i="52" s="1"/>
  <c r="AM22" i="52" s="1"/>
  <c r="AN22" i="52" s="1"/>
  <c r="AO22" i="52" s="1"/>
  <c r="AP22" i="52" s="1"/>
  <c r="AQ22" i="52" s="1"/>
  <c r="AR22" i="52" s="1"/>
  <c r="AS22" i="52" s="1"/>
  <c r="AT22" i="52" s="1"/>
  <c r="AU22" i="52" s="1"/>
  <c r="AV22" i="52" s="1"/>
  <c r="AW22" i="52" s="1"/>
  <c r="AX22" i="52" s="1"/>
  <c r="AY22" i="52" s="1"/>
  <c r="AZ22" i="52" s="1"/>
  <c r="BA22" i="52" s="1"/>
  <c r="BB22" i="52" s="1"/>
  <c r="BC22" i="52" s="1"/>
  <c r="BD22" i="52" s="1"/>
  <c r="BE22" i="52" s="1"/>
  <c r="BF22" i="52" s="1"/>
  <c r="BG22" i="52" s="1"/>
  <c r="BH22" i="52" s="1"/>
  <c r="BI22" i="52" s="1"/>
  <c r="BJ22" i="52" s="1"/>
  <c r="BK22" i="52" s="1"/>
  <c r="BL22" i="52" s="1"/>
  <c r="BM22" i="52" s="1"/>
  <c r="BN22" i="52" s="1"/>
  <c r="BH52" i="51"/>
  <c r="BH54" i="51" s="1"/>
  <c r="BH55" i="51" s="1"/>
  <c r="O52" i="51"/>
  <c r="O54" i="51" s="1"/>
  <c r="W52" i="51"/>
  <c r="W54" i="51" s="1"/>
  <c r="AM52" i="51"/>
  <c r="AM54" i="51" s="1"/>
  <c r="AU52" i="51"/>
  <c r="AU54" i="51" s="1"/>
  <c r="BK52" i="51"/>
  <c r="BK54" i="51" s="1"/>
  <c r="T52" i="51"/>
  <c r="T54" i="51" s="1"/>
  <c r="T55" i="51" s="1"/>
  <c r="G7" i="52"/>
  <c r="C484" i="26"/>
  <c r="C331" i="26"/>
  <c r="K484" i="26"/>
  <c r="K331" i="26"/>
  <c r="J484" i="26"/>
  <c r="J331" i="26"/>
  <c r="J41" i="26"/>
  <c r="B484" i="26"/>
  <c r="B331" i="26"/>
  <c r="B41" i="26"/>
  <c r="G331" i="26"/>
  <c r="G484" i="26"/>
  <c r="J342" i="26"/>
  <c r="K347" i="26"/>
  <c r="H514" i="26"/>
  <c r="J458" i="26"/>
  <c r="B498" i="26"/>
  <c r="N55" i="51"/>
  <c r="X55" i="51"/>
  <c r="C41" i="26"/>
  <c r="K41" i="26"/>
  <c r="C342" i="26"/>
  <c r="K342" i="26"/>
  <c r="G75" i="26"/>
  <c r="H334" i="26"/>
  <c r="I145" i="26"/>
  <c r="E124" i="16"/>
  <c r="F110" i="16" s="1"/>
  <c r="E124" i="51"/>
  <c r="B342" i="26"/>
  <c r="B483" i="26"/>
  <c r="J483" i="26"/>
  <c r="C347" i="26"/>
  <c r="G334" i="26"/>
  <c r="C336" i="26"/>
  <c r="B11" i="31"/>
  <c r="K8" i="77" s="1"/>
  <c r="J296" i="26"/>
  <c r="AT55" i="51"/>
  <c r="C471" i="26"/>
  <c r="C352" i="26"/>
  <c r="C288" i="26"/>
  <c r="C397" i="26"/>
  <c r="C310" i="26"/>
  <c r="C271" i="26"/>
  <c r="C4" i="30"/>
  <c r="C251" i="26"/>
  <c r="C139" i="26"/>
  <c r="C198" i="26"/>
  <c r="C458" i="26"/>
  <c r="C380" i="26"/>
  <c r="C328" i="26"/>
  <c r="C296" i="26"/>
  <c r="H484" i="26"/>
  <c r="J70" i="26"/>
  <c r="H75" i="26"/>
  <c r="D138" i="51"/>
  <c r="I334" i="26"/>
  <c r="B375" i="26"/>
  <c r="B414" i="26"/>
  <c r="J375" i="26"/>
  <c r="J414" i="26"/>
  <c r="J380" i="26"/>
  <c r="B425" i="26"/>
  <c r="B427" i="26" s="1"/>
  <c r="G452" i="26"/>
  <c r="C120" i="26"/>
  <c r="F138" i="16"/>
  <c r="G347" i="26"/>
  <c r="H336" i="26"/>
  <c r="C145" i="26"/>
  <c r="C167" i="26"/>
  <c r="I452" i="26"/>
  <c r="K145" i="26"/>
  <c r="K167" i="26"/>
  <c r="H452" i="26"/>
  <c r="E17" i="29"/>
  <c r="B29" i="26"/>
  <c r="B15" i="26" s="1"/>
  <c r="B266" i="26" s="1"/>
  <c r="J29" i="26"/>
  <c r="J15" i="26" s="1"/>
  <c r="J266" i="26" s="1"/>
  <c r="G41" i="26"/>
  <c r="D120" i="16"/>
  <c r="D120" i="51"/>
  <c r="G483" i="26"/>
  <c r="B452" i="26"/>
  <c r="J452" i="26"/>
  <c r="K120" i="26"/>
  <c r="B145" i="26"/>
  <c r="C29" i="26"/>
  <c r="C15" i="26" s="1"/>
  <c r="C266" i="26" s="1"/>
  <c r="K29" i="26"/>
  <c r="K15" i="26" s="1"/>
  <c r="K266" i="26" s="1"/>
  <c r="H41" i="26"/>
  <c r="H342" i="26"/>
  <c r="G107" i="26"/>
  <c r="I347" i="26"/>
  <c r="J336" i="26"/>
  <c r="I498" i="26"/>
  <c r="H331" i="26"/>
  <c r="G9" i="29"/>
  <c r="G11" i="29"/>
  <c r="J4" i="31"/>
  <c r="J53" i="31" s="1"/>
  <c r="J471" i="26"/>
  <c r="J352" i="26"/>
  <c r="J288" i="26"/>
  <c r="J397" i="26"/>
  <c r="J310" i="26"/>
  <c r="J271" i="26"/>
  <c r="J4" i="30"/>
  <c r="J251" i="26"/>
  <c r="J139" i="26"/>
  <c r="J198" i="26"/>
  <c r="I484" i="26"/>
  <c r="I331" i="26"/>
  <c r="I41" i="26"/>
  <c r="I342" i="26"/>
  <c r="I483" i="26"/>
  <c r="G120" i="26"/>
  <c r="G479" i="26" s="1"/>
  <c r="B347" i="26"/>
  <c r="J347" i="26"/>
  <c r="B336" i="26"/>
  <c r="K336" i="26"/>
  <c r="J425" i="26"/>
  <c r="J427" i="26" s="1"/>
  <c r="C4" i="31"/>
  <c r="C53" i="31" s="1"/>
  <c r="I11" i="29"/>
  <c r="AV55" i="51"/>
  <c r="BD55" i="51"/>
  <c r="BL55" i="51"/>
  <c r="I167" i="26"/>
  <c r="G375" i="26"/>
  <c r="I414" i="26"/>
  <c r="I425" i="26"/>
  <c r="I427" i="26" s="1"/>
  <c r="K514" i="26"/>
  <c r="D126" i="16"/>
  <c r="H7" i="29"/>
  <c r="B27" i="31"/>
  <c r="B9" i="29" s="1"/>
  <c r="J9" i="29"/>
  <c r="M52" i="51"/>
  <c r="M54" i="51" s="1"/>
  <c r="U52" i="51"/>
  <c r="U54" i="51" s="1"/>
  <c r="AC52" i="51"/>
  <c r="AC54" i="51" s="1"/>
  <c r="AK52" i="51"/>
  <c r="AK54" i="51" s="1"/>
  <c r="AS52" i="51"/>
  <c r="AS54" i="51" s="1"/>
  <c r="BA52" i="51"/>
  <c r="BA54" i="51" s="1"/>
  <c r="BI52" i="51"/>
  <c r="BI54" i="51" s="1"/>
  <c r="AF55" i="51"/>
  <c r="G145" i="26"/>
  <c r="B167" i="26"/>
  <c r="J167" i="26"/>
  <c r="H375" i="26"/>
  <c r="E126" i="16"/>
  <c r="I7" i="29"/>
  <c r="V55" i="51"/>
  <c r="BB55" i="51"/>
  <c r="H53" i="16"/>
  <c r="E30" i="75" s="1"/>
  <c r="J53" i="16"/>
  <c r="G30" i="75" s="1"/>
  <c r="AN55" i="51"/>
  <c r="G87" i="51"/>
  <c r="I375" i="26"/>
  <c r="C414" i="26"/>
  <c r="K414" i="26"/>
  <c r="C425" i="26"/>
  <c r="C427" i="26" s="1"/>
  <c r="K425" i="26"/>
  <c r="K427" i="26" s="1"/>
  <c r="G434" i="26"/>
  <c r="F126" i="16"/>
  <c r="B12" i="31"/>
  <c r="B7" i="29" s="1"/>
  <c r="J7" i="29"/>
  <c r="B54" i="31"/>
  <c r="F124" i="51"/>
  <c r="H434" i="26"/>
  <c r="C7" i="29"/>
  <c r="AJ55" i="51"/>
  <c r="AD55" i="51"/>
  <c r="BJ55" i="51"/>
  <c r="D138" i="16"/>
  <c r="B19" i="31"/>
  <c r="H11" i="29"/>
  <c r="Q52" i="51"/>
  <c r="Q54" i="51" s="1"/>
  <c r="Y52" i="51"/>
  <c r="Y54" i="51" s="1"/>
  <c r="AG52" i="51"/>
  <c r="AG54" i="51" s="1"/>
  <c r="AO52" i="51"/>
  <c r="AO54" i="51" s="1"/>
  <c r="AW52" i="51"/>
  <c r="AW54" i="51" s="1"/>
  <c r="BE52" i="51"/>
  <c r="BE54" i="51" s="1"/>
  <c r="BM52" i="51"/>
  <c r="BM54" i="51" s="1"/>
  <c r="AL55" i="51"/>
  <c r="H55" i="51"/>
  <c r="AQ87" i="51"/>
  <c r="D124" i="51"/>
  <c r="D124" i="16"/>
  <c r="K55" i="51"/>
  <c r="S55" i="51"/>
  <c r="AA55" i="51"/>
  <c r="AI55" i="51"/>
  <c r="AQ55" i="51"/>
  <c r="AY55" i="51"/>
  <c r="BG55" i="51"/>
  <c r="P55" i="51"/>
  <c r="S87" i="51"/>
  <c r="H49" i="16"/>
  <c r="J49" i="16"/>
  <c r="G50" i="16"/>
  <c r="I50" i="16"/>
  <c r="K50" i="16"/>
  <c r="H51" i="16"/>
  <c r="J51" i="16"/>
  <c r="H60" i="16"/>
  <c r="J60" i="16"/>
  <c r="G52" i="51"/>
  <c r="G54" i="51" s="1"/>
  <c r="AE52" i="51"/>
  <c r="AE54" i="51" s="1"/>
  <c r="BC52" i="51"/>
  <c r="BC54" i="51" s="1"/>
  <c r="I49" i="16"/>
  <c r="K49" i="16"/>
  <c r="H50" i="16"/>
  <c r="J50" i="16"/>
  <c r="I51" i="16"/>
  <c r="K51" i="16"/>
  <c r="G60" i="16"/>
  <c r="I60" i="16"/>
  <c r="K60" i="16"/>
  <c r="BC87" i="51"/>
  <c r="E313" i="26" l="1"/>
  <c r="E320" i="26" s="1"/>
  <c r="E492" i="26" s="1"/>
  <c r="F503" i="26"/>
  <c r="D222" i="26"/>
  <c r="D221" i="26" s="1"/>
  <c r="D246" i="26" s="1"/>
  <c r="F313" i="26"/>
  <c r="F320" i="26" s="1"/>
  <c r="F493" i="26" s="1"/>
  <c r="F222" i="26"/>
  <c r="F221" i="26" s="1"/>
  <c r="F246" i="26" s="1"/>
  <c r="D503" i="26"/>
  <c r="D313" i="26"/>
  <c r="D320" i="26" s="1"/>
  <c r="D492" i="26" s="1"/>
  <c r="D501" i="26"/>
  <c r="J28" i="30"/>
  <c r="I490" i="26"/>
  <c r="D57" i="30"/>
  <c r="D62" i="30" s="1"/>
  <c r="G46" i="30"/>
  <c r="G55" i="30" s="1"/>
  <c r="G57" i="30" s="1"/>
  <c r="G62" i="30" s="1"/>
  <c r="G63" i="30"/>
  <c r="I76" i="30"/>
  <c r="D28" i="30"/>
  <c r="H416" i="26"/>
  <c r="B490" i="26"/>
  <c r="H55" i="30"/>
  <c r="H57" i="30" s="1"/>
  <c r="J55" i="30"/>
  <c r="J57" i="30" s="1"/>
  <c r="J62" i="30" s="1"/>
  <c r="C46" i="30"/>
  <c r="I28" i="30"/>
  <c r="J416" i="26"/>
  <c r="E222" i="26"/>
  <c r="E221" i="26" s="1"/>
  <c r="E246" i="26" s="1"/>
  <c r="D508" i="26"/>
  <c r="C416" i="26"/>
  <c r="L13" i="77" s="1"/>
  <c r="H105" i="26"/>
  <c r="H136" i="26" s="1"/>
  <c r="C490" i="26"/>
  <c r="H28" i="30"/>
  <c r="H41" i="29" s="1"/>
  <c r="I55" i="30"/>
  <c r="I57" i="30" s="1"/>
  <c r="I62" i="30" s="1"/>
  <c r="E28" i="30"/>
  <c r="C105" i="26"/>
  <c r="C136" i="26" s="1"/>
  <c r="C491" i="26" s="1"/>
  <c r="E57" i="30"/>
  <c r="E60" i="30" s="1"/>
  <c r="N22" i="77"/>
  <c r="H511" i="26"/>
  <c r="H513" i="26"/>
  <c r="O22" i="77"/>
  <c r="C71" i="30"/>
  <c r="C11" i="31"/>
  <c r="C6" i="29" s="1"/>
  <c r="E18" i="31"/>
  <c r="N8" i="77"/>
  <c r="D8" i="77" s="1"/>
  <c r="I75" i="30"/>
  <c r="H510" i="26"/>
  <c r="G19" i="29"/>
  <c r="F501" i="26"/>
  <c r="J75" i="30"/>
  <c r="J77" i="30" s="1"/>
  <c r="N21" i="77"/>
  <c r="D19" i="77" s="1"/>
  <c r="E75" i="30"/>
  <c r="E77" i="30" s="1"/>
  <c r="D18" i="31"/>
  <c r="M8" i="77"/>
  <c r="C8" i="77" s="1"/>
  <c r="C16" i="30"/>
  <c r="C28" i="30" s="1"/>
  <c r="L18" i="77"/>
  <c r="G75" i="30"/>
  <c r="G77" i="30" s="1"/>
  <c r="K105" i="26"/>
  <c r="K136" i="26" s="1"/>
  <c r="K491" i="26" s="1"/>
  <c r="H500" i="26"/>
  <c r="J511" i="26"/>
  <c r="K490" i="26"/>
  <c r="C38" i="30"/>
  <c r="L20" i="77"/>
  <c r="L34" i="77" s="1"/>
  <c r="K71" i="30"/>
  <c r="K11" i="31"/>
  <c r="F18" i="31"/>
  <c r="O8" i="77"/>
  <c r="E8" i="77" s="1"/>
  <c r="H75" i="30"/>
  <c r="H77" i="30" s="1"/>
  <c r="K46" i="30"/>
  <c r="K55" i="30" s="1"/>
  <c r="K57" i="30" s="1"/>
  <c r="F57" i="30"/>
  <c r="K22" i="29"/>
  <c r="F28" i="30"/>
  <c r="M22" i="77"/>
  <c r="C63" i="30"/>
  <c r="C42" i="30"/>
  <c r="G502" i="26"/>
  <c r="J509" i="26"/>
  <c r="J26" i="31"/>
  <c r="J64" i="30" s="1"/>
  <c r="J55" i="31"/>
  <c r="H71" i="30"/>
  <c r="H11" i="31"/>
  <c r="H18" i="31" s="1"/>
  <c r="G71" i="30"/>
  <c r="G11" i="31"/>
  <c r="G18" i="31" s="1"/>
  <c r="K19" i="29"/>
  <c r="K16" i="30"/>
  <c r="K28" i="30" s="1"/>
  <c r="K41" i="29" s="1"/>
  <c r="K23" i="29"/>
  <c r="K36" i="29" s="1"/>
  <c r="O21" i="77"/>
  <c r="E19" i="77" s="1"/>
  <c r="F75" i="30"/>
  <c r="F77" i="30" s="1"/>
  <c r="G26" i="30"/>
  <c r="G28" i="30" s="1"/>
  <c r="G41" i="29" s="1"/>
  <c r="J59" i="30"/>
  <c r="J74" i="30" s="1"/>
  <c r="J79" i="30" s="1"/>
  <c r="J31" i="30"/>
  <c r="J513" i="26"/>
  <c r="C59" i="30"/>
  <c r="C74" i="30" s="1"/>
  <c r="C79" i="30" s="1"/>
  <c r="C31" i="30"/>
  <c r="D75" i="30"/>
  <c r="D77" i="30" s="1"/>
  <c r="M21" i="77"/>
  <c r="C19" i="77" s="1"/>
  <c r="I26" i="31"/>
  <c r="I64" i="30" s="1"/>
  <c r="I55" i="31"/>
  <c r="D14" i="29"/>
  <c r="D25" i="29"/>
  <c r="D43" i="29"/>
  <c r="B271" i="26"/>
  <c r="I416" i="26"/>
  <c r="B139" i="26"/>
  <c r="C14" i="29"/>
  <c r="B310" i="26"/>
  <c r="E501" i="26"/>
  <c r="H18" i="29"/>
  <c r="K416" i="26"/>
  <c r="D34" i="29"/>
  <c r="B471" i="26"/>
  <c r="B105" i="26"/>
  <c r="B136" i="26" s="1"/>
  <c r="B489" i="26" s="1"/>
  <c r="D16" i="29"/>
  <c r="B70" i="26"/>
  <c r="B328" i="26"/>
  <c r="G500" i="26"/>
  <c r="B251" i="26"/>
  <c r="B4" i="31"/>
  <c r="B3" i="29" s="1"/>
  <c r="E503" i="26"/>
  <c r="G400" i="26"/>
  <c r="G403" i="26" s="1"/>
  <c r="G433" i="26" s="1"/>
  <c r="G436" i="26" s="1"/>
  <c r="B380" i="26"/>
  <c r="B4" i="30"/>
  <c r="B31" i="30" s="1"/>
  <c r="B296" i="26"/>
  <c r="B397" i="26"/>
  <c r="E138" i="51"/>
  <c r="B458" i="26"/>
  <c r="B288" i="26"/>
  <c r="G499" i="26"/>
  <c r="F138" i="51"/>
  <c r="B416" i="26"/>
  <c r="K13" i="77" s="1"/>
  <c r="B198" i="26"/>
  <c r="B352" i="26"/>
  <c r="G416" i="26"/>
  <c r="E405" i="26"/>
  <c r="E410" i="26" s="1"/>
  <c r="E418" i="26" s="1"/>
  <c r="E429" i="26" s="1"/>
  <c r="E438" i="26" s="1"/>
  <c r="E454" i="26" s="1"/>
  <c r="H502" i="26"/>
  <c r="H179" i="26"/>
  <c r="H196" i="26" s="1"/>
  <c r="H202" i="26" s="1"/>
  <c r="H212" i="26" s="1"/>
  <c r="H313" i="26" s="1"/>
  <c r="H320" i="26" s="1"/>
  <c r="J105" i="26"/>
  <c r="J136" i="26" s="1"/>
  <c r="J491" i="26" s="1"/>
  <c r="C18" i="29"/>
  <c r="I105" i="26"/>
  <c r="H400" i="26"/>
  <c r="H403" i="26" s="1"/>
  <c r="H433" i="26" s="1"/>
  <c r="H436" i="26" s="1"/>
  <c r="B38" i="30"/>
  <c r="K21" i="77" s="1"/>
  <c r="D405" i="26"/>
  <c r="D410" i="26" s="1"/>
  <c r="D418" i="26" s="1"/>
  <c r="D429" i="26" s="1"/>
  <c r="D438" i="26" s="1"/>
  <c r="D454" i="26" s="1"/>
  <c r="G18" i="29"/>
  <c r="H14" i="29"/>
  <c r="H28" i="52"/>
  <c r="I28" i="52" s="1"/>
  <c r="J28" i="52" s="1"/>
  <c r="K28" i="52" s="1"/>
  <c r="J490" i="26"/>
  <c r="I340" i="26"/>
  <c r="I344" i="26" s="1"/>
  <c r="I349" i="26" s="1"/>
  <c r="H340" i="26"/>
  <c r="H344" i="26" s="1"/>
  <c r="H349" i="26" s="1"/>
  <c r="A35" i="53"/>
  <c r="E110" i="16"/>
  <c r="E110" i="51"/>
  <c r="E489" i="26"/>
  <c r="F489" i="26"/>
  <c r="E112" i="16"/>
  <c r="F405" i="26"/>
  <c r="F410" i="26" s="1"/>
  <c r="F418" i="26" s="1"/>
  <c r="F429" i="26" s="1"/>
  <c r="F438" i="26" s="1"/>
  <c r="F454" i="26" s="1"/>
  <c r="D136" i="26"/>
  <c r="F138" i="26"/>
  <c r="E138" i="26"/>
  <c r="E138" i="16"/>
  <c r="AE15" i="53"/>
  <c r="AE17" i="53" s="1"/>
  <c r="I22" i="53"/>
  <c r="I32" i="53" s="1"/>
  <c r="G15" i="53"/>
  <c r="G17" i="53" s="1"/>
  <c r="G22" i="53"/>
  <c r="G32" i="53" s="1"/>
  <c r="S15" i="53"/>
  <c r="S17" i="53" s="1"/>
  <c r="H22" i="53"/>
  <c r="H32" i="53" s="1"/>
  <c r="AQ15" i="53"/>
  <c r="AQ17" i="53" s="1"/>
  <c r="J22" i="53"/>
  <c r="J32" i="53" s="1"/>
  <c r="BC15" i="53"/>
  <c r="BC17" i="53" s="1"/>
  <c r="K22" i="53"/>
  <c r="K32" i="53" s="1"/>
  <c r="O15" i="53"/>
  <c r="O17" i="53" s="1"/>
  <c r="N15" i="53"/>
  <c r="N17" i="53" s="1"/>
  <c r="P15" i="53"/>
  <c r="P17" i="53" s="1"/>
  <c r="J52" i="16"/>
  <c r="F19" i="29"/>
  <c r="AN87" i="51"/>
  <c r="O87" i="51"/>
  <c r="BB87" i="51"/>
  <c r="W55" i="51"/>
  <c r="Y55" i="51"/>
  <c r="G511" i="26"/>
  <c r="G510" i="26"/>
  <c r="G513" i="26"/>
  <c r="G509" i="26"/>
  <c r="U55" i="51"/>
  <c r="C3" i="29"/>
  <c r="G89" i="51"/>
  <c r="I458" i="26"/>
  <c r="I380" i="26"/>
  <c r="I328" i="26"/>
  <c r="I296" i="26"/>
  <c r="I4" i="31"/>
  <c r="I53" i="31" s="1"/>
  <c r="I471" i="26"/>
  <c r="I352" i="26"/>
  <c r="I288" i="26"/>
  <c r="I397" i="26"/>
  <c r="I310" i="26"/>
  <c r="I271" i="26"/>
  <c r="I4" i="30"/>
  <c r="I251" i="26"/>
  <c r="I198" i="26"/>
  <c r="I139" i="26"/>
  <c r="I70" i="26"/>
  <c r="G21" i="29"/>
  <c r="G35" i="29" s="1"/>
  <c r="G105" i="26"/>
  <c r="G478" i="26"/>
  <c r="G69" i="26"/>
  <c r="H44" i="29"/>
  <c r="G490" i="26"/>
  <c r="I510" i="26"/>
  <c r="I513" i="26"/>
  <c r="I509" i="26"/>
  <c r="I511" i="26"/>
  <c r="D140" i="16"/>
  <c r="D140" i="51"/>
  <c r="U87" i="51"/>
  <c r="AV87" i="51"/>
  <c r="BH87" i="51"/>
  <c r="AC87" i="51"/>
  <c r="K52" i="16"/>
  <c r="O55" i="51"/>
  <c r="Q55" i="51"/>
  <c r="M55" i="51"/>
  <c r="J6" i="29"/>
  <c r="G503" i="26"/>
  <c r="G313" i="26"/>
  <c r="G320" i="26" s="1"/>
  <c r="G222" i="26"/>
  <c r="G221" i="26" s="1"/>
  <c r="G246" i="26" s="1"/>
  <c r="E120" i="16"/>
  <c r="E106" i="16" s="1"/>
  <c r="E120" i="51"/>
  <c r="E106" i="51" s="1"/>
  <c r="B513" i="26"/>
  <c r="B509" i="26"/>
  <c r="B511" i="26"/>
  <c r="B510" i="26"/>
  <c r="E139" i="51"/>
  <c r="H19" i="29"/>
  <c r="E125" i="16"/>
  <c r="E125" i="51"/>
  <c r="B18" i="31"/>
  <c r="B6" i="29"/>
  <c r="B90" i="30"/>
  <c r="B45" i="29"/>
  <c r="F110" i="51"/>
  <c r="K479" i="26"/>
  <c r="E123" i="16"/>
  <c r="E123" i="51"/>
  <c r="G44" i="29"/>
  <c r="AZ87" i="51"/>
  <c r="AT87" i="51"/>
  <c r="AX87" i="51"/>
  <c r="AL87" i="51"/>
  <c r="I52" i="16"/>
  <c r="G45" i="29"/>
  <c r="H478" i="26"/>
  <c r="H69" i="26"/>
  <c r="E139" i="16"/>
  <c r="D18" i="29"/>
  <c r="E18" i="29"/>
  <c r="D98" i="51"/>
  <c r="E19" i="29"/>
  <c r="C479" i="26"/>
  <c r="H490" i="26"/>
  <c r="K340" i="26"/>
  <c r="K344" i="26" s="1"/>
  <c r="K349" i="26" s="1"/>
  <c r="N87" i="51"/>
  <c r="W87" i="51"/>
  <c r="BM55" i="51"/>
  <c r="BI55" i="51"/>
  <c r="E119" i="16"/>
  <c r="E119" i="51"/>
  <c r="E44" i="29"/>
  <c r="J3" i="29"/>
  <c r="D121" i="16"/>
  <c r="D121" i="51"/>
  <c r="I19" i="29"/>
  <c r="K400" i="26"/>
  <c r="K500" i="26"/>
  <c r="K499" i="26"/>
  <c r="K179" i="26"/>
  <c r="K196" i="26" s="1"/>
  <c r="K202" i="26" s="1"/>
  <c r="K212" i="26" s="1"/>
  <c r="K502" i="26"/>
  <c r="B63" i="30"/>
  <c r="K22" i="77" s="1"/>
  <c r="B42" i="30"/>
  <c r="D136" i="16"/>
  <c r="D98" i="16"/>
  <c r="D100" i="16" s="1"/>
  <c r="K478" i="26"/>
  <c r="K69" i="26"/>
  <c r="G340" i="26"/>
  <c r="G344" i="26" s="1"/>
  <c r="G349" i="26" s="1"/>
  <c r="B478" i="26"/>
  <c r="B69" i="26"/>
  <c r="AB87" i="51"/>
  <c r="AD87" i="51"/>
  <c r="BE55" i="51"/>
  <c r="BA55" i="51"/>
  <c r="B88" i="30"/>
  <c r="B46" i="30"/>
  <c r="I44" i="29"/>
  <c r="D125" i="16"/>
  <c r="D125" i="51"/>
  <c r="K513" i="26"/>
  <c r="K509" i="26"/>
  <c r="K511" i="26"/>
  <c r="K510" i="26"/>
  <c r="D6" i="73"/>
  <c r="D7" i="29"/>
  <c r="D5" i="29"/>
  <c r="C478" i="26"/>
  <c r="C69" i="26"/>
  <c r="E137" i="51"/>
  <c r="B340" i="26"/>
  <c r="B344" i="26" s="1"/>
  <c r="B349" i="26" s="1"/>
  <c r="J478" i="26"/>
  <c r="J69" i="26"/>
  <c r="P87" i="51"/>
  <c r="AU87" i="51"/>
  <c r="BC55" i="51"/>
  <c r="BK55" i="51"/>
  <c r="E83" i="16"/>
  <c r="E83" i="51"/>
  <c r="AW55" i="51"/>
  <c r="AS55" i="51"/>
  <c r="I478" i="26"/>
  <c r="I69" i="26"/>
  <c r="E136" i="16"/>
  <c r="E136" i="51"/>
  <c r="E45" i="29"/>
  <c r="E91" i="51"/>
  <c r="F119" i="16"/>
  <c r="F119" i="51"/>
  <c r="F44" i="29"/>
  <c r="D19" i="29"/>
  <c r="D123" i="16"/>
  <c r="D123" i="51"/>
  <c r="E137" i="16"/>
  <c r="B76" i="30"/>
  <c r="K19" i="77" s="1"/>
  <c r="B44" i="29"/>
  <c r="J340" i="26"/>
  <c r="J344" i="26" s="1"/>
  <c r="J349" i="26" s="1"/>
  <c r="D119" i="16"/>
  <c r="D119" i="51"/>
  <c r="D44" i="29"/>
  <c r="C340" i="26"/>
  <c r="C344" i="26" s="1"/>
  <c r="C349" i="26" s="1"/>
  <c r="BJ87" i="51"/>
  <c r="V87" i="51"/>
  <c r="AE55" i="51"/>
  <c r="H52" i="16"/>
  <c r="AU55" i="51"/>
  <c r="E6" i="73"/>
  <c r="E7" i="29"/>
  <c r="E5" i="29"/>
  <c r="AO55" i="51"/>
  <c r="F112" i="51"/>
  <c r="J400" i="26"/>
  <c r="J500" i="26"/>
  <c r="J499" i="26"/>
  <c r="J179" i="26"/>
  <c r="J196" i="26" s="1"/>
  <c r="J202" i="26" s="1"/>
  <c r="J212" i="26" s="1"/>
  <c r="J502" i="26"/>
  <c r="AK55" i="51"/>
  <c r="J19" i="29"/>
  <c r="H45" i="29"/>
  <c r="E46" i="29"/>
  <c r="C400" i="26"/>
  <c r="C500" i="26"/>
  <c r="C499" i="26"/>
  <c r="C179" i="26"/>
  <c r="C196" i="26" s="1"/>
  <c r="C202" i="26" s="1"/>
  <c r="C212" i="26" s="1"/>
  <c r="C502" i="26"/>
  <c r="E140" i="51"/>
  <c r="J45" i="29"/>
  <c r="J44" i="29"/>
  <c r="C44" i="29"/>
  <c r="BG87" i="51"/>
  <c r="X87" i="51"/>
  <c r="AM87" i="51"/>
  <c r="J52" i="51"/>
  <c r="J54" i="51" s="1"/>
  <c r="G55" i="51"/>
  <c r="AM55" i="51"/>
  <c r="AG55" i="51"/>
  <c r="F112" i="16"/>
  <c r="B400" i="26"/>
  <c r="B500" i="26"/>
  <c r="B499" i="26"/>
  <c r="B179" i="26"/>
  <c r="B196" i="26" s="1"/>
  <c r="B202" i="26" s="1"/>
  <c r="B212" i="26" s="1"/>
  <c r="B502" i="26"/>
  <c r="AC55" i="51"/>
  <c r="E112" i="51"/>
  <c r="I502" i="26"/>
  <c r="I400" i="26"/>
  <c r="I500" i="26"/>
  <c r="I499" i="26"/>
  <c r="I179" i="26"/>
  <c r="I196" i="26" s="1"/>
  <c r="I202" i="26" s="1"/>
  <c r="I212" i="26" s="1"/>
  <c r="E121" i="16"/>
  <c r="E121" i="51"/>
  <c r="I45" i="29"/>
  <c r="B16" i="30"/>
  <c r="B28" i="30" s="1"/>
  <c r="B19" i="29"/>
  <c r="D137" i="51"/>
  <c r="D46" i="29"/>
  <c r="C513" i="26"/>
  <c r="C509" i="26"/>
  <c r="C511" i="26"/>
  <c r="C510" i="26"/>
  <c r="C45" i="29"/>
  <c r="E140" i="16"/>
  <c r="E107" i="16" l="1"/>
  <c r="E324" i="26"/>
  <c r="E356" i="26" s="1"/>
  <c r="E367" i="26" s="1"/>
  <c r="E377" i="26" s="1"/>
  <c r="E493" i="26"/>
  <c r="D324" i="26"/>
  <c r="D356" i="26" s="1"/>
  <c r="D367" i="26" s="1"/>
  <c r="D377" i="26" s="1"/>
  <c r="D493" i="26"/>
  <c r="F324" i="26"/>
  <c r="F356" i="26" s="1"/>
  <c r="F367" i="26" s="1"/>
  <c r="F377" i="26" s="1"/>
  <c r="F492" i="26"/>
  <c r="D61" i="30"/>
  <c r="D60" i="30"/>
  <c r="B59" i="30"/>
  <c r="B74" i="30" s="1"/>
  <c r="B79" i="30" s="1"/>
  <c r="H503" i="26"/>
  <c r="I77" i="30"/>
  <c r="G61" i="30"/>
  <c r="H60" i="30"/>
  <c r="H62" i="30"/>
  <c r="H61" i="30"/>
  <c r="C55" i="30"/>
  <c r="C57" i="30" s="1"/>
  <c r="E61" i="30"/>
  <c r="E62" i="30"/>
  <c r="G60" i="30"/>
  <c r="H489" i="26"/>
  <c r="H491" i="26"/>
  <c r="H222" i="26"/>
  <c r="H221" i="26" s="1"/>
  <c r="H246" i="26" s="1"/>
  <c r="H501" i="26"/>
  <c r="I61" i="30"/>
  <c r="K75" i="30"/>
  <c r="K40" i="29" s="1"/>
  <c r="I60" i="30"/>
  <c r="J60" i="30"/>
  <c r="J61" i="30"/>
  <c r="K38" i="29"/>
  <c r="K39" i="29"/>
  <c r="D55" i="31"/>
  <c r="D26" i="31"/>
  <c r="E20" i="77"/>
  <c r="R6" i="77"/>
  <c r="G6" i="77" s="1"/>
  <c r="R7" i="77"/>
  <c r="G7" i="77" s="1"/>
  <c r="F60" i="30"/>
  <c r="F61" i="30"/>
  <c r="F62" i="30"/>
  <c r="J56" i="31"/>
  <c r="J31" i="31"/>
  <c r="L21" i="77"/>
  <c r="C75" i="30"/>
  <c r="C77" i="30" s="1"/>
  <c r="C18" i="31"/>
  <c r="L8" i="77"/>
  <c r="D20" i="77"/>
  <c r="H26" i="31"/>
  <c r="H55" i="31"/>
  <c r="E26" i="31"/>
  <c r="E55" i="31"/>
  <c r="H27" i="75"/>
  <c r="I27" i="75" s="1"/>
  <c r="U6" i="77"/>
  <c r="U7" i="77"/>
  <c r="K60" i="30"/>
  <c r="K62" i="30"/>
  <c r="K61" i="30"/>
  <c r="E33" i="51"/>
  <c r="F27" i="75"/>
  <c r="F28" i="75" s="1"/>
  <c r="F31" i="75" s="1"/>
  <c r="S6" i="77"/>
  <c r="H6" i="77" s="1"/>
  <c r="S7" i="77"/>
  <c r="H7" i="77" s="1"/>
  <c r="G27" i="75"/>
  <c r="G28" i="75" s="1"/>
  <c r="G31" i="75" s="1"/>
  <c r="T6" i="77"/>
  <c r="T7" i="77"/>
  <c r="L22" i="77"/>
  <c r="F26" i="31"/>
  <c r="F55" i="31"/>
  <c r="I31" i="30"/>
  <c r="I59" i="30"/>
  <c r="I74" i="30" s="1"/>
  <c r="I79" i="30" s="1"/>
  <c r="K18" i="31"/>
  <c r="K6" i="29"/>
  <c r="C20" i="77"/>
  <c r="I56" i="31"/>
  <c r="I31" i="31"/>
  <c r="G55" i="31"/>
  <c r="G26" i="31"/>
  <c r="B21" i="29"/>
  <c r="B35" i="29" s="1"/>
  <c r="H23" i="29"/>
  <c r="H68" i="30" s="1"/>
  <c r="H492" i="26"/>
  <c r="B491" i="26"/>
  <c r="J41" i="29"/>
  <c r="B55" i="30"/>
  <c r="B57" i="30" s="1"/>
  <c r="B53" i="31"/>
  <c r="H6" i="29"/>
  <c r="E89" i="16"/>
  <c r="F89" i="16"/>
  <c r="G89" i="16"/>
  <c r="I136" i="26"/>
  <c r="I491" i="26" s="1"/>
  <c r="B20" i="29"/>
  <c r="I23" i="29"/>
  <c r="I68" i="30" s="1"/>
  <c r="E27" i="75"/>
  <c r="E28" i="75" s="1"/>
  <c r="B23" i="29"/>
  <c r="B36" i="29" s="1"/>
  <c r="B41" i="29"/>
  <c r="F33" i="18"/>
  <c r="H6" i="73"/>
  <c r="G33" i="18"/>
  <c r="I6" i="73"/>
  <c r="I33" i="18"/>
  <c r="J33" i="18" s="1"/>
  <c r="K6" i="73"/>
  <c r="H33" i="18"/>
  <c r="J6" i="73"/>
  <c r="D7" i="19"/>
  <c r="H7" i="19" s="1"/>
  <c r="D7" i="20"/>
  <c r="H7" i="20" s="1"/>
  <c r="I41" i="29"/>
  <c r="D54" i="16"/>
  <c r="D61" i="16" s="1"/>
  <c r="D8" i="73" s="1"/>
  <c r="D9" i="73" s="1"/>
  <c r="D6" i="19"/>
  <c r="H6" i="19" s="1"/>
  <c r="D6" i="20"/>
  <c r="H6" i="20" s="1"/>
  <c r="K489" i="26"/>
  <c r="C489" i="26"/>
  <c r="J489" i="26"/>
  <c r="C41" i="29"/>
  <c r="B75" i="30"/>
  <c r="B40" i="29" s="1"/>
  <c r="O52" i="16"/>
  <c r="Q52" i="16"/>
  <c r="J54" i="16"/>
  <c r="P52" i="16"/>
  <c r="E54" i="16"/>
  <c r="E61" i="16" s="1"/>
  <c r="E8" i="73" s="1"/>
  <c r="E9" i="73" s="1"/>
  <c r="E33" i="16"/>
  <c r="E92" i="16"/>
  <c r="E105" i="16"/>
  <c r="E92" i="51"/>
  <c r="E89" i="51"/>
  <c r="F89" i="51"/>
  <c r="E109" i="51"/>
  <c r="E54" i="51"/>
  <c r="E55" i="51" s="1"/>
  <c r="F105" i="51"/>
  <c r="E111" i="51"/>
  <c r="D491" i="26"/>
  <c r="D138" i="26"/>
  <c r="D54" i="51"/>
  <c r="D55" i="51" s="1"/>
  <c r="E13" i="16"/>
  <c r="G405" i="26"/>
  <c r="G410" i="26" s="1"/>
  <c r="G418" i="26" s="1"/>
  <c r="G429" i="26" s="1"/>
  <c r="G438" i="26" s="1"/>
  <c r="G454" i="26" s="1"/>
  <c r="D489" i="26"/>
  <c r="D137" i="16"/>
  <c r="D33" i="16"/>
  <c r="B508" i="26"/>
  <c r="B138" i="26"/>
  <c r="I6" i="29"/>
  <c r="G508" i="26"/>
  <c r="C501" i="26"/>
  <c r="C313" i="26"/>
  <c r="C320" i="26" s="1"/>
  <c r="C492" i="26" s="1"/>
  <c r="C222" i="26"/>
  <c r="C221" i="26" s="1"/>
  <c r="C246" i="26" s="1"/>
  <c r="C503" i="26"/>
  <c r="D33" i="51"/>
  <c r="I403" i="26"/>
  <c r="I433" i="26" s="1"/>
  <c r="I436" i="26" s="1"/>
  <c r="C21" i="29"/>
  <c r="C35" i="29" s="1"/>
  <c r="E6" i="29"/>
  <c r="E109" i="16"/>
  <c r="D41" i="16"/>
  <c r="D139" i="16"/>
  <c r="D118" i="51"/>
  <c r="D19" i="51"/>
  <c r="E19" i="16"/>
  <c r="E118" i="16"/>
  <c r="H138" i="26"/>
  <c r="H508" i="26"/>
  <c r="I54" i="16"/>
  <c r="S8" i="77" s="1"/>
  <c r="H8" i="77" s="1"/>
  <c r="K54" i="16"/>
  <c r="U8" i="77" s="1"/>
  <c r="AE87" i="51"/>
  <c r="I86" i="16"/>
  <c r="G40" i="29"/>
  <c r="G51" i="16"/>
  <c r="G52" i="16" s="1"/>
  <c r="I52" i="51"/>
  <c r="I54" i="51" s="1"/>
  <c r="I61" i="51" s="1"/>
  <c r="H54" i="16"/>
  <c r="R8" i="77" s="1"/>
  <c r="G8" i="77" s="1"/>
  <c r="G22" i="29"/>
  <c r="F21" i="29"/>
  <c r="C22" i="29"/>
  <c r="J22" i="29"/>
  <c r="F105" i="16"/>
  <c r="I21" i="29"/>
  <c r="I35" i="29" s="1"/>
  <c r="G501" i="26"/>
  <c r="H198" i="26"/>
  <c r="H458" i="26"/>
  <c r="H380" i="26"/>
  <c r="H328" i="26"/>
  <c r="H296" i="26"/>
  <c r="H4" i="31"/>
  <c r="H53" i="31" s="1"/>
  <c r="H471" i="26"/>
  <c r="H352" i="26"/>
  <c r="H288" i="26"/>
  <c r="H397" i="26"/>
  <c r="H310" i="26"/>
  <c r="H271" i="26"/>
  <c r="H4" i="30"/>
  <c r="H139" i="26"/>
  <c r="H251" i="26"/>
  <c r="H70" i="26"/>
  <c r="B501" i="26"/>
  <c r="B313" i="26"/>
  <c r="B320" i="26" s="1"/>
  <c r="B222" i="26"/>
  <c r="B221" i="26" s="1"/>
  <c r="B246" i="26" s="1"/>
  <c r="B503" i="26"/>
  <c r="D118" i="16"/>
  <c r="D19" i="16"/>
  <c r="E96" i="16"/>
  <c r="D41" i="29"/>
  <c r="D13" i="51"/>
  <c r="I508" i="26"/>
  <c r="E22" i="29"/>
  <c r="G6" i="29"/>
  <c r="E13" i="51"/>
  <c r="B26" i="31"/>
  <c r="K9" i="77" s="1"/>
  <c r="B55" i="31"/>
  <c r="F125" i="16"/>
  <c r="F111" i="16" s="1"/>
  <c r="F125" i="51"/>
  <c r="M87" i="51"/>
  <c r="G86" i="16"/>
  <c r="J20" i="29"/>
  <c r="K29" i="29" s="1"/>
  <c r="J501" i="26"/>
  <c r="J313" i="26"/>
  <c r="J320" i="26" s="1"/>
  <c r="J222" i="26"/>
  <c r="J221" i="26" s="1"/>
  <c r="J246" i="26" s="1"/>
  <c r="J503" i="26"/>
  <c r="D13" i="16"/>
  <c r="T87" i="51"/>
  <c r="H86" i="16"/>
  <c r="G492" i="26"/>
  <c r="B22" i="29"/>
  <c r="J16" i="29"/>
  <c r="J25" i="29" s="1"/>
  <c r="J34" i="29" s="1"/>
  <c r="J43" i="29" s="1"/>
  <c r="AR87" i="51"/>
  <c r="J86" i="16"/>
  <c r="E41" i="16"/>
  <c r="H22" i="29"/>
  <c r="E21" i="29"/>
  <c r="E41" i="51"/>
  <c r="BD87" i="51"/>
  <c r="K86" i="16"/>
  <c r="H20" i="29"/>
  <c r="C25" i="29"/>
  <c r="C16" i="29"/>
  <c r="C43" i="29"/>
  <c r="C34" i="29"/>
  <c r="G12" i="16"/>
  <c r="Q18" i="77" s="1"/>
  <c r="K403" i="26"/>
  <c r="K433" i="26" s="1"/>
  <c r="K436" i="26" s="1"/>
  <c r="E96" i="51"/>
  <c r="D100" i="51"/>
  <c r="B403" i="26"/>
  <c r="B433" i="26" s="1"/>
  <c r="B436" i="26" s="1"/>
  <c r="F14" i="29"/>
  <c r="E141" i="51"/>
  <c r="C508" i="26"/>
  <c r="C138" i="26"/>
  <c r="I501" i="26"/>
  <c r="I313" i="26"/>
  <c r="I320" i="26" s="1"/>
  <c r="I492" i="26" s="1"/>
  <c r="I222" i="26"/>
  <c r="I221" i="26" s="1"/>
  <c r="I246" i="26" s="1"/>
  <c r="I503" i="26"/>
  <c r="J23" i="29"/>
  <c r="J68" i="30" s="1"/>
  <c r="E105" i="51"/>
  <c r="F5" i="29"/>
  <c r="E91" i="16"/>
  <c r="J37" i="29"/>
  <c r="G136" i="26"/>
  <c r="G491" i="26" s="1"/>
  <c r="D21" i="29"/>
  <c r="I3" i="29"/>
  <c r="F46" i="29"/>
  <c r="J508" i="26"/>
  <c r="J138" i="26"/>
  <c r="D6" i="29"/>
  <c r="F17" i="29"/>
  <c r="K501" i="26"/>
  <c r="K313" i="26"/>
  <c r="K320" i="26" s="1"/>
  <c r="K492" i="26" s="1"/>
  <c r="K222" i="26"/>
  <c r="K221" i="26" s="1"/>
  <c r="K246" i="26" s="1"/>
  <c r="K503" i="26"/>
  <c r="J21" i="29"/>
  <c r="J35" i="29" s="1"/>
  <c r="D40" i="18"/>
  <c r="D23" i="29"/>
  <c r="D68" i="30" s="1"/>
  <c r="I22" i="29"/>
  <c r="B34" i="29"/>
  <c r="B43" i="29"/>
  <c r="B25" i="29"/>
  <c r="B16" i="29"/>
  <c r="F118" i="51"/>
  <c r="G493" i="26"/>
  <c r="G324" i="26"/>
  <c r="G356" i="26" s="1"/>
  <c r="G367" i="26" s="1"/>
  <c r="G377" i="26" s="1"/>
  <c r="H21" i="29"/>
  <c r="H35" i="29" s="1"/>
  <c r="D22" i="29"/>
  <c r="J55" i="51"/>
  <c r="C20" i="29"/>
  <c r="C23" i="29"/>
  <c r="C68" i="30" s="1"/>
  <c r="C403" i="26"/>
  <c r="C433" i="26" s="1"/>
  <c r="C436" i="26" s="1"/>
  <c r="J403" i="26"/>
  <c r="J433" i="26" s="1"/>
  <c r="J436" i="26" s="1"/>
  <c r="D139" i="51"/>
  <c r="D41" i="51"/>
  <c r="E141" i="16"/>
  <c r="E118" i="51"/>
  <c r="E19" i="51"/>
  <c r="E111" i="16"/>
  <c r="I20" i="29"/>
  <c r="K508" i="26"/>
  <c r="K138" i="26"/>
  <c r="E107" i="51"/>
  <c r="E41" i="29"/>
  <c r="H493" i="26"/>
  <c r="H324" i="26"/>
  <c r="H356" i="26" s="1"/>
  <c r="H367" i="26" s="1"/>
  <c r="H377" i="26" s="1"/>
  <c r="G20" i="29"/>
  <c r="G23" i="29"/>
  <c r="G68" i="30" s="1"/>
  <c r="H405" i="26"/>
  <c r="H410" i="26" s="1"/>
  <c r="H418" i="26" s="1"/>
  <c r="H429" i="26" s="1"/>
  <c r="H438" i="26" s="1"/>
  <c r="H454" i="26" s="1"/>
  <c r="H36" i="29" l="1"/>
  <c r="H69" i="30" s="1"/>
  <c r="K77" i="30"/>
  <c r="C62" i="30"/>
  <c r="C61" i="30"/>
  <c r="E104" i="16"/>
  <c r="E113" i="16" s="1"/>
  <c r="E84" i="16" s="1"/>
  <c r="C60" i="30"/>
  <c r="H28" i="75"/>
  <c r="H29" i="75" s="1"/>
  <c r="E90" i="51"/>
  <c r="E93" i="51" s="1"/>
  <c r="B405" i="26"/>
  <c r="B410" i="26" s="1"/>
  <c r="B418" i="26" s="1"/>
  <c r="B429" i="26" s="1"/>
  <c r="B438" i="26" s="1"/>
  <c r="B454" i="26" s="1"/>
  <c r="I138" i="26"/>
  <c r="G64" i="30"/>
  <c r="G56" i="31"/>
  <c r="G31" i="31"/>
  <c r="J39" i="31"/>
  <c r="J44" i="31" s="1"/>
  <c r="J48" i="31" s="1"/>
  <c r="J57" i="31"/>
  <c r="H56" i="31"/>
  <c r="H31" i="31"/>
  <c r="H64" i="30"/>
  <c r="H37" i="29" s="1"/>
  <c r="H31" i="30"/>
  <c r="H59" i="30"/>
  <c r="H74" i="30" s="1"/>
  <c r="H79" i="30" s="1"/>
  <c r="F69" i="75"/>
  <c r="F70" i="75" s="1"/>
  <c r="S13" i="77"/>
  <c r="H26" i="77" s="1"/>
  <c r="I57" i="31"/>
  <c r="I39" i="31"/>
  <c r="I44" i="31" s="1"/>
  <c r="I48" i="31" s="1"/>
  <c r="H69" i="75"/>
  <c r="H70" i="75" s="1"/>
  <c r="U13" i="77"/>
  <c r="Q6" i="77"/>
  <c r="F6" i="77" s="1"/>
  <c r="Q7" i="77"/>
  <c r="F7" i="77" s="1"/>
  <c r="O9" i="77"/>
  <c r="F56" i="31"/>
  <c r="F31" i="31"/>
  <c r="F64" i="30"/>
  <c r="M9" i="77"/>
  <c r="D56" i="31"/>
  <c r="D31" i="31"/>
  <c r="D64" i="30"/>
  <c r="G29" i="75"/>
  <c r="C26" i="31"/>
  <c r="C8" i="29" s="1"/>
  <c r="C55" i="31"/>
  <c r="J55" i="16"/>
  <c r="T8" i="77"/>
  <c r="F29" i="75"/>
  <c r="G69" i="75"/>
  <c r="G70" i="75" s="1"/>
  <c r="T13" i="77"/>
  <c r="E69" i="75"/>
  <c r="E70" i="75" s="1"/>
  <c r="R13" i="77"/>
  <c r="G26" i="77" s="1"/>
  <c r="D69" i="75"/>
  <c r="D70" i="75" s="1"/>
  <c r="Q13" i="77"/>
  <c r="F26" i="77" s="1"/>
  <c r="K26" i="31"/>
  <c r="K55" i="31"/>
  <c r="E31" i="31"/>
  <c r="E56" i="31"/>
  <c r="N9" i="77"/>
  <c r="E64" i="30"/>
  <c r="K32" i="77"/>
  <c r="K33" i="77"/>
  <c r="K40" i="77"/>
  <c r="B62" i="30"/>
  <c r="B61" i="30"/>
  <c r="M27" i="77"/>
  <c r="C23" i="77" s="1"/>
  <c r="N27" i="77"/>
  <c r="D23" i="77" s="1"/>
  <c r="I36" i="29"/>
  <c r="I69" i="30" s="1"/>
  <c r="L27" i="77"/>
  <c r="B68" i="30"/>
  <c r="K27" i="77"/>
  <c r="D55" i="16"/>
  <c r="B60" i="30"/>
  <c r="D20" i="29"/>
  <c r="D29" i="29" s="1"/>
  <c r="G34" i="18"/>
  <c r="I34" i="18"/>
  <c r="F6" i="73"/>
  <c r="C27" i="75"/>
  <c r="C28" i="75" s="1"/>
  <c r="E31" i="75"/>
  <c r="F32" i="75"/>
  <c r="G6" i="73"/>
  <c r="D27" i="75"/>
  <c r="D28" i="75" s="1"/>
  <c r="G32" i="75"/>
  <c r="I28" i="75"/>
  <c r="J27" i="75"/>
  <c r="I489" i="26"/>
  <c r="B77" i="30"/>
  <c r="E55" i="16"/>
  <c r="H34" i="18"/>
  <c r="D11" i="20"/>
  <c r="H11" i="20" s="1"/>
  <c r="D11" i="19"/>
  <c r="H11" i="19" s="1"/>
  <c r="J87" i="16"/>
  <c r="H44" i="18"/>
  <c r="I87" i="16"/>
  <c r="G44" i="18"/>
  <c r="D33" i="18"/>
  <c r="D34" i="18"/>
  <c r="D8" i="20"/>
  <c r="H8" i="20" s="1"/>
  <c r="D8" i="19"/>
  <c r="H8" i="19" s="1"/>
  <c r="K87" i="16"/>
  <c r="I44" i="18"/>
  <c r="H87" i="16"/>
  <c r="F44" i="18"/>
  <c r="D12" i="20"/>
  <c r="H12" i="20" s="1"/>
  <c r="D12" i="19"/>
  <c r="H12" i="19" s="1"/>
  <c r="G54" i="16"/>
  <c r="Q8" i="77" s="1"/>
  <c r="F8" i="77" s="1"/>
  <c r="E33" i="18"/>
  <c r="D9" i="19"/>
  <c r="H9" i="19" s="1"/>
  <c r="D9" i="20"/>
  <c r="H9" i="20" s="1"/>
  <c r="J405" i="26"/>
  <c r="J410" i="26" s="1"/>
  <c r="J418" i="26" s="1"/>
  <c r="J429" i="26" s="1"/>
  <c r="J438" i="26" s="1"/>
  <c r="J454" i="26" s="1"/>
  <c r="G87" i="16"/>
  <c r="E44" i="18"/>
  <c r="N52" i="16"/>
  <c r="E90" i="16"/>
  <c r="E93" i="16" s="1"/>
  <c r="E20" i="16"/>
  <c r="D141" i="16"/>
  <c r="D141" i="51"/>
  <c r="E61" i="51"/>
  <c r="E64" i="51" s="1"/>
  <c r="E72" i="51" s="1"/>
  <c r="D61" i="51"/>
  <c r="D64" i="51" s="1"/>
  <c r="D72" i="51" s="1"/>
  <c r="A17" i="52"/>
  <c r="A1" i="52" s="1"/>
  <c r="F118" i="16"/>
  <c r="F104" i="16" s="1"/>
  <c r="F123" i="16"/>
  <c r="F123" i="51"/>
  <c r="B56" i="31"/>
  <c r="B31" i="31"/>
  <c r="K10" i="77" s="1"/>
  <c r="B8" i="29"/>
  <c r="G251" i="26"/>
  <c r="G139" i="26"/>
  <c r="G198" i="26"/>
  <c r="G458" i="26"/>
  <c r="G380" i="26"/>
  <c r="G328" i="26"/>
  <c r="G296" i="26"/>
  <c r="G4" i="31"/>
  <c r="G53" i="31" s="1"/>
  <c r="G471" i="26"/>
  <c r="G352" i="26"/>
  <c r="G288" i="26"/>
  <c r="G397" i="26"/>
  <c r="G310" i="26"/>
  <c r="G271" i="26"/>
  <c r="G70" i="26"/>
  <c r="G4" i="30"/>
  <c r="J39" i="29"/>
  <c r="J38" i="29"/>
  <c r="K55" i="16"/>
  <c r="F92" i="16"/>
  <c r="E62" i="16"/>
  <c r="E64" i="16"/>
  <c r="H8" i="29"/>
  <c r="D40" i="29"/>
  <c r="F121" i="16"/>
  <c r="F121" i="51"/>
  <c r="B493" i="26"/>
  <c r="B324" i="26"/>
  <c r="B356" i="26" s="1"/>
  <c r="B367" i="26" s="1"/>
  <c r="B377" i="26" s="1"/>
  <c r="H3" i="29"/>
  <c r="I40" i="29"/>
  <c r="E127" i="16"/>
  <c r="C36" i="29"/>
  <c r="C69" i="30" s="1"/>
  <c r="B69" i="30"/>
  <c r="I29" i="29"/>
  <c r="E86" i="16"/>
  <c r="E87" i="16" s="1"/>
  <c r="D20" i="16"/>
  <c r="E20" i="51"/>
  <c r="C39" i="29"/>
  <c r="C38" i="29"/>
  <c r="L26" i="77" s="1"/>
  <c r="G39" i="29"/>
  <c r="G38" i="29"/>
  <c r="F91" i="16"/>
  <c r="E20" i="29"/>
  <c r="E23" i="29"/>
  <c r="E68" i="30" s="1"/>
  <c r="G138" i="26"/>
  <c r="K493" i="26"/>
  <c r="K324" i="26"/>
  <c r="K356" i="26" s="1"/>
  <c r="K367" i="26" s="1"/>
  <c r="K377" i="26" s="1"/>
  <c r="I16" i="29"/>
  <c r="I25" i="29" s="1"/>
  <c r="I34" i="29" s="1"/>
  <c r="I43" i="29" s="1"/>
  <c r="H55" i="16"/>
  <c r="D64" i="16"/>
  <c r="D62" i="16"/>
  <c r="J29" i="29"/>
  <c r="F137" i="51"/>
  <c r="F33" i="51"/>
  <c r="F90" i="51" s="1"/>
  <c r="F33" i="16"/>
  <c r="F137" i="16"/>
  <c r="G489" i="26"/>
  <c r="G14" i="29"/>
  <c r="I493" i="26"/>
  <c r="I324" i="26"/>
  <c r="I356" i="26" s="1"/>
  <c r="I367" i="26" s="1"/>
  <c r="I377" i="26" s="1"/>
  <c r="B39" i="29"/>
  <c r="B38" i="29"/>
  <c r="K26" i="77" s="1"/>
  <c r="I55" i="51"/>
  <c r="F111" i="51"/>
  <c r="F120" i="16"/>
  <c r="F120" i="51"/>
  <c r="I38" i="29"/>
  <c r="I39" i="29"/>
  <c r="J40" i="29"/>
  <c r="F136" i="16"/>
  <c r="F136" i="51"/>
  <c r="F45" i="29"/>
  <c r="J36" i="29"/>
  <c r="J69" i="30" s="1"/>
  <c r="C36" i="75"/>
  <c r="F83" i="51"/>
  <c r="B64" i="30"/>
  <c r="B37" i="29" s="1"/>
  <c r="E104" i="51"/>
  <c r="E113" i="51" s="1"/>
  <c r="E84" i="51" s="1"/>
  <c r="D127" i="51"/>
  <c r="C40" i="29"/>
  <c r="C493" i="26"/>
  <c r="C324" i="26"/>
  <c r="C356" i="26" s="1"/>
  <c r="C367" i="26" s="1"/>
  <c r="C377" i="26" s="1"/>
  <c r="G36" i="29"/>
  <c r="G69" i="30" s="1"/>
  <c r="H29" i="29"/>
  <c r="H40" i="29"/>
  <c r="C33" i="75"/>
  <c r="J8" i="29"/>
  <c r="K405" i="26"/>
  <c r="K410" i="26" s="1"/>
  <c r="K418" i="26" s="1"/>
  <c r="K429" i="26" s="1"/>
  <c r="K438" i="26" s="1"/>
  <c r="K454" i="26" s="1"/>
  <c r="H12" i="16"/>
  <c r="R18" i="77" s="1"/>
  <c r="E40" i="29"/>
  <c r="J493" i="26"/>
  <c r="J324" i="26"/>
  <c r="J356" i="26" s="1"/>
  <c r="J367" i="26" s="1"/>
  <c r="J377" i="26" s="1"/>
  <c r="C29" i="29"/>
  <c r="B492" i="26"/>
  <c r="E127" i="51"/>
  <c r="C405" i="26"/>
  <c r="C410" i="26" s="1"/>
  <c r="C418" i="26" s="1"/>
  <c r="C429" i="26" s="1"/>
  <c r="C438" i="26" s="1"/>
  <c r="C454" i="26" s="1"/>
  <c r="F104" i="51"/>
  <c r="H39" i="29"/>
  <c r="H38" i="29"/>
  <c r="E86" i="51"/>
  <c r="E87" i="51" s="1"/>
  <c r="D20" i="51"/>
  <c r="D127" i="16"/>
  <c r="I55" i="16"/>
  <c r="J492" i="26"/>
  <c r="I405" i="26"/>
  <c r="I410" i="26" s="1"/>
  <c r="I418" i="26" s="1"/>
  <c r="I429" i="26" s="1"/>
  <c r="I438" i="26" s="1"/>
  <c r="I454" i="26" s="1"/>
  <c r="H31" i="75" l="1"/>
  <c r="H32" i="75" s="1"/>
  <c r="I32" i="75" s="1"/>
  <c r="J32" i="75" s="1"/>
  <c r="K32" i="75" s="1"/>
  <c r="M33" i="77"/>
  <c r="C21" i="77" s="1"/>
  <c r="M32" i="77"/>
  <c r="C10" i="77" s="1"/>
  <c r="M40" i="77"/>
  <c r="M42" i="77" s="1"/>
  <c r="C9" i="77"/>
  <c r="H39" i="31"/>
  <c r="H44" i="31" s="1"/>
  <c r="H48" i="31" s="1"/>
  <c r="H57" i="31"/>
  <c r="G31" i="30"/>
  <c r="G59" i="30"/>
  <c r="G74" i="30" s="1"/>
  <c r="G79" i="30" s="1"/>
  <c r="I49" i="31"/>
  <c r="I81" i="30"/>
  <c r="I89" i="30" s="1"/>
  <c r="L9" i="77"/>
  <c r="C56" i="31"/>
  <c r="C31" i="31"/>
  <c r="C10" i="29" s="1"/>
  <c r="C64" i="30"/>
  <c r="C37" i="29" s="1"/>
  <c r="N33" i="77"/>
  <c r="D21" i="77" s="1"/>
  <c r="D9" i="77"/>
  <c r="N32" i="77"/>
  <c r="D10" i="77" s="1"/>
  <c r="N40" i="77"/>
  <c r="N42" i="77" s="1"/>
  <c r="J81" i="30"/>
  <c r="J89" i="30" s="1"/>
  <c r="J49" i="31"/>
  <c r="K8" i="29"/>
  <c r="K56" i="31"/>
  <c r="K31" i="31"/>
  <c r="K64" i="30"/>
  <c r="K37" i="29" s="1"/>
  <c r="O10" i="77"/>
  <c r="E11" i="77" s="1"/>
  <c r="F39" i="31"/>
  <c r="F44" i="31" s="1"/>
  <c r="F48" i="31" s="1"/>
  <c r="F57" i="31"/>
  <c r="O33" i="77"/>
  <c r="E21" i="77" s="1"/>
  <c r="O40" i="77"/>
  <c r="O42" i="77" s="1"/>
  <c r="O32" i="77"/>
  <c r="E10" i="77" s="1"/>
  <c r="E9" i="77"/>
  <c r="G39" i="31"/>
  <c r="G44" i="31" s="1"/>
  <c r="G48" i="31" s="1"/>
  <c r="G57" i="31"/>
  <c r="N10" i="77"/>
  <c r="D11" i="77" s="1"/>
  <c r="E57" i="31"/>
  <c r="E39" i="31"/>
  <c r="E44" i="31" s="1"/>
  <c r="E48" i="31" s="1"/>
  <c r="D39" i="31"/>
  <c r="D44" i="31" s="1"/>
  <c r="D48" i="31" s="1"/>
  <c r="M10" i="77"/>
  <c r="C11" i="77" s="1"/>
  <c r="D57" i="31"/>
  <c r="K42" i="77"/>
  <c r="K44" i="77" s="1"/>
  <c r="E29" i="29"/>
  <c r="F22" i="29"/>
  <c r="D31" i="75"/>
  <c r="D29" i="75"/>
  <c r="G55" i="16"/>
  <c r="K27" i="75"/>
  <c r="K28" i="75" s="1"/>
  <c r="J28" i="75"/>
  <c r="E32" i="75"/>
  <c r="E29" i="75"/>
  <c r="E72" i="16"/>
  <c r="E74" i="16" s="1"/>
  <c r="E76" i="16" s="1"/>
  <c r="E28" i="16" s="1"/>
  <c r="D17" i="19"/>
  <c r="H17" i="19" s="1"/>
  <c r="D17" i="20"/>
  <c r="H17" i="20" s="1"/>
  <c r="F83" i="16"/>
  <c r="D37" i="18"/>
  <c r="E34" i="18"/>
  <c r="F34" i="18"/>
  <c r="D72" i="16"/>
  <c r="D74" i="16" s="1"/>
  <c r="D76" i="16" s="1"/>
  <c r="D28" i="16" s="1"/>
  <c r="D16" i="19"/>
  <c r="H16" i="19" s="1"/>
  <c r="D16" i="20"/>
  <c r="H16" i="20" s="1"/>
  <c r="F296" i="26"/>
  <c r="F397" i="26"/>
  <c r="F458" i="26"/>
  <c r="F310" i="26"/>
  <c r="F251" i="26"/>
  <c r="F70" i="26"/>
  <c r="F288" i="26"/>
  <c r="F328" i="26"/>
  <c r="F139" i="26"/>
  <c r="F198" i="26"/>
  <c r="F352" i="26"/>
  <c r="F471" i="26"/>
  <c r="F271" i="26"/>
  <c r="F380" i="26"/>
  <c r="F90" i="16"/>
  <c r="G90" i="16"/>
  <c r="G92" i="51"/>
  <c r="F92" i="51"/>
  <c r="F91" i="51"/>
  <c r="G91" i="51"/>
  <c r="E62" i="51"/>
  <c r="D62" i="51"/>
  <c r="F19" i="51"/>
  <c r="F19" i="16"/>
  <c r="G26" i="16"/>
  <c r="D65" i="16"/>
  <c r="F127" i="16"/>
  <c r="F54" i="51"/>
  <c r="D74" i="51"/>
  <c r="D76" i="51" s="1"/>
  <c r="D28" i="51" s="1"/>
  <c r="D65" i="51"/>
  <c r="E74" i="51"/>
  <c r="E76" i="51" s="1"/>
  <c r="E28" i="51" s="1"/>
  <c r="E65" i="51"/>
  <c r="D8" i="29"/>
  <c r="D9" i="29"/>
  <c r="D37" i="29"/>
  <c r="F140" i="16"/>
  <c r="F4" i="30"/>
  <c r="F4" i="31"/>
  <c r="F53" i="31" s="1"/>
  <c r="I12" i="16"/>
  <c r="S18" i="77" s="1"/>
  <c r="G8" i="29"/>
  <c r="G37" i="29"/>
  <c r="F107" i="51"/>
  <c r="G3" i="29"/>
  <c r="F109" i="51"/>
  <c r="F106" i="51"/>
  <c r="F139" i="51"/>
  <c r="F41" i="51"/>
  <c r="F107" i="16"/>
  <c r="F109" i="16"/>
  <c r="F106" i="16"/>
  <c r="F13" i="16"/>
  <c r="F18" i="29"/>
  <c r="H16" i="29"/>
  <c r="H25" i="29" s="1"/>
  <c r="H34" i="29" s="1"/>
  <c r="H43" i="29" s="1"/>
  <c r="F140" i="51"/>
  <c r="F127" i="51"/>
  <c r="E8" i="29"/>
  <c r="E9" i="29"/>
  <c r="E37" i="29"/>
  <c r="F41" i="16"/>
  <c r="F139" i="16"/>
  <c r="B57" i="31"/>
  <c r="B39" i="31"/>
  <c r="B44" i="31" s="1"/>
  <c r="B48" i="31" s="1"/>
  <c r="K11" i="77" s="1"/>
  <c r="B10" i="29"/>
  <c r="J10" i="29"/>
  <c r="J26" i="29" s="1"/>
  <c r="J27" i="29" s="1"/>
  <c r="J30" i="29" s="1"/>
  <c r="I8" i="29"/>
  <c r="I37" i="29"/>
  <c r="H10" i="29"/>
  <c r="H26" i="29" s="1"/>
  <c r="H27" i="29" s="1"/>
  <c r="H30" i="29" s="1"/>
  <c r="E65" i="16"/>
  <c r="D78" i="16" l="1"/>
  <c r="E78" i="16"/>
  <c r="D78" i="51"/>
  <c r="E78" i="51"/>
  <c r="K10" i="29"/>
  <c r="K26" i="29" s="1"/>
  <c r="K27" i="29" s="1"/>
  <c r="K30" i="29" s="1"/>
  <c r="K39" i="31"/>
  <c r="K44" i="31" s="1"/>
  <c r="K48" i="31" s="1"/>
  <c r="K57" i="31"/>
  <c r="E31" i="77"/>
  <c r="O44" i="77"/>
  <c r="E33" i="77" s="1"/>
  <c r="L10" i="77"/>
  <c r="C39" i="31"/>
  <c r="C44" i="31" s="1"/>
  <c r="C48" i="31" s="1"/>
  <c r="C57" i="31"/>
  <c r="E81" i="30"/>
  <c r="E89" i="30" s="1"/>
  <c r="E49" i="31"/>
  <c r="N12" i="77" s="1"/>
  <c r="N11" i="77"/>
  <c r="D12" i="77" s="1"/>
  <c r="G49" i="31"/>
  <c r="G81" i="30"/>
  <c r="G89" i="30" s="1"/>
  <c r="D81" i="30"/>
  <c r="D89" i="30" s="1"/>
  <c r="D49" i="31"/>
  <c r="M12" i="77" s="1"/>
  <c r="M11" i="77"/>
  <c r="C12" i="77" s="1"/>
  <c r="H81" i="30"/>
  <c r="H89" i="30" s="1"/>
  <c r="H49" i="31"/>
  <c r="L33" i="77"/>
  <c r="L40" i="77"/>
  <c r="L32" i="77"/>
  <c r="M44" i="77"/>
  <c r="C33" i="77" s="1"/>
  <c r="C31" i="77"/>
  <c r="F59" i="30"/>
  <c r="F74" i="30" s="1"/>
  <c r="F79" i="30" s="1"/>
  <c r="F31" i="30"/>
  <c r="F49" i="31"/>
  <c r="O12" i="77" s="1"/>
  <c r="O11" i="77"/>
  <c r="E12" i="77" s="1"/>
  <c r="F81" i="30"/>
  <c r="F89" i="30" s="1"/>
  <c r="D31" i="77"/>
  <c r="N44" i="77"/>
  <c r="D33" i="77" s="1"/>
  <c r="C26" i="29"/>
  <c r="C27" i="29" s="1"/>
  <c r="C30" i="29" s="1"/>
  <c r="B26" i="29"/>
  <c r="B27" i="29" s="1"/>
  <c r="I31" i="75"/>
  <c r="I30" i="75" s="1"/>
  <c r="F23" i="29"/>
  <c r="F68" i="30" s="1"/>
  <c r="K31" i="75"/>
  <c r="K30" i="75" s="1"/>
  <c r="E39" i="29"/>
  <c r="D39" i="29"/>
  <c r="F54" i="16"/>
  <c r="F61" i="16" s="1"/>
  <c r="C30" i="75"/>
  <c r="C31" i="75" s="1"/>
  <c r="D32" i="75"/>
  <c r="J31" i="75"/>
  <c r="J30" i="75" s="1"/>
  <c r="D46" i="18"/>
  <c r="D47" i="18" s="1"/>
  <c r="C50" i="75"/>
  <c r="E380" i="26"/>
  <c r="E352" i="26"/>
  <c r="E328" i="26"/>
  <c r="E139" i="26"/>
  <c r="E296" i="26"/>
  <c r="E397" i="26"/>
  <c r="E288" i="26"/>
  <c r="E271" i="26"/>
  <c r="E458" i="26"/>
  <c r="E310" i="26"/>
  <c r="E251" i="26"/>
  <c r="E70" i="26"/>
  <c r="E471" i="26"/>
  <c r="E198" i="26"/>
  <c r="F93" i="16"/>
  <c r="F141" i="16"/>
  <c r="C8" i="75" s="1"/>
  <c r="R14" i="75" s="1"/>
  <c r="F93" i="51"/>
  <c r="F141" i="51"/>
  <c r="F113" i="51"/>
  <c r="F84" i="51" s="1"/>
  <c r="F113" i="16"/>
  <c r="F84" i="16" s="1"/>
  <c r="F20" i="16"/>
  <c r="F86" i="16"/>
  <c r="F87" i="16" s="1"/>
  <c r="B49" i="31"/>
  <c r="K12" i="77" s="1"/>
  <c r="K35" i="77" s="1"/>
  <c r="B81" i="30"/>
  <c r="B89" i="30" s="1"/>
  <c r="B12" i="29"/>
  <c r="E4" i="30"/>
  <c r="E4" i="31"/>
  <c r="E53" i="31" s="1"/>
  <c r="D10" i="29"/>
  <c r="D26" i="29" s="1"/>
  <c r="D11" i="29"/>
  <c r="E82" i="16"/>
  <c r="E85" i="16" s="1"/>
  <c r="E94" i="16" s="1"/>
  <c r="E97" i="16" s="1"/>
  <c r="E98" i="16" s="1"/>
  <c r="E100" i="16" s="1"/>
  <c r="J13" i="29"/>
  <c r="J12" i="29"/>
  <c r="G41" i="51"/>
  <c r="E82" i="51"/>
  <c r="E85" i="51" s="1"/>
  <c r="E94" i="51" s="1"/>
  <c r="E97" i="51" s="1"/>
  <c r="E98" i="51" s="1"/>
  <c r="G16" i="29"/>
  <c r="G25" i="29" s="1"/>
  <c r="G34" i="29" s="1"/>
  <c r="G43" i="29" s="1"/>
  <c r="J12" i="16"/>
  <c r="T18" i="77" s="1"/>
  <c r="K12" i="16"/>
  <c r="U18" i="77" s="1"/>
  <c r="H26" i="16"/>
  <c r="F41" i="29"/>
  <c r="G13" i="51"/>
  <c r="G140" i="51"/>
  <c r="E10" i="29"/>
  <c r="E26" i="29" s="1"/>
  <c r="E11" i="29"/>
  <c r="I10" i="29"/>
  <c r="I26" i="29" s="1"/>
  <c r="I27" i="29" s="1"/>
  <c r="I30" i="29" s="1"/>
  <c r="F13" i="51"/>
  <c r="F3" i="29"/>
  <c r="G11" i="16"/>
  <c r="Q17" i="77" s="1"/>
  <c r="F16" i="77" s="1"/>
  <c r="G10" i="29"/>
  <c r="G26" i="29" s="1"/>
  <c r="G27" i="29" s="1"/>
  <c r="F6" i="29"/>
  <c r="F7" i="29"/>
  <c r="F20" i="29"/>
  <c r="H12" i="29"/>
  <c r="G139" i="51"/>
  <c r="F55" i="51"/>
  <c r="F61" i="51"/>
  <c r="C81" i="30" l="1"/>
  <c r="C89" i="30" s="1"/>
  <c r="L11" i="77"/>
  <c r="C49" i="31"/>
  <c r="L12" i="77" s="1"/>
  <c r="L35" i="77" s="1"/>
  <c r="C12" i="29"/>
  <c r="L42" i="77"/>
  <c r="L44" i="77" s="1"/>
  <c r="E59" i="30"/>
  <c r="E74" i="30" s="1"/>
  <c r="E79" i="30" s="1"/>
  <c r="E31" i="30"/>
  <c r="O35" i="77"/>
  <c r="E14" i="77" s="1"/>
  <c r="E13" i="77"/>
  <c r="N35" i="77"/>
  <c r="D14" i="77" s="1"/>
  <c r="D13" i="77"/>
  <c r="K12" i="29"/>
  <c r="K49" i="31"/>
  <c r="K13" i="29" s="1"/>
  <c r="K81" i="30"/>
  <c r="K89" i="30" s="1"/>
  <c r="C13" i="77"/>
  <c r="M35" i="77"/>
  <c r="C14" i="77" s="1"/>
  <c r="F55" i="16"/>
  <c r="O27" i="77"/>
  <c r="E23" i="77" s="1"/>
  <c r="B13" i="29"/>
  <c r="C32" i="75"/>
  <c r="C34" i="75"/>
  <c r="H13" i="29"/>
  <c r="C14" i="69"/>
  <c r="D12" i="69" s="1"/>
  <c r="C6" i="75"/>
  <c r="C7" i="75" s="1"/>
  <c r="C9" i="75" s="1"/>
  <c r="R13" i="75" s="1"/>
  <c r="R21" i="75" s="1"/>
  <c r="F8" i="73"/>
  <c r="F9" i="73" s="1"/>
  <c r="P5" i="69"/>
  <c r="Q5" i="69"/>
  <c r="Q4" i="69"/>
  <c r="O4" i="69"/>
  <c r="T4" i="69" s="1"/>
  <c r="P4" i="69"/>
  <c r="O5" i="69"/>
  <c r="T5" i="69" s="1"/>
  <c r="O6" i="69"/>
  <c r="T6" i="69" s="1"/>
  <c r="P6" i="69"/>
  <c r="Q6" i="69"/>
  <c r="D56" i="18"/>
  <c r="I17" i="20"/>
  <c r="J17" i="20" s="1"/>
  <c r="I11" i="20"/>
  <c r="J11" i="20" s="1"/>
  <c r="I14" i="19"/>
  <c r="I13" i="19"/>
  <c r="I16" i="20"/>
  <c r="J16" i="20" s="1"/>
  <c r="I9" i="20"/>
  <c r="J9" i="20" s="1"/>
  <c r="I11" i="19"/>
  <c r="J11" i="19" s="1"/>
  <c r="I19" i="20"/>
  <c r="I13" i="20"/>
  <c r="I7" i="20"/>
  <c r="J7" i="20" s="1"/>
  <c r="I12" i="19"/>
  <c r="J12" i="19" s="1"/>
  <c r="I14" i="20"/>
  <c r="I6" i="20"/>
  <c r="I8" i="19"/>
  <c r="J8" i="19" s="1"/>
  <c r="I18" i="20"/>
  <c r="I7" i="19"/>
  <c r="J7" i="19" s="1"/>
  <c r="I6" i="19"/>
  <c r="I16" i="19"/>
  <c r="J16" i="19" s="1"/>
  <c r="I9" i="19"/>
  <c r="J9" i="19" s="1"/>
  <c r="I8" i="20"/>
  <c r="J8" i="20" s="1"/>
  <c r="I19" i="19"/>
  <c r="I18" i="19"/>
  <c r="I12" i="20"/>
  <c r="J12" i="20" s="1"/>
  <c r="I17" i="19"/>
  <c r="J17" i="19" s="1"/>
  <c r="D35" i="18"/>
  <c r="D13" i="19"/>
  <c r="H13" i="19" s="1"/>
  <c r="D13" i="20"/>
  <c r="H13" i="20" s="1"/>
  <c r="I13" i="29"/>
  <c r="I12" i="29"/>
  <c r="F20" i="51"/>
  <c r="F86" i="51"/>
  <c r="F87" i="51" s="1"/>
  <c r="F40" i="29"/>
  <c r="H41" i="51"/>
  <c r="F96" i="16"/>
  <c r="H11" i="16"/>
  <c r="R17" i="77" s="1"/>
  <c r="G16" i="77" s="1"/>
  <c r="F62" i="16"/>
  <c r="F64" i="16"/>
  <c r="F96" i="51"/>
  <c r="E100" i="51"/>
  <c r="I26" i="16"/>
  <c r="E3" i="29"/>
  <c r="H139" i="51"/>
  <c r="G29" i="29"/>
  <c r="G30" i="29" s="1"/>
  <c r="F29" i="29"/>
  <c r="E38" i="29"/>
  <c r="N26" i="77" s="1"/>
  <c r="D25" i="77" s="1"/>
  <c r="D38" i="29"/>
  <c r="M26" i="77" s="1"/>
  <c r="C25" i="77" s="1"/>
  <c r="G12" i="29"/>
  <c r="E12" i="29"/>
  <c r="E29" i="16"/>
  <c r="E42" i="16" s="1"/>
  <c r="E45" i="16" s="1"/>
  <c r="E29" i="51"/>
  <c r="E42" i="51" s="1"/>
  <c r="E44" i="51" s="1"/>
  <c r="D12" i="29"/>
  <c r="D29" i="16"/>
  <c r="D42" i="16" s="1"/>
  <c r="D45" i="16" s="1"/>
  <c r="D29" i="51"/>
  <c r="D42" i="51" s="1"/>
  <c r="H140" i="51"/>
  <c r="F25" i="29"/>
  <c r="F16" i="29"/>
  <c r="F43" i="29"/>
  <c r="F34" i="29"/>
  <c r="F64" i="51"/>
  <c r="F72" i="51" s="1"/>
  <c r="F62" i="51"/>
  <c r="H13" i="51"/>
  <c r="C13" i="29" l="1"/>
  <c r="C11" i="69"/>
  <c r="H11" i="69" s="1"/>
  <c r="E12" i="69"/>
  <c r="J12" i="69" s="1"/>
  <c r="G13" i="29"/>
  <c r="D10" i="69"/>
  <c r="K10" i="69" s="1"/>
  <c r="E11" i="69"/>
  <c r="C35" i="75"/>
  <c r="C37" i="75"/>
  <c r="C12" i="69"/>
  <c r="H12" i="69" s="1"/>
  <c r="C10" i="69"/>
  <c r="H10" i="69" s="1"/>
  <c r="E10" i="69"/>
  <c r="L10" i="69" s="1"/>
  <c r="D11" i="69"/>
  <c r="K11" i="69" s="1"/>
  <c r="P20" i="75"/>
  <c r="P16" i="75"/>
  <c r="K12" i="69"/>
  <c r="W4" i="69"/>
  <c r="U4" i="69"/>
  <c r="X4" i="69"/>
  <c r="V4" i="69"/>
  <c r="X5" i="69"/>
  <c r="V5" i="69"/>
  <c r="X6" i="69"/>
  <c r="V6" i="69"/>
  <c r="W5" i="69"/>
  <c r="U5" i="69"/>
  <c r="W6" i="69"/>
  <c r="U6" i="69"/>
  <c r="T40" i="20"/>
  <c r="Q39" i="20"/>
  <c r="S37" i="20"/>
  <c r="S40" i="20"/>
  <c r="U38" i="20"/>
  <c r="R37" i="20"/>
  <c r="R40" i="20"/>
  <c r="T38" i="20"/>
  <c r="Q37" i="20"/>
  <c r="Q40" i="20"/>
  <c r="S38" i="20"/>
  <c r="U36" i="20"/>
  <c r="U39" i="20"/>
  <c r="R38" i="20"/>
  <c r="T36" i="20"/>
  <c r="T39" i="20"/>
  <c r="Q38" i="20"/>
  <c r="S36" i="20"/>
  <c r="S39" i="20"/>
  <c r="U37" i="20"/>
  <c r="R36" i="20"/>
  <c r="U40" i="20"/>
  <c r="R39" i="20"/>
  <c r="T37" i="20"/>
  <c r="Q36" i="20"/>
  <c r="J6" i="20"/>
  <c r="J13" i="20"/>
  <c r="D38" i="18"/>
  <c r="D36" i="18"/>
  <c r="U59" i="19"/>
  <c r="R58" i="19"/>
  <c r="T56" i="19"/>
  <c r="Q55" i="19"/>
  <c r="T59" i="19"/>
  <c r="Q58" i="19"/>
  <c r="S56" i="19"/>
  <c r="R59" i="19"/>
  <c r="T57" i="19"/>
  <c r="Q56" i="19"/>
  <c r="S59" i="19"/>
  <c r="U57" i="19"/>
  <c r="R56" i="19"/>
  <c r="S58" i="19"/>
  <c r="R55" i="19"/>
  <c r="S57" i="19"/>
  <c r="R57" i="19"/>
  <c r="T55" i="19"/>
  <c r="S55" i="19"/>
  <c r="Q57" i="19"/>
  <c r="U58" i="19"/>
  <c r="T58" i="19"/>
  <c r="U56" i="19"/>
  <c r="Q59" i="19"/>
  <c r="U55" i="19"/>
  <c r="J6" i="19"/>
  <c r="J13" i="19"/>
  <c r="F72" i="16"/>
  <c r="F74" i="16" s="1"/>
  <c r="F78" i="16" s="1"/>
  <c r="D18" i="19"/>
  <c r="H18" i="19" s="1"/>
  <c r="J18" i="19" s="1"/>
  <c r="D18" i="20"/>
  <c r="H18" i="20" s="1"/>
  <c r="J18" i="20" s="1"/>
  <c r="H77" i="18"/>
  <c r="J75" i="18"/>
  <c r="G74" i="18"/>
  <c r="I78" i="18"/>
  <c r="F77" i="18"/>
  <c r="H75" i="18"/>
  <c r="I76" i="18"/>
  <c r="F75" i="18"/>
  <c r="F76" i="18"/>
  <c r="H78" i="18"/>
  <c r="J76" i="18"/>
  <c r="G75" i="18"/>
  <c r="J78" i="18"/>
  <c r="G78" i="18"/>
  <c r="I75" i="18"/>
  <c r="F78" i="18"/>
  <c r="H76" i="18"/>
  <c r="J74" i="18"/>
  <c r="I77" i="18"/>
  <c r="G77" i="18"/>
  <c r="F74" i="18"/>
  <c r="J77" i="18"/>
  <c r="G76" i="18"/>
  <c r="I74" i="18"/>
  <c r="H74" i="18"/>
  <c r="E44" i="16"/>
  <c r="E27" i="29"/>
  <c r="E30" i="29" s="1"/>
  <c r="E36" i="29"/>
  <c r="E69" i="30" s="1"/>
  <c r="I139" i="51"/>
  <c r="I11" i="16"/>
  <c r="S17" i="77" s="1"/>
  <c r="H16" i="77" s="1"/>
  <c r="E34" i="29"/>
  <c r="E25" i="29"/>
  <c r="E16" i="29"/>
  <c r="E43" i="29"/>
  <c r="D44" i="16"/>
  <c r="E13" i="29"/>
  <c r="D27" i="29"/>
  <c r="D30" i="29" s="1"/>
  <c r="D36" i="29"/>
  <c r="D69" i="30" s="1"/>
  <c r="D44" i="51"/>
  <c r="E35" i="29"/>
  <c r="F65" i="51"/>
  <c r="F74" i="51"/>
  <c r="F76" i="51" s="1"/>
  <c r="F28" i="51" s="1"/>
  <c r="D35" i="29"/>
  <c r="I13" i="51"/>
  <c r="D13" i="29"/>
  <c r="F8" i="29"/>
  <c r="F9" i="29"/>
  <c r="F37" i="29"/>
  <c r="F65" i="16"/>
  <c r="I140" i="51"/>
  <c r="J26" i="16"/>
  <c r="K26" i="16"/>
  <c r="F76" i="16" l="1"/>
  <c r="F78" i="51"/>
  <c r="I12" i="69"/>
  <c r="J11" i="69"/>
  <c r="J10" i="69"/>
  <c r="L11" i="69"/>
  <c r="I11" i="69"/>
  <c r="C40" i="75"/>
  <c r="C38" i="75"/>
  <c r="C45" i="75"/>
  <c r="F39" i="29"/>
  <c r="L12" i="69"/>
  <c r="D52" i="75"/>
  <c r="P15" i="75"/>
  <c r="P21" i="75"/>
  <c r="P13" i="75"/>
  <c r="D131" i="75" s="1"/>
  <c r="P14" i="75"/>
  <c r="I10" i="69"/>
  <c r="P17" i="75"/>
  <c r="P80" i="75" s="1"/>
  <c r="D82" i="75" s="1"/>
  <c r="P19" i="75"/>
  <c r="P99" i="75" s="1"/>
  <c r="D101" i="75" s="1"/>
  <c r="P18" i="75"/>
  <c r="P86" i="75" s="1"/>
  <c r="D88" i="75" s="1"/>
  <c r="D42" i="18"/>
  <c r="D39" i="18"/>
  <c r="D41" i="18"/>
  <c r="F82" i="51"/>
  <c r="F10" i="29"/>
  <c r="F26" i="29" s="1"/>
  <c r="F11" i="29"/>
  <c r="J11" i="16"/>
  <c r="T17" i="77" s="1"/>
  <c r="K11" i="16"/>
  <c r="U17" i="77" s="1"/>
  <c r="F82" i="16"/>
  <c r="F85" i="16" s="1"/>
  <c r="F94" i="16" s="1"/>
  <c r="F97" i="16" s="1"/>
  <c r="F98" i="16" s="1"/>
  <c r="F100" i="16" s="1"/>
  <c r="J139" i="51"/>
  <c r="J140" i="51"/>
  <c r="J13" i="51"/>
  <c r="J41" i="51"/>
  <c r="F28" i="16" l="1"/>
  <c r="F29" i="16" s="1"/>
  <c r="D132" i="75"/>
  <c r="C41" i="75"/>
  <c r="C43" i="75"/>
  <c r="D55" i="75"/>
  <c r="D89" i="75"/>
  <c r="E86" i="75"/>
  <c r="R23" i="75"/>
  <c r="P23" i="75"/>
  <c r="D56" i="75"/>
  <c r="E99" i="75"/>
  <c r="D102" i="75"/>
  <c r="D54" i="75"/>
  <c r="E80" i="75"/>
  <c r="D83" i="75"/>
  <c r="D93" i="75"/>
  <c r="F85" i="51"/>
  <c r="F94" i="51" s="1"/>
  <c r="F97" i="51" s="1"/>
  <c r="F98" i="51" s="1"/>
  <c r="G57" i="16"/>
  <c r="K139" i="51"/>
  <c r="G96" i="16"/>
  <c r="F12" i="29"/>
  <c r="K41" i="51"/>
  <c r="K13" i="51"/>
  <c r="A78" i="51"/>
  <c r="K140" i="51"/>
  <c r="F38" i="29"/>
  <c r="O26" i="77" s="1"/>
  <c r="E25" i="77" s="1"/>
  <c r="D94" i="75" l="1"/>
  <c r="D107" i="75" s="1"/>
  <c r="D39" i="75" s="1"/>
  <c r="D133" i="75"/>
  <c r="E88" i="75"/>
  <c r="E89" i="75" s="1"/>
  <c r="E91" i="75"/>
  <c r="D106" i="75"/>
  <c r="E81" i="75"/>
  <c r="E101" i="75"/>
  <c r="E102" i="75" s="1"/>
  <c r="A23" i="75"/>
  <c r="F100" i="51"/>
  <c r="G96" i="51"/>
  <c r="G61" i="51"/>
  <c r="F35" i="29"/>
  <c r="L139" i="51"/>
  <c r="L41" i="51"/>
  <c r="F13" i="29"/>
  <c r="L140" i="51"/>
  <c r="L13" i="51"/>
  <c r="G27" i="51"/>
  <c r="F29" i="51"/>
  <c r="F42" i="51" s="1"/>
  <c r="F27" i="29"/>
  <c r="F30" i="29" s="1"/>
  <c r="F36" i="29"/>
  <c r="F69" i="30" s="1"/>
  <c r="G27" i="16"/>
  <c r="F42" i="16"/>
  <c r="F45" i="16" s="1"/>
  <c r="D71" i="75" l="1"/>
  <c r="D72" i="75" s="1"/>
  <c r="D134" i="75"/>
  <c r="E104" i="75"/>
  <c r="D119" i="75"/>
  <c r="E82" i="75"/>
  <c r="F81" i="75"/>
  <c r="E92" i="75"/>
  <c r="E105" i="75" s="1"/>
  <c r="E55" i="75"/>
  <c r="F86" i="75"/>
  <c r="E56" i="75"/>
  <c r="F99" i="75"/>
  <c r="H61" i="51"/>
  <c r="H64" i="51" s="1"/>
  <c r="H72" i="51" s="1"/>
  <c r="M140" i="51"/>
  <c r="M139" i="51"/>
  <c r="M41" i="51"/>
  <c r="A45" i="51"/>
  <c r="F44" i="51"/>
  <c r="G64" i="51"/>
  <c r="G72" i="51" s="1"/>
  <c r="G62" i="51"/>
  <c r="F44" i="16"/>
  <c r="A45" i="16"/>
  <c r="M13" i="51"/>
  <c r="D135" i="75" l="1"/>
  <c r="E54" i="75"/>
  <c r="F80" i="75"/>
  <c r="E83" i="75"/>
  <c r="E94" i="75" s="1"/>
  <c r="E107" i="75" s="1"/>
  <c r="G81" i="75"/>
  <c r="F92" i="75"/>
  <c r="F105" i="75" s="1"/>
  <c r="E93" i="75"/>
  <c r="F101" i="75"/>
  <c r="F102" i="75" s="1"/>
  <c r="F88" i="75"/>
  <c r="F89" i="75" s="1"/>
  <c r="E106" i="75"/>
  <c r="H62" i="51"/>
  <c r="I62" i="51"/>
  <c r="N139" i="51"/>
  <c r="N13" i="51"/>
  <c r="G39" i="16"/>
  <c r="G124" i="16" s="1"/>
  <c r="H65" i="51"/>
  <c r="H74" i="51"/>
  <c r="N41" i="51"/>
  <c r="G40" i="16"/>
  <c r="G126" i="16" s="1"/>
  <c r="G65" i="51"/>
  <c r="G74" i="51"/>
  <c r="G76" i="51" s="1"/>
  <c r="G28" i="51" s="1"/>
  <c r="N140" i="51"/>
  <c r="H76" i="51" l="1"/>
  <c r="H28" i="51" s="1"/>
  <c r="D136" i="75"/>
  <c r="H81" i="75"/>
  <c r="G92" i="75"/>
  <c r="G105" i="75" s="1"/>
  <c r="E39" i="75"/>
  <c r="E71" i="75"/>
  <c r="E72" i="75" s="1"/>
  <c r="F56" i="75"/>
  <c r="G99" i="75"/>
  <c r="F82" i="75"/>
  <c r="F91" i="75"/>
  <c r="F93" i="75" s="1"/>
  <c r="F104" i="75"/>
  <c r="F106" i="75" s="1"/>
  <c r="E119" i="75"/>
  <c r="F55" i="75"/>
  <c r="G86" i="75"/>
  <c r="I64" i="51"/>
  <c r="G112" i="16"/>
  <c r="G110" i="16"/>
  <c r="O13" i="51"/>
  <c r="H82" i="51"/>
  <c r="O139" i="51"/>
  <c r="G82" i="51"/>
  <c r="G15" i="16"/>
  <c r="Q24" i="77" s="1"/>
  <c r="J61" i="51"/>
  <c r="O140" i="51"/>
  <c r="O41" i="51"/>
  <c r="D137" i="75" l="1"/>
  <c r="G104" i="75"/>
  <c r="G106" i="75" s="1"/>
  <c r="F119" i="75"/>
  <c r="G91" i="75"/>
  <c r="G93" i="75" s="1"/>
  <c r="F54" i="75"/>
  <c r="G80" i="75"/>
  <c r="G101" i="75"/>
  <c r="G102" i="75" s="1"/>
  <c r="G119" i="16"/>
  <c r="G105" i="16" s="1"/>
  <c r="G88" i="75"/>
  <c r="G89" i="75" s="1"/>
  <c r="F83" i="75"/>
  <c r="F94" i="75" s="1"/>
  <c r="F107" i="75" s="1"/>
  <c r="I81" i="75"/>
  <c r="H92" i="75"/>
  <c r="H105" i="75" s="1"/>
  <c r="I65" i="51"/>
  <c r="I72" i="51"/>
  <c r="I74" i="51" s="1"/>
  <c r="K61" i="51"/>
  <c r="K64" i="51" s="1"/>
  <c r="K72" i="51" s="1"/>
  <c r="P140" i="51"/>
  <c r="P13" i="51"/>
  <c r="G24" i="16"/>
  <c r="Q20" i="77" s="1"/>
  <c r="Q34" i="77" s="1"/>
  <c r="F22" i="77" s="1"/>
  <c r="G29" i="51"/>
  <c r="H27" i="51"/>
  <c r="P139" i="51"/>
  <c r="G18" i="16"/>
  <c r="G125" i="16" s="1"/>
  <c r="P41" i="51"/>
  <c r="J62" i="51"/>
  <c r="J64" i="51"/>
  <c r="J72" i="51" s="1"/>
  <c r="I76" i="51" l="1"/>
  <c r="I28" i="51" s="1"/>
  <c r="H91" i="75"/>
  <c r="H93" i="75" s="1"/>
  <c r="G55" i="75"/>
  <c r="H86" i="75"/>
  <c r="G56" i="75"/>
  <c r="H99" i="75"/>
  <c r="F71" i="75"/>
  <c r="F72" i="75" s="1"/>
  <c r="F39" i="75"/>
  <c r="J81" i="75"/>
  <c r="I92" i="75"/>
  <c r="I105" i="75" s="1"/>
  <c r="G82" i="75"/>
  <c r="G83" i="75" s="1"/>
  <c r="G94" i="75" s="1"/>
  <c r="G119" i="75"/>
  <c r="H104" i="75"/>
  <c r="H106" i="75" s="1"/>
  <c r="I82" i="51"/>
  <c r="K62" i="51"/>
  <c r="L61" i="51"/>
  <c r="I27" i="51"/>
  <c r="H29" i="51"/>
  <c r="J74" i="51"/>
  <c r="J65" i="51"/>
  <c r="Q139" i="51"/>
  <c r="Q13" i="51"/>
  <c r="Q140" i="51"/>
  <c r="G111" i="16"/>
  <c r="K74" i="51"/>
  <c r="K65" i="51"/>
  <c r="J76" i="51" l="1"/>
  <c r="J28" i="51" s="1"/>
  <c r="K76" i="51"/>
  <c r="K28" i="51" s="1"/>
  <c r="I104" i="75"/>
  <c r="I106" i="75" s="1"/>
  <c r="H119" i="75"/>
  <c r="G107" i="75"/>
  <c r="H80" i="75"/>
  <c r="G54" i="75"/>
  <c r="H88" i="75"/>
  <c r="H89" i="75" s="1"/>
  <c r="H101" i="75"/>
  <c r="H102" i="75" s="1"/>
  <c r="J92" i="75"/>
  <c r="J105" i="75" s="1"/>
  <c r="K81" i="75"/>
  <c r="I91" i="75"/>
  <c r="I93" i="75" s="1"/>
  <c r="L62" i="51"/>
  <c r="L64" i="51"/>
  <c r="L72" i="51" s="1"/>
  <c r="L74" i="51" s="1"/>
  <c r="Q41" i="51"/>
  <c r="G16" i="16"/>
  <c r="G120" i="16" s="1"/>
  <c r="G38" i="16"/>
  <c r="G123" i="16" s="1"/>
  <c r="R140" i="51"/>
  <c r="G35" i="16"/>
  <c r="G92" i="16" s="1"/>
  <c r="J27" i="51"/>
  <c r="I29" i="51"/>
  <c r="G10" i="16"/>
  <c r="Q16" i="77" s="1"/>
  <c r="F15" i="77" s="1"/>
  <c r="R13" i="51"/>
  <c r="M61" i="51"/>
  <c r="G36" i="16"/>
  <c r="G121" i="16" s="1"/>
  <c r="G34" i="16"/>
  <c r="G91" i="16" s="1"/>
  <c r="R139" i="51"/>
  <c r="K82" i="51"/>
  <c r="J82" i="51"/>
  <c r="L76" i="51" l="1"/>
  <c r="L28" i="51" s="1"/>
  <c r="H82" i="75"/>
  <c r="H83" i="75" s="1"/>
  <c r="H94" i="75" s="1"/>
  <c r="G71" i="75"/>
  <c r="G72" i="75" s="1"/>
  <c r="G39" i="75"/>
  <c r="G13" i="16"/>
  <c r="I99" i="75"/>
  <c r="H56" i="75"/>
  <c r="J104" i="75"/>
  <c r="J106" i="75" s="1"/>
  <c r="I119" i="75"/>
  <c r="J91" i="75"/>
  <c r="J93" i="75" s="1"/>
  <c r="I86" i="75"/>
  <c r="H55" i="75"/>
  <c r="L65" i="51"/>
  <c r="N61" i="51"/>
  <c r="N64" i="51" s="1"/>
  <c r="N72" i="51" s="1"/>
  <c r="K27" i="51"/>
  <c r="L27" i="51" s="1"/>
  <c r="J29" i="51"/>
  <c r="S13" i="51"/>
  <c r="L82" i="51"/>
  <c r="S140" i="51"/>
  <c r="G109" i="16"/>
  <c r="G139" i="16"/>
  <c r="G41" i="16"/>
  <c r="G107" i="16"/>
  <c r="M64" i="51"/>
  <c r="M72" i="51" s="1"/>
  <c r="M62" i="51"/>
  <c r="G140" i="16"/>
  <c r="S139" i="51"/>
  <c r="R41" i="51"/>
  <c r="G14" i="16"/>
  <c r="S41" i="51"/>
  <c r="G106" i="16"/>
  <c r="L29" i="51" l="1"/>
  <c r="I88" i="75"/>
  <c r="I101" i="75"/>
  <c r="I102" i="75" s="1"/>
  <c r="J119" i="75"/>
  <c r="K104" i="75"/>
  <c r="H107" i="75"/>
  <c r="K91" i="75"/>
  <c r="H54" i="75"/>
  <c r="I80" i="75"/>
  <c r="N62" i="51"/>
  <c r="O61" i="51"/>
  <c r="O62" i="51" s="1"/>
  <c r="T140" i="51"/>
  <c r="N65" i="51"/>
  <c r="N74" i="51"/>
  <c r="M27" i="51"/>
  <c r="K29" i="51"/>
  <c r="K42" i="51" s="1"/>
  <c r="T139" i="51"/>
  <c r="T41" i="51"/>
  <c r="G118" i="16"/>
  <c r="T13" i="51"/>
  <c r="M74" i="51"/>
  <c r="M65" i="51"/>
  <c r="N76" i="51" l="1"/>
  <c r="N28" i="51" s="1"/>
  <c r="M76" i="51"/>
  <c r="I82" i="75"/>
  <c r="I83" i="75" s="1"/>
  <c r="J99" i="75"/>
  <c r="I56" i="75"/>
  <c r="J86" i="75"/>
  <c r="I55" i="75"/>
  <c r="H71" i="75"/>
  <c r="H72" i="75" s="1"/>
  <c r="H39" i="75"/>
  <c r="I89" i="75"/>
  <c r="O64" i="51"/>
  <c r="P61" i="51"/>
  <c r="P64" i="51" s="1"/>
  <c r="P72" i="51" s="1"/>
  <c r="N82" i="51"/>
  <c r="U140" i="51"/>
  <c r="M82" i="51"/>
  <c r="U13" i="51"/>
  <c r="U139" i="51"/>
  <c r="G127" i="16"/>
  <c r="Q19" i="77" s="1"/>
  <c r="F17" i="77" s="1"/>
  <c r="G104" i="16"/>
  <c r="G113" i="16" s="1"/>
  <c r="G84" i="16" s="1"/>
  <c r="M28" i="51" l="1"/>
  <c r="N27" i="51" s="1"/>
  <c r="O27" i="51" s="1"/>
  <c r="J88" i="75"/>
  <c r="J89" i="75" s="1"/>
  <c r="E46" i="18"/>
  <c r="E47" i="18" s="1"/>
  <c r="D50" i="75"/>
  <c r="J101" i="75"/>
  <c r="J102" i="75" s="1"/>
  <c r="I94" i="75"/>
  <c r="I107" i="75" s="1"/>
  <c r="I54" i="75"/>
  <c r="J80" i="75"/>
  <c r="O65" i="51"/>
  <c r="O72" i="51"/>
  <c r="O74" i="51" s="1"/>
  <c r="P62" i="51"/>
  <c r="Q61" i="51"/>
  <c r="Q62" i="51" s="1"/>
  <c r="H57" i="16"/>
  <c r="U41" i="51"/>
  <c r="P65" i="51"/>
  <c r="P74" i="51"/>
  <c r="V140" i="51"/>
  <c r="V139" i="51"/>
  <c r="V41" i="51"/>
  <c r="V13" i="51"/>
  <c r="M29" i="51" l="1"/>
  <c r="P76" i="51"/>
  <c r="P28" i="51" s="1"/>
  <c r="O82" i="51"/>
  <c r="O76" i="51"/>
  <c r="E45" i="18"/>
  <c r="K99" i="75"/>
  <c r="J56" i="75"/>
  <c r="D67" i="75"/>
  <c r="J82" i="75"/>
  <c r="J83" i="75" s="1"/>
  <c r="J94" i="75" s="1"/>
  <c r="J107" i="75" s="1"/>
  <c r="I71" i="75"/>
  <c r="I72" i="75" s="1"/>
  <c r="I39" i="75"/>
  <c r="K86" i="75"/>
  <c r="J55" i="75"/>
  <c r="Q64" i="51"/>
  <c r="W139" i="51"/>
  <c r="W13" i="51"/>
  <c r="N29" i="51"/>
  <c r="P82" i="51"/>
  <c r="W140" i="51"/>
  <c r="R61" i="51"/>
  <c r="G56" i="16"/>
  <c r="O28" i="51" l="1"/>
  <c r="P27" i="51" s="1"/>
  <c r="Q27" i="51" s="1"/>
  <c r="J71" i="75"/>
  <c r="J72" i="75" s="1"/>
  <c r="J39" i="75"/>
  <c r="K100" i="75"/>
  <c r="K101" i="75" s="1"/>
  <c r="K56" i="75" s="1"/>
  <c r="J54" i="75"/>
  <c r="K80" i="75"/>
  <c r="K87" i="75"/>
  <c r="K92" i="75" s="1"/>
  <c r="D33" i="75"/>
  <c r="D34" i="75" s="1"/>
  <c r="G34" i="53"/>
  <c r="Q72" i="51"/>
  <c r="Q74" i="51" s="1"/>
  <c r="Q76" i="51" s="1"/>
  <c r="Q28" i="51" s="1"/>
  <c r="Q65" i="51"/>
  <c r="W41" i="51"/>
  <c r="G61" i="16"/>
  <c r="Q9" i="77" s="1"/>
  <c r="X13" i="51"/>
  <c r="R62" i="51"/>
  <c r="R64" i="51"/>
  <c r="R72" i="51" s="1"/>
  <c r="X140" i="51"/>
  <c r="S61" i="51"/>
  <c r="X139" i="51"/>
  <c r="O29" i="51" l="1"/>
  <c r="K88" i="75"/>
  <c r="K55" i="75" s="1"/>
  <c r="Q40" i="77"/>
  <c r="Q32" i="77"/>
  <c r="F10" i="77" s="1"/>
  <c r="Q33" i="77"/>
  <c r="F21" i="77" s="1"/>
  <c r="F9" i="77"/>
  <c r="K102" i="75"/>
  <c r="K105" i="75"/>
  <c r="K106" i="75" s="1"/>
  <c r="K93" i="75"/>
  <c r="K82" i="75"/>
  <c r="K54" i="75" s="1"/>
  <c r="J6" i="76"/>
  <c r="J8" i="76" s="1"/>
  <c r="J11" i="76" s="1"/>
  <c r="G8" i="73"/>
  <c r="G9" i="73" s="1"/>
  <c r="D35" i="75"/>
  <c r="D64" i="75"/>
  <c r="D116" i="75" s="1"/>
  <c r="D118" i="75" s="1"/>
  <c r="D37" i="75"/>
  <c r="D96" i="75"/>
  <c r="D110" i="75"/>
  <c r="D111" i="75"/>
  <c r="D95" i="75"/>
  <c r="D108" i="75"/>
  <c r="R27" i="51"/>
  <c r="Q82" i="51"/>
  <c r="G64" i="16"/>
  <c r="Q10" i="77" s="1"/>
  <c r="F11" i="77" s="1"/>
  <c r="E35" i="18"/>
  <c r="D14" i="20"/>
  <c r="H14" i="20" s="1"/>
  <c r="D14" i="19"/>
  <c r="H14" i="19" s="1"/>
  <c r="T61" i="51"/>
  <c r="T64" i="51" s="1"/>
  <c r="T72" i="51" s="1"/>
  <c r="X41" i="51"/>
  <c r="G62" i="16"/>
  <c r="P29" i="51"/>
  <c r="Y139" i="51"/>
  <c r="Y140" i="51"/>
  <c r="Y13" i="51"/>
  <c r="R74" i="51"/>
  <c r="R65" i="51"/>
  <c r="S64" i="51"/>
  <c r="S72" i="51" s="1"/>
  <c r="S62" i="51"/>
  <c r="Y41" i="51"/>
  <c r="R76" i="51" l="1"/>
  <c r="K89" i="75"/>
  <c r="K83" i="75"/>
  <c r="G65" i="16"/>
  <c r="D38" i="75"/>
  <c r="D45" i="75"/>
  <c r="D40" i="75"/>
  <c r="D42" i="75" s="1"/>
  <c r="K119" i="75"/>
  <c r="J14" i="19"/>
  <c r="J14" i="20"/>
  <c r="E38" i="18"/>
  <c r="E36" i="18"/>
  <c r="G72" i="16"/>
  <c r="G74" i="16" s="1"/>
  <c r="D19" i="20"/>
  <c r="H19" i="20" s="1"/>
  <c r="J19" i="20" s="1"/>
  <c r="D19" i="19"/>
  <c r="H19" i="19" s="1"/>
  <c r="J19" i="19" s="1"/>
  <c r="T62" i="51"/>
  <c r="Z140" i="51"/>
  <c r="T74" i="51"/>
  <c r="T65" i="51"/>
  <c r="H39" i="16"/>
  <c r="H124" i="16" s="1"/>
  <c r="Z139" i="51"/>
  <c r="R82" i="51"/>
  <c r="Z41" i="51"/>
  <c r="Z13" i="51"/>
  <c r="U61" i="51"/>
  <c r="Q29" i="51"/>
  <c r="S74" i="51"/>
  <c r="S65" i="51"/>
  <c r="H40" i="16"/>
  <c r="H126" i="16" s="1"/>
  <c r="R28" i="51" l="1"/>
  <c r="S27" i="51" s="1"/>
  <c r="Q11" i="77"/>
  <c r="Q12" i="77" s="1"/>
  <c r="G76" i="16"/>
  <c r="G28" i="16" s="1"/>
  <c r="H27" i="16" s="1"/>
  <c r="S76" i="51"/>
  <c r="S28" i="51" s="1"/>
  <c r="T76" i="51"/>
  <c r="T28" i="51" s="1"/>
  <c r="K94" i="75"/>
  <c r="K107" i="75" s="1"/>
  <c r="K71" i="75" s="1"/>
  <c r="K72" i="75" s="1"/>
  <c r="D65" i="75"/>
  <c r="D68" i="75" s="1"/>
  <c r="D73" i="75" s="1"/>
  <c r="D53" i="75" s="1"/>
  <c r="D41" i="75"/>
  <c r="E39" i="18"/>
  <c r="E40" i="18"/>
  <c r="E42" i="18" s="1"/>
  <c r="E48" i="18" s="1"/>
  <c r="E53" i="18" s="1"/>
  <c r="H21" i="20"/>
  <c r="J21" i="20"/>
  <c r="S42" i="20" s="1"/>
  <c r="A42" i="20" s="1"/>
  <c r="A1" i="20" s="1"/>
  <c r="H21" i="19"/>
  <c r="G82" i="16"/>
  <c r="G85" i="16" s="1"/>
  <c r="J21" i="19"/>
  <c r="S61" i="19" s="1"/>
  <c r="A61" i="19" s="1"/>
  <c r="A1" i="19" s="1"/>
  <c r="V61" i="51"/>
  <c r="V64" i="51" s="1"/>
  <c r="V72" i="51" s="1"/>
  <c r="AA140" i="51"/>
  <c r="G25" i="16"/>
  <c r="H15" i="16"/>
  <c r="R24" i="77" s="1"/>
  <c r="H112" i="16"/>
  <c r="AA13" i="51"/>
  <c r="U64" i="51"/>
  <c r="U72" i="51" s="1"/>
  <c r="U62" i="51"/>
  <c r="AA139" i="51"/>
  <c r="AA41" i="51"/>
  <c r="S82" i="51"/>
  <c r="H110" i="16"/>
  <c r="T82" i="51"/>
  <c r="F12" i="77" l="1"/>
  <c r="R29" i="51"/>
  <c r="T27" i="51"/>
  <c r="U27" i="51" s="1"/>
  <c r="K39" i="75"/>
  <c r="D43" i="75"/>
  <c r="Q35" i="77"/>
  <c r="F14" i="77" s="1"/>
  <c r="F13" i="77"/>
  <c r="H119" i="16"/>
  <c r="H105" i="16" s="1"/>
  <c r="D120" i="75"/>
  <c r="D121" i="75" s="1"/>
  <c r="D57" i="75"/>
  <c r="D58" i="75" s="1"/>
  <c r="D109" i="75"/>
  <c r="P46" i="19"/>
  <c r="D23" i="19"/>
  <c r="D24" i="19"/>
  <c r="P27" i="20"/>
  <c r="D23" i="20"/>
  <c r="D24" i="20"/>
  <c r="V62" i="51"/>
  <c r="W61" i="51"/>
  <c r="W64" i="51" s="1"/>
  <c r="W72" i="51" s="1"/>
  <c r="U74" i="51"/>
  <c r="U65" i="51"/>
  <c r="AB41" i="51"/>
  <c r="S29" i="51"/>
  <c r="H18" i="16"/>
  <c r="H125" i="16" s="1"/>
  <c r="G29" i="16"/>
  <c r="Q21" i="77" s="1"/>
  <c r="F19" i="77" s="1"/>
  <c r="AB140" i="51"/>
  <c r="AB139" i="51"/>
  <c r="V65" i="51"/>
  <c r="V74" i="51"/>
  <c r="AB13" i="51"/>
  <c r="H24" i="16"/>
  <c r="R20" i="77" s="1"/>
  <c r="R34" i="77" s="1"/>
  <c r="G22" i="77" s="1"/>
  <c r="D49" i="75" l="1"/>
  <c r="D51" i="75" s="1"/>
  <c r="D60" i="75" s="1"/>
  <c r="V76" i="51"/>
  <c r="V28" i="51" s="1"/>
  <c r="U76" i="51"/>
  <c r="D124" i="75"/>
  <c r="D125" i="75"/>
  <c r="D123" i="75"/>
  <c r="D127" i="75" s="1"/>
  <c r="G42" i="16"/>
  <c r="W62" i="51"/>
  <c r="X61" i="51"/>
  <c r="X64" i="51" s="1"/>
  <c r="X72" i="51" s="1"/>
  <c r="AC139" i="51"/>
  <c r="AC140" i="51"/>
  <c r="W65" i="51"/>
  <c r="W74" i="51"/>
  <c r="U82" i="51"/>
  <c r="AC13" i="51"/>
  <c r="T29" i="51"/>
  <c r="V82" i="51"/>
  <c r="H111" i="16"/>
  <c r="AC41" i="51"/>
  <c r="U28" i="51" l="1"/>
  <c r="V27" i="51" s="1"/>
  <c r="W27" i="51" s="1"/>
  <c r="W76" i="51"/>
  <c r="W28" i="51" s="1"/>
  <c r="X62" i="51"/>
  <c r="H36" i="16"/>
  <c r="H121" i="16" s="1"/>
  <c r="H10" i="16"/>
  <c r="R16" i="77" s="1"/>
  <c r="G15" i="77" s="1"/>
  <c r="AD13" i="51"/>
  <c r="W82" i="51"/>
  <c r="AD140" i="51"/>
  <c r="H35" i="16"/>
  <c r="H92" i="16" s="1"/>
  <c r="H34" i="16"/>
  <c r="H91" i="16" s="1"/>
  <c r="AD139" i="51"/>
  <c r="H38" i="16"/>
  <c r="H123" i="16" s="1"/>
  <c r="X65" i="51"/>
  <c r="X74" i="51"/>
  <c r="H16" i="16"/>
  <c r="H120" i="16" s="1"/>
  <c r="Y61" i="51"/>
  <c r="U29" i="51" l="1"/>
  <c r="X76" i="51"/>
  <c r="X28" i="51" s="1"/>
  <c r="H13" i="16"/>
  <c r="Z61" i="51"/>
  <c r="Z64" i="51" s="1"/>
  <c r="Z72" i="51" s="1"/>
  <c r="AD41" i="51"/>
  <c r="X27" i="51"/>
  <c r="AE140" i="51"/>
  <c r="H106" i="16"/>
  <c r="H109" i="16"/>
  <c r="H41" i="16"/>
  <c r="H139" i="16"/>
  <c r="H140" i="16"/>
  <c r="Y62" i="51"/>
  <c r="Y64" i="51"/>
  <c r="Y72" i="51" s="1"/>
  <c r="V29" i="51"/>
  <c r="AE139" i="51"/>
  <c r="AE41" i="51"/>
  <c r="X82" i="51"/>
  <c r="H107" i="16"/>
  <c r="H14" i="16"/>
  <c r="AE13" i="51"/>
  <c r="Y27" i="51" l="1"/>
  <c r="Z62" i="51"/>
  <c r="AA61" i="51"/>
  <c r="AA64" i="51" s="1"/>
  <c r="AA72" i="51" s="1"/>
  <c r="Z74" i="51"/>
  <c r="Z65" i="51"/>
  <c r="Y65" i="51"/>
  <c r="Y74" i="51"/>
  <c r="W29" i="51"/>
  <c r="AF140" i="51"/>
  <c r="AF13" i="51"/>
  <c r="AF41" i="51"/>
  <c r="H118" i="16"/>
  <c r="AF139" i="51"/>
  <c r="Y76" i="51" l="1"/>
  <c r="Z76" i="51"/>
  <c r="Z28" i="51" s="1"/>
  <c r="AA62" i="51"/>
  <c r="AB61" i="51"/>
  <c r="AB64" i="51" s="1"/>
  <c r="AB72" i="51" s="1"/>
  <c r="AG13" i="51"/>
  <c r="AG140" i="51"/>
  <c r="Z82" i="51"/>
  <c r="H127" i="16"/>
  <c r="R19" i="77" s="1"/>
  <c r="G17" i="77" s="1"/>
  <c r="H104" i="16"/>
  <c r="H113" i="16" s="1"/>
  <c r="H84" i="16" s="1"/>
  <c r="X29" i="51"/>
  <c r="AG139" i="51"/>
  <c r="AG41" i="51"/>
  <c r="AA74" i="51"/>
  <c r="AA65" i="51"/>
  <c r="Y82" i="51"/>
  <c r="Y28" i="51" l="1"/>
  <c r="Z27" i="51" s="1"/>
  <c r="AA27" i="51" s="1"/>
  <c r="AA76" i="51"/>
  <c r="AA28" i="51" s="1"/>
  <c r="F46" i="18"/>
  <c r="F47" i="18" s="1"/>
  <c r="E50" i="75"/>
  <c r="AB62" i="51"/>
  <c r="AC61" i="51"/>
  <c r="AC64" i="51" s="1"/>
  <c r="AC72" i="51" s="1"/>
  <c r="I57" i="16"/>
  <c r="AH140" i="51"/>
  <c r="AH13" i="51"/>
  <c r="AA82" i="51"/>
  <c r="AB74" i="51"/>
  <c r="AB65" i="51"/>
  <c r="AH139" i="51"/>
  <c r="Y29" i="51" l="1"/>
  <c r="AB76" i="51"/>
  <c r="AB28" i="51" s="1"/>
  <c r="F45" i="18"/>
  <c r="E67" i="75"/>
  <c r="AC62" i="51"/>
  <c r="AH41" i="51"/>
  <c r="AB27" i="51"/>
  <c r="Z29" i="51"/>
  <c r="AI41" i="51"/>
  <c r="AI140" i="51"/>
  <c r="AD61" i="51"/>
  <c r="H56" i="16"/>
  <c r="AB82" i="51"/>
  <c r="AI139" i="51"/>
  <c r="AI13" i="51"/>
  <c r="AC74" i="51"/>
  <c r="AC65" i="51"/>
  <c r="AC76" i="51" l="1"/>
  <c r="AC28" i="51" s="1"/>
  <c r="E33" i="75"/>
  <c r="E34" i="75" s="1"/>
  <c r="H34" i="53"/>
  <c r="H61" i="16"/>
  <c r="R9" i="77" s="1"/>
  <c r="AC27" i="51"/>
  <c r="AJ13" i="51"/>
  <c r="AA29" i="51"/>
  <c r="AJ41" i="51"/>
  <c r="AE61" i="51"/>
  <c r="AC82" i="51"/>
  <c r="AD64" i="51"/>
  <c r="AD72" i="51" s="1"/>
  <c r="AD62" i="51"/>
  <c r="AJ140" i="51"/>
  <c r="AJ139" i="51"/>
  <c r="R40" i="77" l="1"/>
  <c r="G9" i="77"/>
  <c r="R33" i="77"/>
  <c r="G21" i="77" s="1"/>
  <c r="R32" i="77"/>
  <c r="G10" i="77" s="1"/>
  <c r="K6" i="76"/>
  <c r="K8" i="76" s="1"/>
  <c r="K11" i="76" s="1"/>
  <c r="H8" i="73"/>
  <c r="H9" i="73" s="1"/>
  <c r="E35" i="75"/>
  <c r="E37" i="75"/>
  <c r="E64" i="75"/>
  <c r="E116" i="75" s="1"/>
  <c r="E118" i="75" s="1"/>
  <c r="E110" i="75"/>
  <c r="E96" i="75"/>
  <c r="E95" i="75"/>
  <c r="E111" i="75"/>
  <c r="E108" i="75"/>
  <c r="H64" i="16"/>
  <c r="F35" i="18"/>
  <c r="H62" i="16"/>
  <c r="AF61" i="51"/>
  <c r="AF62" i="51" s="1"/>
  <c r="AD27" i="51"/>
  <c r="AE64" i="51"/>
  <c r="AE72" i="51" s="1"/>
  <c r="AE62" i="51"/>
  <c r="AK41" i="51"/>
  <c r="AK139" i="51"/>
  <c r="AD74" i="51"/>
  <c r="AD65" i="51"/>
  <c r="AK13" i="51"/>
  <c r="AK140" i="51"/>
  <c r="AB29" i="51"/>
  <c r="AD76" i="51" l="1"/>
  <c r="AD28" i="51" s="1"/>
  <c r="AE27" i="51" s="1"/>
  <c r="H65" i="16"/>
  <c r="R10" i="77"/>
  <c r="G11" i="77" s="1"/>
  <c r="E38" i="75"/>
  <c r="E45" i="75"/>
  <c r="E40" i="75"/>
  <c r="E42" i="75" s="1"/>
  <c r="H72" i="16"/>
  <c r="H74" i="16" s="1"/>
  <c r="F38" i="18"/>
  <c r="F36" i="18"/>
  <c r="AF64" i="51"/>
  <c r="AF72" i="51" s="1"/>
  <c r="AF74" i="51" s="1"/>
  <c r="I39" i="16"/>
  <c r="I124" i="16" s="1"/>
  <c r="I40" i="16"/>
  <c r="I126" i="16" s="1"/>
  <c r="AE65" i="51"/>
  <c r="AE74" i="51"/>
  <c r="AL139" i="51"/>
  <c r="AL41" i="51"/>
  <c r="AD82" i="51"/>
  <c r="AL140" i="51"/>
  <c r="AC29" i="51"/>
  <c r="AG61" i="51"/>
  <c r="AL13" i="51"/>
  <c r="H76" i="16" l="1"/>
  <c r="H28" i="16" s="1"/>
  <c r="I27" i="16" s="1"/>
  <c r="AE76" i="51"/>
  <c r="AF76" i="51"/>
  <c r="AF28" i="51" s="1"/>
  <c r="H82" i="16"/>
  <c r="H85" i="16" s="1"/>
  <c r="R11" i="77"/>
  <c r="E41" i="75"/>
  <c r="E65" i="75"/>
  <c r="E68" i="75" s="1"/>
  <c r="E73" i="75" s="1"/>
  <c r="E53" i="75" s="1"/>
  <c r="AF65" i="51"/>
  <c r="F39" i="18"/>
  <c r="F40" i="18"/>
  <c r="F42" i="18" s="1"/>
  <c r="F48" i="18" s="1"/>
  <c r="F53" i="18" s="1"/>
  <c r="AH61" i="51"/>
  <c r="AH64" i="51" s="1"/>
  <c r="AH72" i="51" s="1"/>
  <c r="H25" i="16"/>
  <c r="H93" i="16" s="1"/>
  <c r="AD29" i="51"/>
  <c r="AM41" i="51"/>
  <c r="AF82" i="51"/>
  <c r="AE82" i="51"/>
  <c r="AM13" i="51"/>
  <c r="I15" i="16"/>
  <c r="AM140" i="51"/>
  <c r="I112" i="16"/>
  <c r="I110" i="16"/>
  <c r="AG62" i="51"/>
  <c r="AG64" i="51"/>
  <c r="AG72" i="51" s="1"/>
  <c r="AM139" i="51"/>
  <c r="AE28" i="51" l="1"/>
  <c r="AF27" i="51" s="1"/>
  <c r="AG27" i="51" s="1"/>
  <c r="R12" i="77"/>
  <c r="G12" i="77"/>
  <c r="I119" i="16"/>
  <c r="I105" i="16" s="1"/>
  <c r="S24" i="77"/>
  <c r="E43" i="75"/>
  <c r="E52" i="75" s="1"/>
  <c r="E120" i="75"/>
  <c r="E121" i="75" s="1"/>
  <c r="E57" i="75"/>
  <c r="E109" i="75"/>
  <c r="AH62" i="51"/>
  <c r="AN139" i="51"/>
  <c r="AI61" i="51"/>
  <c r="H29" i="16"/>
  <c r="R21" i="77" s="1"/>
  <c r="G19" i="77" s="1"/>
  <c r="I18" i="16"/>
  <c r="I125" i="16" s="1"/>
  <c r="AN13" i="51"/>
  <c r="AH74" i="51"/>
  <c r="AH65" i="51"/>
  <c r="AN140" i="51"/>
  <c r="AN41" i="51"/>
  <c r="AG65" i="51"/>
  <c r="AG74" i="51"/>
  <c r="I24" i="16"/>
  <c r="AE29" i="51" l="1"/>
  <c r="AG76" i="51"/>
  <c r="AH76" i="51"/>
  <c r="AH28" i="51" s="1"/>
  <c r="E58" i="75"/>
  <c r="S20" i="77"/>
  <c r="S34" i="77" s="1"/>
  <c r="H22" i="77" s="1"/>
  <c r="R35" i="77"/>
  <c r="G14" i="77" s="1"/>
  <c r="G13" i="77"/>
  <c r="H42" i="16"/>
  <c r="E123" i="75"/>
  <c r="E125" i="75"/>
  <c r="E124" i="75"/>
  <c r="AJ61" i="51"/>
  <c r="AJ64" i="51" s="1"/>
  <c r="AJ72" i="51" s="1"/>
  <c r="AO140" i="51"/>
  <c r="AF29" i="51"/>
  <c r="AO13" i="51"/>
  <c r="AI64" i="51"/>
  <c r="AI72" i="51" s="1"/>
  <c r="AI62" i="51"/>
  <c r="AG82" i="51"/>
  <c r="AO41" i="51"/>
  <c r="I111" i="16"/>
  <c r="AO139" i="51"/>
  <c r="AH82" i="51"/>
  <c r="E49" i="75" l="1"/>
  <c r="E51" i="75" s="1"/>
  <c r="E60" i="75" s="1"/>
  <c r="AG28" i="51"/>
  <c r="AH27" i="51" s="1"/>
  <c r="AI27" i="51" s="1"/>
  <c r="E131" i="75"/>
  <c r="E128" i="75" s="1"/>
  <c r="E127" i="75"/>
  <c r="AJ62" i="51"/>
  <c r="AP140" i="51"/>
  <c r="I35" i="16"/>
  <c r="I92" i="16" s="1"/>
  <c r="I38" i="16"/>
  <c r="I123" i="16" s="1"/>
  <c r="I34" i="16"/>
  <c r="I91" i="16" s="1"/>
  <c r="AP139" i="51"/>
  <c r="AJ74" i="51"/>
  <c r="AJ65" i="51"/>
  <c r="I36" i="16"/>
  <c r="I121" i="16" s="1"/>
  <c r="AI74" i="51"/>
  <c r="AI65" i="51"/>
  <c r="I16" i="16"/>
  <c r="I120" i="16" s="1"/>
  <c r="I10" i="16"/>
  <c r="AP13" i="51"/>
  <c r="AK61" i="51"/>
  <c r="AG29" i="51" l="1"/>
  <c r="AI76" i="51"/>
  <c r="AI28" i="51" s="1"/>
  <c r="AJ27" i="51" s="1"/>
  <c r="AJ76" i="51"/>
  <c r="AJ28" i="51" s="1"/>
  <c r="I13" i="16"/>
  <c r="S16" i="77"/>
  <c r="H15" i="77" s="1"/>
  <c r="AL61" i="51"/>
  <c r="AL64" i="51" s="1"/>
  <c r="AL72" i="51" s="1"/>
  <c r="AP41" i="51"/>
  <c r="AQ41" i="51"/>
  <c r="I109" i="16"/>
  <c r="AH29" i="51"/>
  <c r="AQ139" i="51"/>
  <c r="AK64" i="51"/>
  <c r="AK72" i="51" s="1"/>
  <c r="AK62" i="51"/>
  <c r="I106" i="16"/>
  <c r="I139" i="16"/>
  <c r="I41" i="16"/>
  <c r="AQ13" i="51"/>
  <c r="I14" i="16"/>
  <c r="AJ82" i="51"/>
  <c r="AI82" i="51"/>
  <c r="AQ140" i="51"/>
  <c r="I107" i="16"/>
  <c r="I140" i="16"/>
  <c r="AL62" i="51" l="1"/>
  <c r="AK27" i="51"/>
  <c r="AR13" i="51"/>
  <c r="AL74" i="51"/>
  <c r="AL65" i="51"/>
  <c r="AM61" i="51"/>
  <c r="AK74" i="51"/>
  <c r="AK65" i="51"/>
  <c r="I118" i="16"/>
  <c r="AR139" i="51"/>
  <c r="AI29" i="51"/>
  <c r="AR140" i="51"/>
  <c r="AR41" i="51"/>
  <c r="AK76" i="51" l="1"/>
  <c r="AK28" i="51" s="1"/>
  <c r="AL27" i="51" s="1"/>
  <c r="AL76" i="51"/>
  <c r="AL28" i="51" s="1"/>
  <c r="J57" i="16"/>
  <c r="AN61" i="51"/>
  <c r="AN64" i="51" s="1"/>
  <c r="AN72" i="51" s="1"/>
  <c r="AS139" i="51"/>
  <c r="AJ29" i="51"/>
  <c r="AK82" i="51"/>
  <c r="AS140" i="51"/>
  <c r="AM64" i="51"/>
  <c r="AM72" i="51" s="1"/>
  <c r="AM62" i="51"/>
  <c r="AS13" i="51"/>
  <c r="I127" i="16"/>
  <c r="S19" i="77" s="1"/>
  <c r="H17" i="77" s="1"/>
  <c r="I104" i="16"/>
  <c r="I113" i="16" s="1"/>
  <c r="I84" i="16" s="1"/>
  <c r="AL82" i="51"/>
  <c r="G46" i="18" l="1"/>
  <c r="G47" i="18" s="1"/>
  <c r="F50" i="75"/>
  <c r="AN62" i="51"/>
  <c r="AO61" i="51"/>
  <c r="AO64" i="51" s="1"/>
  <c r="AO72" i="51" s="1"/>
  <c r="AS41" i="51"/>
  <c r="AT139" i="51"/>
  <c r="AM74" i="51"/>
  <c r="AM65" i="51"/>
  <c r="AT140" i="51"/>
  <c r="AT13" i="51"/>
  <c r="AM27" i="51"/>
  <c r="AT41" i="51"/>
  <c r="AN74" i="51"/>
  <c r="AN65" i="51"/>
  <c r="AK29" i="51"/>
  <c r="AN76" i="51" l="1"/>
  <c r="AN28" i="51" s="1"/>
  <c r="AM76" i="51"/>
  <c r="G45" i="18"/>
  <c r="F67" i="75"/>
  <c r="AO62" i="51"/>
  <c r="AM82" i="51"/>
  <c r="AU139" i="51"/>
  <c r="AN82" i="51"/>
  <c r="AL29" i="51"/>
  <c r="AP61" i="51"/>
  <c r="I56" i="16"/>
  <c r="AU13" i="51"/>
  <c r="AU140" i="51"/>
  <c r="AO74" i="51"/>
  <c r="AO65" i="51"/>
  <c r="AM28" i="51" l="1"/>
  <c r="AN27" i="51" s="1"/>
  <c r="AO27" i="51" s="1"/>
  <c r="AO76" i="51"/>
  <c r="AO28" i="51" s="1"/>
  <c r="F33" i="75"/>
  <c r="F34" i="75" s="1"/>
  <c r="I34" i="53"/>
  <c r="AU41" i="51"/>
  <c r="I61" i="16"/>
  <c r="S9" i="77" s="1"/>
  <c r="AV41" i="51"/>
  <c r="AV139" i="51"/>
  <c r="AO82" i="51"/>
  <c r="AV13" i="51"/>
  <c r="AP62" i="51"/>
  <c r="AP64" i="51"/>
  <c r="AP72" i="51" s="1"/>
  <c r="AV140" i="51"/>
  <c r="AQ61" i="51"/>
  <c r="AM29" i="51" l="1"/>
  <c r="AP27" i="51"/>
  <c r="S40" i="77"/>
  <c r="S33" i="77"/>
  <c r="H21" i="77" s="1"/>
  <c r="H9" i="77"/>
  <c r="S32" i="77"/>
  <c r="H10" i="77" s="1"/>
  <c r="L6" i="76"/>
  <c r="L8" i="76" s="1"/>
  <c r="L11" i="76" s="1"/>
  <c r="I8" i="73"/>
  <c r="I9" i="73" s="1"/>
  <c r="F35" i="75"/>
  <c r="F64" i="75"/>
  <c r="F116" i="75" s="1"/>
  <c r="F118" i="75" s="1"/>
  <c r="F37" i="75"/>
  <c r="F111" i="75"/>
  <c r="F110" i="75"/>
  <c r="F96" i="75"/>
  <c r="F108" i="75"/>
  <c r="F95" i="75"/>
  <c r="I64" i="16"/>
  <c r="G35" i="18"/>
  <c r="AR61" i="51"/>
  <c r="AR64" i="51" s="1"/>
  <c r="AR72" i="51" s="1"/>
  <c r="I62" i="16"/>
  <c r="AP74" i="51"/>
  <c r="AP65" i="51"/>
  <c r="AQ64" i="51"/>
  <c r="AQ72" i="51" s="1"/>
  <c r="AQ62" i="51"/>
  <c r="AW139" i="51"/>
  <c r="AN29" i="51"/>
  <c r="AW13" i="51"/>
  <c r="AW140" i="51"/>
  <c r="AW41" i="51"/>
  <c r="AP76" i="51" l="1"/>
  <c r="AP28" i="51" s="1"/>
  <c r="AQ27" i="51" s="1"/>
  <c r="I72" i="16"/>
  <c r="I74" i="16" s="1"/>
  <c r="S10" i="77"/>
  <c r="H11" i="77" s="1"/>
  <c r="I65" i="16"/>
  <c r="F38" i="75"/>
  <c r="F45" i="75"/>
  <c r="F40" i="75"/>
  <c r="F42" i="75" s="1"/>
  <c r="G36" i="18"/>
  <c r="G38" i="18"/>
  <c r="AR62" i="51"/>
  <c r="AS61" i="51"/>
  <c r="AS64" i="51" s="1"/>
  <c r="AS72" i="51" s="1"/>
  <c r="AR65" i="51"/>
  <c r="AR74" i="51"/>
  <c r="AX139" i="51"/>
  <c r="AO29" i="51"/>
  <c r="AP82" i="51"/>
  <c r="J39" i="16"/>
  <c r="J124" i="16" s="1"/>
  <c r="J40" i="16"/>
  <c r="J126" i="16" s="1"/>
  <c r="AX41" i="51"/>
  <c r="AQ74" i="51"/>
  <c r="AQ65" i="51"/>
  <c r="AX140" i="51"/>
  <c r="AX13" i="51"/>
  <c r="I82" i="16" l="1"/>
  <c r="I85" i="16" s="1"/>
  <c r="I76" i="16"/>
  <c r="I28" i="16" s="1"/>
  <c r="J27" i="16" s="1"/>
  <c r="AQ76" i="51"/>
  <c r="AQ28" i="51" s="1"/>
  <c r="AR27" i="51" s="1"/>
  <c r="AR76" i="51"/>
  <c r="AR28" i="51" s="1"/>
  <c r="S11" i="77"/>
  <c r="F65" i="75"/>
  <c r="F68" i="75" s="1"/>
  <c r="F73" i="75" s="1"/>
  <c r="F53" i="75" s="1"/>
  <c r="F41" i="75"/>
  <c r="AS62" i="51"/>
  <c r="G39" i="18"/>
  <c r="G40" i="18"/>
  <c r="G42" i="18" s="1"/>
  <c r="G48" i="18" s="1"/>
  <c r="G53" i="18" s="1"/>
  <c r="AT61" i="51"/>
  <c r="AT64" i="51" s="1"/>
  <c r="AT72" i="51" s="1"/>
  <c r="J110" i="16"/>
  <c r="AY139" i="51"/>
  <c r="AY41" i="51"/>
  <c r="AY140" i="51"/>
  <c r="J112" i="16"/>
  <c r="AY13" i="51"/>
  <c r="AR82" i="51"/>
  <c r="AS74" i="51"/>
  <c r="AS65" i="51"/>
  <c r="J15" i="16"/>
  <c r="AQ82" i="51"/>
  <c r="I25" i="16"/>
  <c r="AP29" i="51"/>
  <c r="AS76" i="51" l="1"/>
  <c r="AS28" i="51" s="1"/>
  <c r="H12" i="77"/>
  <c r="S12" i="77"/>
  <c r="J119" i="16"/>
  <c r="J105" i="16" s="1"/>
  <c r="T24" i="77"/>
  <c r="F43" i="75"/>
  <c r="F52" i="75" s="1"/>
  <c r="AT62" i="51"/>
  <c r="F120" i="75"/>
  <c r="F121" i="75" s="1"/>
  <c r="F57" i="75"/>
  <c r="F109" i="75"/>
  <c r="AU61" i="51"/>
  <c r="AU64" i="51" s="1"/>
  <c r="AU72" i="51" s="1"/>
  <c r="AS27" i="51"/>
  <c r="AZ139" i="51"/>
  <c r="AT65" i="51"/>
  <c r="AT74" i="51"/>
  <c r="AZ41" i="51"/>
  <c r="I29" i="16"/>
  <c r="AZ13" i="51"/>
  <c r="AZ140" i="51"/>
  <c r="J24" i="16"/>
  <c r="AS82" i="51"/>
  <c r="AQ29" i="51"/>
  <c r="J18" i="16"/>
  <c r="J125" i="16" s="1"/>
  <c r="AT27" i="51" l="1"/>
  <c r="AT76" i="51"/>
  <c r="AT28" i="51" s="1"/>
  <c r="F58" i="75"/>
  <c r="T20" i="77"/>
  <c r="T34" i="77" s="1"/>
  <c r="S35" i="77"/>
  <c r="H14" i="77" s="1"/>
  <c r="H13" i="77"/>
  <c r="I42" i="16"/>
  <c r="S21" i="77"/>
  <c r="H19" i="77" s="1"/>
  <c r="AU62" i="51"/>
  <c r="F125" i="75"/>
  <c r="F124" i="75"/>
  <c r="F123" i="75"/>
  <c r="J111" i="16"/>
  <c r="AT82" i="51"/>
  <c r="AR29" i="51"/>
  <c r="AV61" i="51"/>
  <c r="BA140" i="51"/>
  <c r="BA13" i="51"/>
  <c r="BA139" i="51"/>
  <c r="AU65" i="51"/>
  <c r="AU74" i="51"/>
  <c r="BA41" i="51"/>
  <c r="F49" i="75" l="1"/>
  <c r="F51" i="75" s="1"/>
  <c r="F60" i="75" s="1"/>
  <c r="AU27" i="51"/>
  <c r="AU76" i="51"/>
  <c r="AU28" i="51" s="1"/>
  <c r="F132" i="75"/>
  <c r="F128" i="75" s="1"/>
  <c r="F127" i="75"/>
  <c r="AW61" i="51"/>
  <c r="AW62" i="51" s="1"/>
  <c r="AS29" i="51"/>
  <c r="J10" i="16"/>
  <c r="BB13" i="51"/>
  <c r="J36" i="16"/>
  <c r="J121" i="16" s="1"/>
  <c r="J34" i="16"/>
  <c r="J91" i="16" s="1"/>
  <c r="BB139" i="51"/>
  <c r="AV64" i="51"/>
  <c r="AV72" i="51" s="1"/>
  <c r="AV62" i="51"/>
  <c r="J38" i="16"/>
  <c r="J123" i="16" s="1"/>
  <c r="J35" i="16"/>
  <c r="J92" i="16" s="1"/>
  <c r="BB140" i="51"/>
  <c r="J16" i="16"/>
  <c r="J120" i="16" s="1"/>
  <c r="AU82" i="51"/>
  <c r="AV27" i="51" l="1"/>
  <c r="J13" i="16"/>
  <c r="T16" i="77"/>
  <c r="AW64" i="51"/>
  <c r="AW72" i="51" s="1"/>
  <c r="AW74" i="51" s="1"/>
  <c r="AX61" i="51"/>
  <c r="AX64" i="51" s="1"/>
  <c r="AX72" i="51" s="1"/>
  <c r="J41" i="16"/>
  <c r="J139" i="16"/>
  <c r="J109" i="16"/>
  <c r="J14" i="16"/>
  <c r="AT29" i="51"/>
  <c r="BC41" i="51"/>
  <c r="J106" i="16"/>
  <c r="AV74" i="51"/>
  <c r="AV65" i="51"/>
  <c r="BC139" i="51"/>
  <c r="J107" i="16"/>
  <c r="BC140" i="51"/>
  <c r="J140" i="16"/>
  <c r="BB41" i="51"/>
  <c r="BC13" i="51"/>
  <c r="AV76" i="51" l="1"/>
  <c r="AW76" i="51"/>
  <c r="AW28" i="51" s="1"/>
  <c r="AW65" i="51"/>
  <c r="AX62" i="51"/>
  <c r="AY61" i="51"/>
  <c r="AY62" i="51" s="1"/>
  <c r="BD140" i="51"/>
  <c r="J118" i="16"/>
  <c r="AW82" i="51"/>
  <c r="BD13" i="51"/>
  <c r="AV82" i="51"/>
  <c r="AX74" i="51"/>
  <c r="AX65" i="51"/>
  <c r="BD139" i="51"/>
  <c r="BD41" i="51"/>
  <c r="AU29" i="51"/>
  <c r="AV28" i="51" l="1"/>
  <c r="AW27" i="51" s="1"/>
  <c r="AX27" i="51" s="1"/>
  <c r="AX76" i="51"/>
  <c r="AX28" i="51" s="1"/>
  <c r="AY64" i="51"/>
  <c r="AY72" i="51" s="1"/>
  <c r="AY74" i="51" s="1"/>
  <c r="AZ61" i="51"/>
  <c r="AZ62" i="51" s="1"/>
  <c r="K57" i="16"/>
  <c r="BE140" i="51"/>
  <c r="BE139" i="51"/>
  <c r="AX82" i="51"/>
  <c r="BE13" i="51"/>
  <c r="BE41" i="51"/>
  <c r="J127" i="16"/>
  <c r="T19" i="77" s="1"/>
  <c r="J104" i="16"/>
  <c r="J113" i="16" s="1"/>
  <c r="J84" i="16" s="1"/>
  <c r="AV29" i="51" l="1"/>
  <c r="AY76" i="51"/>
  <c r="AY28" i="51" s="1"/>
  <c r="AY65" i="51"/>
  <c r="H46" i="18"/>
  <c r="H47" i="18" s="1"/>
  <c r="G50" i="75"/>
  <c r="AZ64" i="51"/>
  <c r="BA61" i="51"/>
  <c r="BA64" i="51" s="1"/>
  <c r="BA72" i="51" s="1"/>
  <c r="BF13" i="51"/>
  <c r="BF139" i="51"/>
  <c r="AY27" i="51"/>
  <c r="AY82" i="51"/>
  <c r="AW29" i="51"/>
  <c r="BF140" i="51"/>
  <c r="AZ27" i="51" l="1"/>
  <c r="H45" i="18"/>
  <c r="G67" i="75"/>
  <c r="AZ65" i="51"/>
  <c r="AZ72" i="51"/>
  <c r="AZ74" i="51" s="1"/>
  <c r="BA62" i="51"/>
  <c r="BF41" i="51"/>
  <c r="AX29" i="51"/>
  <c r="BB61" i="51"/>
  <c r="J56" i="16"/>
  <c r="BG139" i="51"/>
  <c r="BG13" i="51"/>
  <c r="BA74" i="51"/>
  <c r="BA65" i="51"/>
  <c r="BG140" i="51"/>
  <c r="BG41" i="51"/>
  <c r="BA76" i="51" l="1"/>
  <c r="BA28" i="51" s="1"/>
  <c r="AZ76" i="51"/>
  <c r="G33" i="75"/>
  <c r="G34" i="75" s="1"/>
  <c r="J34" i="53"/>
  <c r="AZ82" i="51"/>
  <c r="J61" i="16"/>
  <c r="T9" i="77" s="1"/>
  <c r="BC61" i="51"/>
  <c r="AY29" i="51"/>
  <c r="BB64" i="51"/>
  <c r="BB72" i="51" s="1"/>
  <c r="BB62" i="51"/>
  <c r="BH140" i="51"/>
  <c r="BA82" i="51"/>
  <c r="BH13" i="51"/>
  <c r="BH139" i="51"/>
  <c r="BH41" i="51"/>
  <c r="AZ28" i="51" l="1"/>
  <c r="BA27" i="51" s="1"/>
  <c r="BB27" i="51" s="1"/>
  <c r="T32" i="77"/>
  <c r="T40" i="77"/>
  <c r="T33" i="77"/>
  <c r="M6" i="76"/>
  <c r="M8" i="76" s="1"/>
  <c r="M11" i="76" s="1"/>
  <c r="J8" i="73"/>
  <c r="J9" i="73" s="1"/>
  <c r="G35" i="75"/>
  <c r="G64" i="75"/>
  <c r="G116" i="75" s="1"/>
  <c r="G118" i="75" s="1"/>
  <c r="G37" i="75"/>
  <c r="G110" i="75"/>
  <c r="G95" i="75"/>
  <c r="G108" i="75"/>
  <c r="G96" i="75"/>
  <c r="G111" i="75"/>
  <c r="J62" i="16"/>
  <c r="H35" i="18"/>
  <c r="J64" i="16"/>
  <c r="BD61" i="51"/>
  <c r="BD64" i="51" s="1"/>
  <c r="BD72" i="51" s="1"/>
  <c r="BC64" i="51"/>
  <c r="BC72" i="51" s="1"/>
  <c r="BC62" i="51"/>
  <c r="BI139" i="51"/>
  <c r="BI140" i="51"/>
  <c r="BB74" i="51"/>
  <c r="BB65" i="51"/>
  <c r="BI13" i="51"/>
  <c r="AZ29" i="51" l="1"/>
  <c r="BB76" i="51"/>
  <c r="BB28" i="51" s="1"/>
  <c r="BC27" i="51" s="1"/>
  <c r="J72" i="16"/>
  <c r="J74" i="16" s="1"/>
  <c r="T10" i="77"/>
  <c r="G45" i="75"/>
  <c r="G38" i="75"/>
  <c r="G40" i="75"/>
  <c r="G42" i="75" s="1"/>
  <c r="J65" i="16"/>
  <c r="H36" i="18"/>
  <c r="H38" i="18"/>
  <c r="BD62" i="51"/>
  <c r="BE61" i="51"/>
  <c r="BE62" i="51" s="1"/>
  <c r="BI41" i="51"/>
  <c r="BC74" i="51"/>
  <c r="BC65" i="51"/>
  <c r="BJ139" i="51"/>
  <c r="BA29" i="51"/>
  <c r="BB82" i="51"/>
  <c r="BD74" i="51"/>
  <c r="BD65" i="51"/>
  <c r="BJ13" i="51"/>
  <c r="BJ41" i="51"/>
  <c r="BJ140" i="51"/>
  <c r="J82" i="16" l="1"/>
  <c r="J85" i="16" s="1"/>
  <c r="J76" i="16"/>
  <c r="J28" i="16" s="1"/>
  <c r="K27" i="16" s="1"/>
  <c r="BD76" i="51"/>
  <c r="BD28" i="51" s="1"/>
  <c r="BC76" i="51"/>
  <c r="T11" i="77"/>
  <c r="T12" i="77" s="1"/>
  <c r="T35" i="77" s="1"/>
  <c r="G41" i="75"/>
  <c r="G65" i="75"/>
  <c r="G68" i="75" s="1"/>
  <c r="G73" i="75" s="1"/>
  <c r="G53" i="75" s="1"/>
  <c r="H40" i="18"/>
  <c r="H42" i="18" s="1"/>
  <c r="H48" i="18" s="1"/>
  <c r="H53" i="18" s="1"/>
  <c r="H39" i="18"/>
  <c r="BE64" i="51"/>
  <c r="BE72" i="51" s="1"/>
  <c r="BE74" i="51" s="1"/>
  <c r="BF61" i="51"/>
  <c r="BK13" i="51"/>
  <c r="J25" i="16"/>
  <c r="BB29" i="51"/>
  <c r="BC82" i="51"/>
  <c r="BD82" i="51"/>
  <c r="BK139" i="51"/>
  <c r="BK140" i="51"/>
  <c r="BC28" i="51" l="1"/>
  <c r="BD27" i="51" s="1"/>
  <c r="BE27" i="51" s="1"/>
  <c r="BE76" i="51"/>
  <c r="BE28" i="51" s="1"/>
  <c r="G43" i="75"/>
  <c r="G52" i="75" s="1"/>
  <c r="G57" i="75"/>
  <c r="G120" i="75"/>
  <c r="G121" i="75" s="1"/>
  <c r="G109" i="75"/>
  <c r="BE65" i="51"/>
  <c r="BG61" i="51"/>
  <c r="BG64" i="51" s="1"/>
  <c r="BG72" i="51" s="1"/>
  <c r="BK41" i="51"/>
  <c r="BL140" i="51"/>
  <c r="BE82" i="51"/>
  <c r="K24" i="16"/>
  <c r="BL13" i="51"/>
  <c r="BL139" i="51"/>
  <c r="BF62" i="51"/>
  <c r="BF64" i="51"/>
  <c r="BF72" i="51" s="1"/>
  <c r="BC29" i="51"/>
  <c r="J29" i="16"/>
  <c r="U20" i="77" l="1"/>
  <c r="U34" i="77" s="1"/>
  <c r="J42" i="16"/>
  <c r="T21" i="77"/>
  <c r="G58" i="75"/>
  <c r="G123" i="75"/>
  <c r="G124" i="75"/>
  <c r="G125" i="75"/>
  <c r="BG62" i="51"/>
  <c r="BH61" i="51"/>
  <c r="BH64" i="51" s="1"/>
  <c r="BH72" i="51" s="1"/>
  <c r="BL41" i="51"/>
  <c r="BF27" i="51"/>
  <c r="BG74" i="51"/>
  <c r="BG65" i="51"/>
  <c r="BM139" i="51"/>
  <c r="BM140" i="51"/>
  <c r="BM13" i="51"/>
  <c r="BD29" i="51"/>
  <c r="BF74" i="51"/>
  <c r="BF65" i="51"/>
  <c r="G49" i="75" l="1"/>
  <c r="G51" i="75" s="1"/>
  <c r="G60" i="75" s="1"/>
  <c r="BG76" i="51"/>
  <c r="BG28" i="51" s="1"/>
  <c r="BF76" i="51"/>
  <c r="G127" i="75"/>
  <c r="G133" i="75"/>
  <c r="G128" i="75" s="1"/>
  <c r="BH62" i="51"/>
  <c r="BI61" i="51"/>
  <c r="BI62" i="51" s="1"/>
  <c r="BM41" i="51"/>
  <c r="BF82" i="51"/>
  <c r="BH65" i="51"/>
  <c r="BH74" i="51"/>
  <c r="BE29" i="51"/>
  <c r="K34" i="16"/>
  <c r="K91" i="16" s="1"/>
  <c r="BN139" i="51"/>
  <c r="BN41" i="51"/>
  <c r="K10" i="16"/>
  <c r="BN13" i="51"/>
  <c r="BG82" i="51"/>
  <c r="K35" i="16"/>
  <c r="K92" i="16" s="1"/>
  <c r="BN140" i="51"/>
  <c r="BF28" i="51" l="1"/>
  <c r="BG27" i="51" s="1"/>
  <c r="BH27" i="51" s="1"/>
  <c r="BH76" i="51"/>
  <c r="BH28" i="51" s="1"/>
  <c r="K13" i="16"/>
  <c r="U16" i="77"/>
  <c r="BI64" i="51"/>
  <c r="BI72" i="51" s="1"/>
  <c r="BI74" i="51" s="1"/>
  <c r="BJ61" i="51"/>
  <c r="BJ64" i="51" s="1"/>
  <c r="BJ72" i="51" s="1"/>
  <c r="K140" i="16"/>
  <c r="K139" i="16"/>
  <c r="K14" i="16"/>
  <c r="BH82" i="51"/>
  <c r="BF29" i="51" l="1"/>
  <c r="BI27" i="51"/>
  <c r="BI76" i="51"/>
  <c r="BI28" i="51" s="1"/>
  <c r="BI65" i="51"/>
  <c r="BJ62" i="51"/>
  <c r="BK61" i="51"/>
  <c r="BK62" i="51" s="1"/>
  <c r="BJ65" i="51"/>
  <c r="BJ74" i="51"/>
  <c r="BG29" i="51"/>
  <c r="BI82" i="51"/>
  <c r="K118" i="16"/>
  <c r="BJ27" i="51" l="1"/>
  <c r="BJ76" i="51"/>
  <c r="BJ28" i="51" s="1"/>
  <c r="BK64" i="51"/>
  <c r="BL61" i="51"/>
  <c r="BL62" i="51" s="1"/>
  <c r="K104" i="16"/>
  <c r="BH29" i="51"/>
  <c r="BJ82" i="51"/>
  <c r="BK27" i="51" l="1"/>
  <c r="BK65" i="51"/>
  <c r="BK72" i="51"/>
  <c r="BK74" i="51" s="1"/>
  <c r="BL64" i="51"/>
  <c r="BM61" i="51"/>
  <c r="BM62" i="51" s="1"/>
  <c r="A17" i="53"/>
  <c r="BI29" i="51"/>
  <c r="BK76" i="51" l="1"/>
  <c r="BM64" i="51"/>
  <c r="BM72" i="51" s="1"/>
  <c r="BM74" i="51" s="1"/>
  <c r="BL65" i="51"/>
  <c r="BL72" i="51"/>
  <c r="BL74" i="51" s="1"/>
  <c r="BK82" i="51"/>
  <c r="BJ29" i="51"/>
  <c r="BN61" i="51"/>
  <c r="K56" i="16"/>
  <c r="BK28" i="51" l="1"/>
  <c r="BL27" i="51" s="1"/>
  <c r="BL76" i="51"/>
  <c r="BM76" i="51"/>
  <c r="BM28" i="51" s="1"/>
  <c r="BM65" i="51"/>
  <c r="H33" i="75"/>
  <c r="H34" i="75" s="1"/>
  <c r="K34" i="53"/>
  <c r="A34" i="53" s="1"/>
  <c r="A1" i="53" s="1"/>
  <c r="BL82" i="51"/>
  <c r="K61" i="16"/>
  <c r="U9" i="77" s="1"/>
  <c r="BN62" i="51"/>
  <c r="BN64" i="51"/>
  <c r="BN72" i="51" s="1"/>
  <c r="BM82" i="51"/>
  <c r="BK29" i="51" l="1"/>
  <c r="BL28" i="51"/>
  <c r="BM27" i="51" s="1"/>
  <c r="BN27" i="51" s="1"/>
  <c r="U32" i="77"/>
  <c r="U40" i="77"/>
  <c r="U33" i="77"/>
  <c r="N6" i="76"/>
  <c r="N8" i="76" s="1"/>
  <c r="N11" i="76" s="1"/>
  <c r="K8" i="73"/>
  <c r="K9" i="73" s="1"/>
  <c r="H35" i="75"/>
  <c r="I35" i="75" s="1"/>
  <c r="H37" i="75"/>
  <c r="H64" i="75"/>
  <c r="H116" i="75" s="1"/>
  <c r="H118" i="75" s="1"/>
  <c r="H111" i="75"/>
  <c r="H110" i="75"/>
  <c r="H108" i="75"/>
  <c r="H95" i="75"/>
  <c r="H96" i="75"/>
  <c r="K62" i="16"/>
  <c r="I35" i="18"/>
  <c r="K64" i="16"/>
  <c r="U10" i="77" s="1"/>
  <c r="BN74" i="51"/>
  <c r="BN65" i="51"/>
  <c r="BL29" i="51" l="1"/>
  <c r="BN76" i="51"/>
  <c r="BN28" i="51" s="1"/>
  <c r="H45" i="75"/>
  <c r="A45" i="75" s="1"/>
  <c r="H38" i="75"/>
  <c r="H40" i="75"/>
  <c r="H42" i="75" s="1"/>
  <c r="I34" i="75"/>
  <c r="J35" i="75"/>
  <c r="N14" i="76"/>
  <c r="N15" i="76"/>
  <c r="N13" i="76"/>
  <c r="I36" i="18"/>
  <c r="J36" i="18" s="1"/>
  <c r="I38" i="18"/>
  <c r="K65" i="16"/>
  <c r="K72" i="16"/>
  <c r="K74" i="16" s="1"/>
  <c r="BN82" i="51"/>
  <c r="BM29" i="51"/>
  <c r="U11" i="77" l="1"/>
  <c r="U12" i="77" s="1"/>
  <c r="U35" i="77" s="1"/>
  <c r="K76" i="16"/>
  <c r="K28" i="16" s="1"/>
  <c r="J35" i="18"/>
  <c r="J38" i="18" s="1"/>
  <c r="I33" i="75"/>
  <c r="I64" i="75"/>
  <c r="I116" i="75" s="1"/>
  <c r="I118" i="75" s="1"/>
  <c r="I121" i="75" s="1"/>
  <c r="I37" i="75"/>
  <c r="I96" i="75"/>
  <c r="I111" i="75"/>
  <c r="I110" i="75"/>
  <c r="I108" i="75"/>
  <c r="I95" i="75"/>
  <c r="K35" i="75"/>
  <c r="K34" i="75" s="1"/>
  <c r="J34" i="75"/>
  <c r="H65" i="75"/>
  <c r="H41" i="75"/>
  <c r="N17" i="76"/>
  <c r="N24" i="76"/>
  <c r="N18" i="76" s="1"/>
  <c r="I40" i="18"/>
  <c r="I42" i="18" s="1"/>
  <c r="I39" i="18"/>
  <c r="A78" i="16"/>
  <c r="K82" i="16"/>
  <c r="K25" i="16"/>
  <c r="BN29" i="51"/>
  <c r="J39" i="18" l="1"/>
  <c r="J42" i="18"/>
  <c r="J48" i="18" s="1"/>
  <c r="J49" i="18" s="1"/>
  <c r="J62" i="18" s="1"/>
  <c r="J40" i="18"/>
  <c r="H43" i="75"/>
  <c r="H52" i="75" s="1"/>
  <c r="I38" i="75"/>
  <c r="I40" i="75"/>
  <c r="I42" i="75" s="1"/>
  <c r="J33" i="75"/>
  <c r="J64" i="75"/>
  <c r="J116" i="75" s="1"/>
  <c r="J118" i="75" s="1"/>
  <c r="J121" i="75" s="1"/>
  <c r="J37" i="75"/>
  <c r="J110" i="75"/>
  <c r="J111" i="75"/>
  <c r="J96" i="75"/>
  <c r="J95" i="75"/>
  <c r="J108" i="75"/>
  <c r="I124" i="75"/>
  <c r="I125" i="75"/>
  <c r="I123" i="75"/>
  <c r="I135" i="75" s="1"/>
  <c r="I128" i="75" s="1"/>
  <c r="K37" i="75"/>
  <c r="K64" i="75"/>
  <c r="K116" i="75" s="1"/>
  <c r="K118" i="75" s="1"/>
  <c r="K121" i="75" s="1"/>
  <c r="K33" i="75"/>
  <c r="K96" i="75"/>
  <c r="K110" i="75"/>
  <c r="K111" i="75"/>
  <c r="K108" i="75"/>
  <c r="K95" i="75"/>
  <c r="K29" i="16"/>
  <c r="U21" i="77" s="1"/>
  <c r="J61" i="18" l="1"/>
  <c r="J60" i="18"/>
  <c r="J53" i="18"/>
  <c r="J38" i="75"/>
  <c r="J40" i="75"/>
  <c r="J42" i="75" s="1"/>
  <c r="J125" i="75"/>
  <c r="J124" i="75"/>
  <c r="J123" i="75"/>
  <c r="K38" i="75"/>
  <c r="K40" i="75"/>
  <c r="K42" i="75" s="1"/>
  <c r="I65" i="75"/>
  <c r="I68" i="75" s="1"/>
  <c r="I73" i="75" s="1"/>
  <c r="I41" i="75"/>
  <c r="I43" i="75"/>
  <c r="I52" i="75" s="1"/>
  <c r="I58" i="75" s="1"/>
  <c r="I127" i="75"/>
  <c r="K125" i="75"/>
  <c r="K123" i="75"/>
  <c r="K124" i="75"/>
  <c r="BL42" i="51"/>
  <c r="AW90" i="51"/>
  <c r="AW93" i="51" s="1"/>
  <c r="AJ42" i="51"/>
  <c r="AC90" i="51"/>
  <c r="AC93" i="51" s="1"/>
  <c r="W90" i="51"/>
  <c r="W93" i="51" s="1"/>
  <c r="P42" i="51"/>
  <c r="BI42" i="51"/>
  <c r="BG42" i="51"/>
  <c r="G42" i="51"/>
  <c r="BM42" i="51"/>
  <c r="BM90" i="51"/>
  <c r="BM93" i="51" s="1"/>
  <c r="BK90" i="51"/>
  <c r="BK93" i="51" s="1"/>
  <c r="BI90" i="51"/>
  <c r="BI93" i="51" s="1"/>
  <c r="BF90" i="51"/>
  <c r="BF93" i="51" s="1"/>
  <c r="BD42" i="51"/>
  <c r="AA90" i="51"/>
  <c r="AA93" i="51" s="1"/>
  <c r="BJ137" i="51"/>
  <c r="BB90" i="51"/>
  <c r="BB93" i="51" s="1"/>
  <c r="BH42" i="51"/>
  <c r="BF42" i="51"/>
  <c r="BC42" i="51"/>
  <c r="AZ90" i="51"/>
  <c r="AZ93" i="51" s="1"/>
  <c r="X42" i="51"/>
  <c r="U90" i="51"/>
  <c r="U93" i="51" s="1"/>
  <c r="P90" i="51"/>
  <c r="P93" i="51" s="1"/>
  <c r="K90" i="51"/>
  <c r="K93" i="51" s="1"/>
  <c r="BJ42" i="51"/>
  <c r="AV42" i="51"/>
  <c r="AF90" i="51"/>
  <c r="AF93" i="51" s="1"/>
  <c r="Y90" i="51"/>
  <c r="Y93" i="51" s="1"/>
  <c r="G93" i="16"/>
  <c r="G94" i="16" s="1"/>
  <c r="G97" i="16" s="1"/>
  <c r="G98" i="16" s="1"/>
  <c r="M42" i="51"/>
  <c r="BN42" i="51"/>
  <c r="BK42" i="51"/>
  <c r="BI137" i="51"/>
  <c r="BE42" i="51"/>
  <c r="BN90" i="51"/>
  <c r="BN93" i="51" s="1"/>
  <c r="BL90" i="51"/>
  <c r="BL93" i="51" s="1"/>
  <c r="BJ90" i="51"/>
  <c r="BJ93" i="51" s="1"/>
  <c r="BH90" i="51"/>
  <c r="BH93" i="51" s="1"/>
  <c r="BG90" i="51"/>
  <c r="BG93" i="51" s="1"/>
  <c r="AX90" i="51"/>
  <c r="AX93" i="51" s="1"/>
  <c r="AY42" i="51"/>
  <c r="AX42" i="51"/>
  <c r="AO42" i="51"/>
  <c r="AM42" i="51"/>
  <c r="AL42" i="51"/>
  <c r="AL90" i="51"/>
  <c r="AL93" i="51" s="1"/>
  <c r="H94" i="16"/>
  <c r="H97" i="16" s="1"/>
  <c r="Y42" i="51"/>
  <c r="T42" i="51"/>
  <c r="R90" i="51"/>
  <c r="R93" i="51" s="1"/>
  <c r="L42" i="51"/>
  <c r="L90" i="51"/>
  <c r="L93" i="51" s="1"/>
  <c r="BN137" i="51"/>
  <c r="BE90" i="51"/>
  <c r="BE93" i="51" s="1"/>
  <c r="AR90" i="51"/>
  <c r="AR93" i="51" s="1"/>
  <c r="AP90" i="51"/>
  <c r="AP93" i="51" s="1"/>
  <c r="AN90" i="51"/>
  <c r="AN93" i="51" s="1"/>
  <c r="AJ90" i="51"/>
  <c r="AJ93" i="51" s="1"/>
  <c r="AH90" i="51"/>
  <c r="AH93" i="51" s="1"/>
  <c r="AE42" i="51"/>
  <c r="V42" i="51"/>
  <c r="R42" i="51"/>
  <c r="N90" i="51"/>
  <c r="N93" i="51" s="1"/>
  <c r="M137" i="51"/>
  <c r="BF137" i="51"/>
  <c r="AM137" i="51"/>
  <c r="BA42" i="51"/>
  <c r="AU42" i="51"/>
  <c r="AQ42" i="51"/>
  <c r="AG42" i="51"/>
  <c r="AA42" i="51"/>
  <c r="Z42" i="51"/>
  <c r="Y137" i="51"/>
  <c r="U42" i="51"/>
  <c r="W137" i="51"/>
  <c r="V90" i="51"/>
  <c r="V93" i="51" s="1"/>
  <c r="P137" i="51"/>
  <c r="AO137" i="51"/>
  <c r="BB42" i="51"/>
  <c r="BD90" i="51"/>
  <c r="BD93" i="51" s="1"/>
  <c r="AZ42" i="51"/>
  <c r="BA90" i="51"/>
  <c r="BA93" i="51" s="1"/>
  <c r="AW42" i="51"/>
  <c r="AY90" i="51"/>
  <c r="AY93" i="51" s="1"/>
  <c r="AV90" i="51"/>
  <c r="AV93" i="51" s="1"/>
  <c r="AT42" i="51"/>
  <c r="AU90" i="51"/>
  <c r="AU93" i="51" s="1"/>
  <c r="AR42" i="51"/>
  <c r="AS90" i="51"/>
  <c r="AS93" i="51" s="1"/>
  <c r="AG137" i="51"/>
  <c r="AE90" i="51"/>
  <c r="AE93" i="51" s="1"/>
  <c r="AC42" i="51"/>
  <c r="AB42" i="51"/>
  <c r="AA137" i="51"/>
  <c r="AB90" i="51"/>
  <c r="AB93" i="51" s="1"/>
  <c r="Z90" i="51"/>
  <c r="Z93" i="51" s="1"/>
  <c r="X90" i="51"/>
  <c r="X93" i="51" s="1"/>
  <c r="U137" i="51"/>
  <c r="T90" i="51"/>
  <c r="T93" i="51" s="1"/>
  <c r="R137" i="51"/>
  <c r="O42" i="51"/>
  <c r="N42" i="51"/>
  <c r="L137" i="51"/>
  <c r="I42" i="51"/>
  <c r="J42" i="51"/>
  <c r="AQ137" i="51"/>
  <c r="BC137" i="51"/>
  <c r="AW137" i="51"/>
  <c r="AP42" i="51"/>
  <c r="AI42" i="51"/>
  <c r="AH42" i="51"/>
  <c r="AJ137" i="51"/>
  <c r="AI90" i="51"/>
  <c r="AI93" i="51" s="1"/>
  <c r="AF42" i="51"/>
  <c r="AC137" i="51"/>
  <c r="AD90" i="51"/>
  <c r="AD93" i="51" s="1"/>
  <c r="Q42" i="51"/>
  <c r="Q90" i="51"/>
  <c r="Q93" i="51" s="1"/>
  <c r="N137" i="51"/>
  <c r="M90" i="51"/>
  <c r="M93" i="51" s="1"/>
  <c r="J137" i="51"/>
  <c r="AX137" i="51"/>
  <c r="AR137" i="51"/>
  <c r="AK137" i="51"/>
  <c r="AL137" i="51"/>
  <c r="BG137" i="51"/>
  <c r="BK137" i="51"/>
  <c r="BE137" i="51"/>
  <c r="AP137" i="51"/>
  <c r="AQ90" i="51"/>
  <c r="AQ93" i="51" s="1"/>
  <c r="AN42" i="51"/>
  <c r="AO90" i="51"/>
  <c r="AO93" i="51" s="1"/>
  <c r="AM90" i="51"/>
  <c r="AM93" i="51" s="1"/>
  <c r="AK90" i="51"/>
  <c r="AK93" i="51" s="1"/>
  <c r="AH137" i="51"/>
  <c r="AF137" i="51"/>
  <c r="AG90" i="51"/>
  <c r="AG93" i="51" s="1"/>
  <c r="AD42" i="51"/>
  <c r="V137" i="51"/>
  <c r="S90" i="51"/>
  <c r="S93" i="51" s="1"/>
  <c r="Q137" i="51"/>
  <c r="O90" i="51"/>
  <c r="O93" i="51" s="1"/>
  <c r="I90" i="51"/>
  <c r="I93" i="51" s="1"/>
  <c r="S137" i="51"/>
  <c r="AZ137" i="51"/>
  <c r="AT137" i="51"/>
  <c r="BL137" i="51"/>
  <c r="BM137" i="51"/>
  <c r="BC90" i="51"/>
  <c r="BC93" i="51" s="1"/>
  <c r="BD137" i="51"/>
  <c r="AY137" i="51"/>
  <c r="AV137" i="51"/>
  <c r="AS42" i="51"/>
  <c r="AU137" i="51"/>
  <c r="AT90" i="51"/>
  <c r="AT93" i="51" s="1"/>
  <c r="AS137" i="51"/>
  <c r="AN137" i="51"/>
  <c r="AK42" i="51"/>
  <c r="AD137" i="51"/>
  <c r="AE137" i="51"/>
  <c r="AB137" i="51"/>
  <c r="Z137" i="51"/>
  <c r="W42" i="51"/>
  <c r="X137" i="51"/>
  <c r="S42" i="51"/>
  <c r="T137" i="51"/>
  <c r="J90" i="51"/>
  <c r="J93" i="51" s="1"/>
  <c r="K137" i="51"/>
  <c r="H42" i="51"/>
  <c r="H90" i="51"/>
  <c r="H93" i="51" s="1"/>
  <c r="AI137" i="51"/>
  <c r="BH137" i="51"/>
  <c r="BA137" i="51"/>
  <c r="BB137" i="51"/>
  <c r="O137" i="51"/>
  <c r="H137" i="51"/>
  <c r="I137" i="51"/>
  <c r="G90" i="51"/>
  <c r="G93" i="51" s="1"/>
  <c r="G137" i="51"/>
  <c r="K137" i="75" l="1"/>
  <c r="K128" i="75" s="1"/>
  <c r="K127" i="75"/>
  <c r="J136" i="75"/>
  <c r="J128" i="75" s="1"/>
  <c r="J127" i="75"/>
  <c r="K65" i="75"/>
  <c r="K68" i="75" s="1"/>
  <c r="K73" i="75" s="1"/>
  <c r="K41" i="75"/>
  <c r="K43" i="75"/>
  <c r="J65" i="75"/>
  <c r="J68" i="75" s="1"/>
  <c r="J73" i="75" s="1"/>
  <c r="J41" i="75"/>
  <c r="J43" i="75"/>
  <c r="J52" i="75" s="1"/>
  <c r="J58" i="75" s="1"/>
  <c r="H96" i="16"/>
  <c r="H98" i="16" s="1"/>
  <c r="G17" i="16"/>
  <c r="Q23" i="77" s="1"/>
  <c r="F18" i="77" s="1"/>
  <c r="I93" i="16"/>
  <c r="I94" i="16" s="1"/>
  <c r="I97" i="16" s="1"/>
  <c r="K93" i="16"/>
  <c r="J93" i="16"/>
  <c r="J94" i="16" s="1"/>
  <c r="J97" i="16" s="1"/>
  <c r="K52" i="75" l="1"/>
  <c r="K58" i="75" s="1"/>
  <c r="I96" i="16"/>
  <c r="I98" i="16" s="1"/>
  <c r="H17" i="16"/>
  <c r="R23" i="77" s="1"/>
  <c r="G18" i="77" s="1"/>
  <c r="A100" i="51"/>
  <c r="K16" i="16"/>
  <c r="K120" i="16" s="1"/>
  <c r="K106" i="16" s="1"/>
  <c r="K38" i="16"/>
  <c r="K123" i="16" s="1"/>
  <c r="K109" i="16" s="1"/>
  <c r="K18" i="16"/>
  <c r="K125" i="16" s="1"/>
  <c r="K111" i="16" s="1"/>
  <c r="K15" i="16"/>
  <c r="K36" i="16"/>
  <c r="K121" i="16" s="1"/>
  <c r="K107" i="16" s="1"/>
  <c r="K39" i="16"/>
  <c r="K124" i="16" s="1"/>
  <c r="K110" i="16" s="1"/>
  <c r="K40" i="16"/>
  <c r="AY104" i="51"/>
  <c r="K104" i="51"/>
  <c r="AN104" i="51"/>
  <c r="BF104" i="51"/>
  <c r="BD104" i="51"/>
  <c r="AF104" i="51"/>
  <c r="BI104" i="51"/>
  <c r="AB104" i="51"/>
  <c r="V104" i="51"/>
  <c r="AL104" i="51"/>
  <c r="N104" i="51"/>
  <c r="Y104" i="51"/>
  <c r="L104" i="51"/>
  <c r="AW104" i="51"/>
  <c r="R104" i="51"/>
  <c r="BE104" i="51"/>
  <c r="AH104" i="51"/>
  <c r="S104" i="51"/>
  <c r="AD104" i="51"/>
  <c r="I104" i="51"/>
  <c r="Q104" i="51"/>
  <c r="AV104" i="51"/>
  <c r="BM104" i="51"/>
  <c r="AA104" i="51"/>
  <c r="BJ104" i="51"/>
  <c r="AM104" i="51"/>
  <c r="AR104" i="51"/>
  <c r="AK104" i="51"/>
  <c r="AQ104" i="51"/>
  <c r="T104" i="51"/>
  <c r="AG104" i="51"/>
  <c r="M104" i="51"/>
  <c r="AX104" i="51"/>
  <c r="BH104" i="51"/>
  <c r="P104" i="51"/>
  <c r="AP104" i="51"/>
  <c r="X104" i="51"/>
  <c r="O104" i="51"/>
  <c r="BK104" i="51"/>
  <c r="BC104" i="51"/>
  <c r="AC104" i="51"/>
  <c r="AT104" i="51"/>
  <c r="W104" i="51"/>
  <c r="AJ104" i="51"/>
  <c r="BG104" i="51"/>
  <c r="U104" i="51"/>
  <c r="AS104" i="51"/>
  <c r="AI104" i="51"/>
  <c r="BN104" i="51"/>
  <c r="J104" i="51"/>
  <c r="AE104" i="51"/>
  <c r="AU104" i="51"/>
  <c r="BA104" i="51"/>
  <c r="AZ104" i="51"/>
  <c r="BB104" i="51"/>
  <c r="H104" i="51"/>
  <c r="Z104" i="51"/>
  <c r="AO104" i="51"/>
  <c r="BL104" i="51"/>
  <c r="AA105" i="51"/>
  <c r="AE106" i="51"/>
  <c r="AI107" i="51"/>
  <c r="AM109" i="51"/>
  <c r="AQ110" i="51"/>
  <c r="AU109" i="51"/>
  <c r="AQ105" i="51"/>
  <c r="AU106" i="51"/>
  <c r="BG110" i="51"/>
  <c r="AY105" i="51"/>
  <c r="BC106" i="51"/>
  <c r="BG107" i="51"/>
  <c r="BK109" i="51"/>
  <c r="AQ107" i="51"/>
  <c r="BC109" i="51"/>
  <c r="BG105" i="51"/>
  <c r="BK106" i="51"/>
  <c r="K110" i="51"/>
  <c r="O111" i="51"/>
  <c r="AY110" i="51"/>
  <c r="AY107" i="51"/>
  <c r="K107" i="51"/>
  <c r="O109" i="51"/>
  <c r="S110" i="51"/>
  <c r="W111" i="51"/>
  <c r="AI105" i="51"/>
  <c r="K105" i="51"/>
  <c r="O106" i="51"/>
  <c r="S107" i="51"/>
  <c r="W109" i="51"/>
  <c r="AA110" i="51"/>
  <c r="AE111" i="51"/>
  <c r="AM106" i="51"/>
  <c r="S105" i="51"/>
  <c r="W106" i="51"/>
  <c r="AA107" i="51"/>
  <c r="AE109" i="51"/>
  <c r="AI110" i="51"/>
  <c r="AM111" i="51"/>
  <c r="AU111" i="51"/>
  <c r="BC111" i="51"/>
  <c r="BK111" i="51"/>
  <c r="K112" i="51"/>
  <c r="S112" i="51"/>
  <c r="AA112" i="51"/>
  <c r="AI112" i="51"/>
  <c r="AQ112" i="51"/>
  <c r="AY112" i="51"/>
  <c r="BG112" i="51"/>
  <c r="L105" i="51"/>
  <c r="T105" i="51"/>
  <c r="AB105" i="51"/>
  <c r="AJ105" i="51"/>
  <c r="AR105" i="51"/>
  <c r="AZ105" i="51"/>
  <c r="BH105" i="51"/>
  <c r="H106" i="51"/>
  <c r="P106" i="51"/>
  <c r="X106" i="51"/>
  <c r="AF106" i="51"/>
  <c r="AN106" i="51"/>
  <c r="AV106" i="51"/>
  <c r="BD106" i="51"/>
  <c r="BL106" i="51"/>
  <c r="L107" i="51"/>
  <c r="T107" i="51"/>
  <c r="AB107" i="51"/>
  <c r="AJ107" i="51"/>
  <c r="AR107" i="51"/>
  <c r="AZ107" i="51"/>
  <c r="BH107" i="51"/>
  <c r="H109" i="51"/>
  <c r="P109" i="51"/>
  <c r="X109" i="51"/>
  <c r="AF109" i="51"/>
  <c r="AN109" i="51"/>
  <c r="AV109" i="51"/>
  <c r="BD109" i="51"/>
  <c r="BL109" i="51"/>
  <c r="L110" i="51"/>
  <c r="T110" i="51"/>
  <c r="AB110" i="51"/>
  <c r="AJ110" i="51"/>
  <c r="AR110" i="51"/>
  <c r="AZ110" i="51"/>
  <c r="BH110" i="51"/>
  <c r="H111" i="51"/>
  <c r="P111" i="51"/>
  <c r="X111" i="51"/>
  <c r="AF111" i="51"/>
  <c r="AN111" i="51"/>
  <c r="AV111" i="51"/>
  <c r="BD111" i="51"/>
  <c r="BL111" i="51"/>
  <c r="L112" i="51"/>
  <c r="T112" i="51"/>
  <c r="AB112" i="51"/>
  <c r="AJ112" i="51"/>
  <c r="AR112" i="51"/>
  <c r="AZ112" i="51"/>
  <c r="BH112" i="51"/>
  <c r="M105" i="51"/>
  <c r="U105" i="51"/>
  <c r="AC105" i="51"/>
  <c r="AK105" i="51"/>
  <c r="AS105" i="51"/>
  <c r="BA105" i="51"/>
  <c r="BI105" i="51"/>
  <c r="I106" i="51"/>
  <c r="Q106" i="51"/>
  <c r="Y106" i="51"/>
  <c r="AG106" i="51"/>
  <c r="AO106" i="51"/>
  <c r="AW106" i="51"/>
  <c r="BE106" i="51"/>
  <c r="BM106" i="51"/>
  <c r="M107" i="51"/>
  <c r="U107" i="51"/>
  <c r="AC107" i="51"/>
  <c r="AK107" i="51"/>
  <c r="AS107" i="51"/>
  <c r="BA107" i="51"/>
  <c r="BI107" i="51"/>
  <c r="I109" i="51"/>
  <c r="Q109" i="51"/>
  <c r="Y109" i="51"/>
  <c r="AG109" i="51"/>
  <c r="AO109" i="51"/>
  <c r="AW109" i="51"/>
  <c r="BE109" i="51"/>
  <c r="BM109" i="51"/>
  <c r="M110" i="51"/>
  <c r="U110" i="51"/>
  <c r="AC110" i="51"/>
  <c r="AK110" i="51"/>
  <c r="AS110" i="51"/>
  <c r="BA110" i="51"/>
  <c r="BI110" i="51"/>
  <c r="I111" i="51"/>
  <c r="Q111" i="51"/>
  <c r="Y111" i="51"/>
  <c r="AG111" i="51"/>
  <c r="AO111" i="51"/>
  <c r="AW111" i="51"/>
  <c r="BE111" i="51"/>
  <c r="BM111" i="51"/>
  <c r="M112" i="51"/>
  <c r="U112" i="51"/>
  <c r="AC112" i="51"/>
  <c r="AK112" i="51"/>
  <c r="AS112" i="51"/>
  <c r="BA112" i="51"/>
  <c r="BI112" i="51"/>
  <c r="N105" i="51"/>
  <c r="V105" i="51"/>
  <c r="AD105" i="51"/>
  <c r="AL105" i="51"/>
  <c r="AT105" i="51"/>
  <c r="BB105" i="51"/>
  <c r="BJ105" i="51"/>
  <c r="J106" i="51"/>
  <c r="R106" i="51"/>
  <c r="Z106" i="51"/>
  <c r="AH106" i="51"/>
  <c r="AP106" i="51"/>
  <c r="AX106" i="51"/>
  <c r="BF106" i="51"/>
  <c r="BN106" i="51"/>
  <c r="N107" i="51"/>
  <c r="V107" i="51"/>
  <c r="AD107" i="51"/>
  <c r="AL107" i="51"/>
  <c r="AT107" i="51"/>
  <c r="BB107" i="51"/>
  <c r="BJ107" i="51"/>
  <c r="J109" i="51"/>
  <c r="R109" i="51"/>
  <c r="Z109" i="51"/>
  <c r="AH109" i="51"/>
  <c r="AP109" i="51"/>
  <c r="AX109" i="51"/>
  <c r="BF109" i="51"/>
  <c r="BN109" i="51"/>
  <c r="N110" i="51"/>
  <c r="V110" i="51"/>
  <c r="AD110" i="51"/>
  <c r="AL110" i="51"/>
  <c r="AT110" i="51"/>
  <c r="BB110" i="51"/>
  <c r="BJ110" i="51"/>
  <c r="J111" i="51"/>
  <c r="R111" i="51"/>
  <c r="Z111" i="51"/>
  <c r="AH111" i="51"/>
  <c r="AP111" i="51"/>
  <c r="AX111" i="51"/>
  <c r="BF111" i="51"/>
  <c r="BN111" i="51"/>
  <c r="N112" i="51"/>
  <c r="V112" i="51"/>
  <c r="AD112" i="51"/>
  <c r="AL112" i="51"/>
  <c r="AT112" i="51"/>
  <c r="BB112" i="51"/>
  <c r="BJ112" i="51"/>
  <c r="O105" i="51"/>
  <c r="W105" i="51"/>
  <c r="AE105" i="51"/>
  <c r="AM105" i="51"/>
  <c r="AU105" i="51"/>
  <c r="BC105" i="51"/>
  <c r="BK105" i="51"/>
  <c r="K106" i="51"/>
  <c r="S106" i="51"/>
  <c r="AA106" i="51"/>
  <c r="AI106" i="51"/>
  <c r="AQ106" i="51"/>
  <c r="AY106" i="51"/>
  <c r="BG106" i="51"/>
  <c r="O107" i="51"/>
  <c r="W107" i="51"/>
  <c r="AE107" i="51"/>
  <c r="AM107" i="51"/>
  <c r="AU107" i="51"/>
  <c r="BC107" i="51"/>
  <c r="BK107" i="51"/>
  <c r="K109" i="51"/>
  <c r="S109" i="51"/>
  <c r="AA109" i="51"/>
  <c r="AI109" i="51"/>
  <c r="AQ109" i="51"/>
  <c r="AY109" i="51"/>
  <c r="BG109" i="51"/>
  <c r="O110" i="51"/>
  <c r="W110" i="51"/>
  <c r="AE110" i="51"/>
  <c r="AM110" i="51"/>
  <c r="AU110" i="51"/>
  <c r="BC110" i="51"/>
  <c r="BK110" i="51"/>
  <c r="K111" i="51"/>
  <c r="S111" i="51"/>
  <c r="AA111" i="51"/>
  <c r="AI111" i="51"/>
  <c r="AQ111" i="51"/>
  <c r="AY111" i="51"/>
  <c r="BG111" i="51"/>
  <c r="O112" i="51"/>
  <c r="W112" i="51"/>
  <c r="AE112" i="51"/>
  <c r="AM112" i="51"/>
  <c r="AU112" i="51"/>
  <c r="BC112" i="51"/>
  <c r="BK112" i="51"/>
  <c r="H105" i="51"/>
  <c r="P105" i="51"/>
  <c r="X105" i="51"/>
  <c r="AF105" i="51"/>
  <c r="AN105" i="51"/>
  <c r="AV105" i="51"/>
  <c r="BD105" i="51"/>
  <c r="BL105" i="51"/>
  <c r="L106" i="51"/>
  <c r="T106" i="51"/>
  <c r="AB106" i="51"/>
  <c r="AJ106" i="51"/>
  <c r="AR106" i="51"/>
  <c r="AZ106" i="51"/>
  <c r="BH106" i="51"/>
  <c r="H107" i="51"/>
  <c r="P107" i="51"/>
  <c r="X107" i="51"/>
  <c r="AF107" i="51"/>
  <c r="AN107" i="51"/>
  <c r="AV107" i="51"/>
  <c r="BD107" i="51"/>
  <c r="BL107" i="51"/>
  <c r="L109" i="51"/>
  <c r="T109" i="51"/>
  <c r="AB109" i="51"/>
  <c r="AJ109" i="51"/>
  <c r="AR109" i="51"/>
  <c r="AZ109" i="51"/>
  <c r="BH109" i="51"/>
  <c r="H110" i="51"/>
  <c r="P110" i="51"/>
  <c r="X110" i="51"/>
  <c r="AF110" i="51"/>
  <c r="AN110" i="51"/>
  <c r="AV110" i="51"/>
  <c r="BD110" i="51"/>
  <c r="BL110" i="51"/>
  <c r="L111" i="51"/>
  <c r="T111" i="51"/>
  <c r="AB111" i="51"/>
  <c r="AJ111" i="51"/>
  <c r="AR111" i="51"/>
  <c r="AZ111" i="51"/>
  <c r="BH111" i="51"/>
  <c r="H112" i="51"/>
  <c r="P112" i="51"/>
  <c r="X112" i="51"/>
  <c r="AF112" i="51"/>
  <c r="AN112" i="51"/>
  <c r="AV112" i="51"/>
  <c r="BD112" i="51"/>
  <c r="BL112" i="51"/>
  <c r="I105" i="51"/>
  <c r="Q105" i="51"/>
  <c r="Y105" i="51"/>
  <c r="AG105" i="51"/>
  <c r="AO105" i="51"/>
  <c r="AW105" i="51"/>
  <c r="BE105" i="51"/>
  <c r="BM105" i="51"/>
  <c r="M106" i="51"/>
  <c r="U106" i="51"/>
  <c r="AC106" i="51"/>
  <c r="AK106" i="51"/>
  <c r="AS106" i="51"/>
  <c r="BA106" i="51"/>
  <c r="BI106" i="51"/>
  <c r="I107" i="51"/>
  <c r="Q107" i="51"/>
  <c r="Y107" i="51"/>
  <c r="AG107" i="51"/>
  <c r="AO107" i="51"/>
  <c r="AW107" i="51"/>
  <c r="BE107" i="51"/>
  <c r="BM107" i="51"/>
  <c r="M109" i="51"/>
  <c r="U109" i="51"/>
  <c r="AC109" i="51"/>
  <c r="AK109" i="51"/>
  <c r="AS109" i="51"/>
  <c r="BA109" i="51"/>
  <c r="BI109" i="51"/>
  <c r="I110" i="51"/>
  <c r="Q110" i="51"/>
  <c r="Y110" i="51"/>
  <c r="AG110" i="51"/>
  <c r="AO110" i="51"/>
  <c r="AW110" i="51"/>
  <c r="BE110" i="51"/>
  <c r="BM110" i="51"/>
  <c r="M111" i="51"/>
  <c r="U111" i="51"/>
  <c r="AC111" i="51"/>
  <c r="AK111" i="51"/>
  <c r="AS111" i="51"/>
  <c r="BA111" i="51"/>
  <c r="BI111" i="51"/>
  <c r="I112" i="51"/>
  <c r="Q112" i="51"/>
  <c r="Y112" i="51"/>
  <c r="AG112" i="51"/>
  <c r="AO112" i="51"/>
  <c r="AW112" i="51"/>
  <c r="BE112" i="51"/>
  <c r="BM112" i="51"/>
  <c r="G104" i="51"/>
  <c r="J105" i="51"/>
  <c r="R105" i="51"/>
  <c r="Z105" i="51"/>
  <c r="AH105" i="51"/>
  <c r="AP105" i="51"/>
  <c r="AX105" i="51"/>
  <c r="BF105" i="51"/>
  <c r="G105" i="51"/>
  <c r="BN105" i="51"/>
  <c r="N106" i="51"/>
  <c r="V106" i="51"/>
  <c r="AD106" i="51"/>
  <c r="AL106" i="51"/>
  <c r="AT106" i="51"/>
  <c r="BB106" i="51"/>
  <c r="G106" i="51"/>
  <c r="BJ106" i="51"/>
  <c r="J107" i="51"/>
  <c r="R107" i="51"/>
  <c r="Z107" i="51"/>
  <c r="AH107" i="51"/>
  <c r="AP107" i="51"/>
  <c r="AX107" i="51"/>
  <c r="BF107" i="51"/>
  <c r="G107" i="51"/>
  <c r="BN107" i="51"/>
  <c r="N109" i="51"/>
  <c r="V109" i="51"/>
  <c r="AD109" i="51"/>
  <c r="AL109" i="51"/>
  <c r="AT109" i="51"/>
  <c r="BB109" i="51"/>
  <c r="G109" i="51"/>
  <c r="BJ109" i="51"/>
  <c r="J110" i="51"/>
  <c r="R110" i="51"/>
  <c r="Z110" i="51"/>
  <c r="AH110" i="51"/>
  <c r="AP110" i="51"/>
  <c r="AX110" i="51"/>
  <c r="BF110" i="51"/>
  <c r="G110" i="51"/>
  <c r="BN110" i="51"/>
  <c r="N111" i="51"/>
  <c r="V111" i="51"/>
  <c r="AD111" i="51"/>
  <c r="AL111" i="51"/>
  <c r="AT111" i="51"/>
  <c r="BB111" i="51"/>
  <c r="G111" i="51"/>
  <c r="BJ111" i="51"/>
  <c r="J112" i="51"/>
  <c r="R112" i="51"/>
  <c r="Z112" i="51"/>
  <c r="AH112" i="51"/>
  <c r="AP112" i="51"/>
  <c r="AX112" i="51"/>
  <c r="BF112" i="51"/>
  <c r="G112" i="51"/>
  <c r="BN112" i="51"/>
  <c r="K119" i="16" l="1"/>
  <c r="K105" i="16" s="1"/>
  <c r="U24" i="77"/>
  <c r="K126" i="16"/>
  <c r="K112" i="16" s="1"/>
  <c r="J96" i="16"/>
  <c r="J98" i="16" s="1"/>
  <c r="I17" i="16"/>
  <c r="S23" i="77" s="1"/>
  <c r="H18" i="77" s="1"/>
  <c r="AR113" i="51"/>
  <c r="AR84" i="51" s="1"/>
  <c r="AR85" i="51" s="1"/>
  <c r="AR94" i="51" s="1"/>
  <c r="AR97" i="51" s="1"/>
  <c r="BE113" i="51"/>
  <c r="BE84" i="51" s="1"/>
  <c r="BE85" i="51" s="1"/>
  <c r="BE94" i="51" s="1"/>
  <c r="BE97" i="51" s="1"/>
  <c r="BK113" i="51"/>
  <c r="BK84" i="51" s="1"/>
  <c r="BK85" i="51" s="1"/>
  <c r="BK94" i="51" s="1"/>
  <c r="BK97" i="51" s="1"/>
  <c r="AE113" i="51"/>
  <c r="AE84" i="51" s="1"/>
  <c r="AE85" i="51" s="1"/>
  <c r="AE94" i="51" s="1"/>
  <c r="AE97" i="51" s="1"/>
  <c r="BB113" i="51"/>
  <c r="BB84" i="51" s="1"/>
  <c r="BB85" i="51" s="1"/>
  <c r="BB94" i="51" s="1"/>
  <c r="BB97" i="51" s="1"/>
  <c r="AZ113" i="51"/>
  <c r="AZ84" i="51" s="1"/>
  <c r="AZ85" i="51" s="1"/>
  <c r="AZ94" i="51" s="1"/>
  <c r="AZ97" i="51" s="1"/>
  <c r="W113" i="51"/>
  <c r="W84" i="51" s="1"/>
  <c r="W85" i="51" s="1"/>
  <c r="W94" i="51" s="1"/>
  <c r="W97" i="51" s="1"/>
  <c r="P113" i="51"/>
  <c r="P84" i="51" s="1"/>
  <c r="P85" i="51" s="1"/>
  <c r="P94" i="51" s="1"/>
  <c r="P97" i="51" s="1"/>
  <c r="Y113" i="51"/>
  <c r="Y84" i="51" s="1"/>
  <c r="Y85" i="51" s="1"/>
  <c r="Y94" i="51" s="1"/>
  <c r="Y97" i="51" s="1"/>
  <c r="AT113" i="51"/>
  <c r="AT84" i="51" s="1"/>
  <c r="AT85" i="51" s="1"/>
  <c r="AT94" i="51" s="1"/>
  <c r="AT97" i="51" s="1"/>
  <c r="M113" i="51"/>
  <c r="M84" i="51" s="1"/>
  <c r="M85" i="51" s="1"/>
  <c r="M94" i="51" s="1"/>
  <c r="M97" i="51" s="1"/>
  <c r="Z113" i="51"/>
  <c r="Z84" i="51" s="1"/>
  <c r="Z85" i="51" s="1"/>
  <c r="Z94" i="51" s="1"/>
  <c r="Z97" i="51" s="1"/>
  <c r="BN113" i="51"/>
  <c r="BN84" i="51" s="1"/>
  <c r="BN85" i="51" s="1"/>
  <c r="BN94" i="51" s="1"/>
  <c r="BN97" i="51" s="1"/>
  <c r="AC113" i="51"/>
  <c r="AC84" i="51" s="1"/>
  <c r="AC85" i="51" s="1"/>
  <c r="AC94" i="51" s="1"/>
  <c r="AC97" i="51" s="1"/>
  <c r="BH113" i="51"/>
  <c r="BH84" i="51" s="1"/>
  <c r="BH85" i="51" s="1"/>
  <c r="BH94" i="51" s="1"/>
  <c r="BH97" i="51" s="1"/>
  <c r="AM113" i="51"/>
  <c r="AM84" i="51" s="1"/>
  <c r="AM85" i="51" s="1"/>
  <c r="AM94" i="51" s="1"/>
  <c r="AM97" i="51" s="1"/>
  <c r="J113" i="51"/>
  <c r="J84" i="51" s="1"/>
  <c r="J85" i="51" s="1"/>
  <c r="J94" i="51" s="1"/>
  <c r="J97" i="51" s="1"/>
  <c r="H113" i="51"/>
  <c r="H84" i="51" s="1"/>
  <c r="H85" i="51" s="1"/>
  <c r="H94" i="51" s="1"/>
  <c r="H97" i="51" s="1"/>
  <c r="AI113" i="51"/>
  <c r="AI84" i="51" s="1"/>
  <c r="AI85" i="51" s="1"/>
  <c r="AI94" i="51" s="1"/>
  <c r="AI97" i="51" s="1"/>
  <c r="BC113" i="51"/>
  <c r="BC84" i="51" s="1"/>
  <c r="BC85" i="51" s="1"/>
  <c r="BC94" i="51" s="1"/>
  <c r="BC97" i="51" s="1"/>
  <c r="AX113" i="51"/>
  <c r="AX84" i="51" s="1"/>
  <c r="AX85" i="51" s="1"/>
  <c r="AX94" i="51" s="1"/>
  <c r="AX97" i="51" s="1"/>
  <c r="V113" i="51"/>
  <c r="V84" i="51" s="1"/>
  <c r="V85" i="51" s="1"/>
  <c r="V94" i="51" s="1"/>
  <c r="V97" i="51" s="1"/>
  <c r="AS113" i="51"/>
  <c r="AS84" i="51" s="1"/>
  <c r="AS85" i="51" s="1"/>
  <c r="AS94" i="51" s="1"/>
  <c r="AS97" i="51" s="1"/>
  <c r="AG113" i="51"/>
  <c r="AG84" i="51" s="1"/>
  <c r="AG85" i="51" s="1"/>
  <c r="AG94" i="51" s="1"/>
  <c r="AG97" i="51" s="1"/>
  <c r="AO113" i="51"/>
  <c r="AO84" i="51" s="1"/>
  <c r="AO85" i="51" s="1"/>
  <c r="AO94" i="51" s="1"/>
  <c r="AO97" i="51" s="1"/>
  <c r="BF113" i="51"/>
  <c r="BF84" i="51" s="1"/>
  <c r="BF85" i="51" s="1"/>
  <c r="BF94" i="51" s="1"/>
  <c r="BF97" i="51" s="1"/>
  <c r="BL113" i="51"/>
  <c r="BL84" i="51" s="1"/>
  <c r="BL85" i="51" s="1"/>
  <c r="BL94" i="51" s="1"/>
  <c r="BL97" i="51" s="1"/>
  <c r="AB113" i="51"/>
  <c r="AB84" i="51" s="1"/>
  <c r="AB85" i="51" s="1"/>
  <c r="AB94" i="51" s="1"/>
  <c r="AB97" i="51" s="1"/>
  <c r="AA113" i="51"/>
  <c r="AA84" i="51" s="1"/>
  <c r="AA85" i="51" s="1"/>
  <c r="AA94" i="51" s="1"/>
  <c r="AA97" i="51" s="1"/>
  <c r="K41" i="16"/>
  <c r="K42" i="16" s="1"/>
  <c r="U113" i="51"/>
  <c r="U84" i="51" s="1"/>
  <c r="U85" i="51" s="1"/>
  <c r="U94" i="51" s="1"/>
  <c r="U97" i="51" s="1"/>
  <c r="O113" i="51"/>
  <c r="O84" i="51" s="1"/>
  <c r="O85" i="51" s="1"/>
  <c r="O94" i="51" s="1"/>
  <c r="O97" i="51" s="1"/>
  <c r="AP113" i="51"/>
  <c r="AP84" i="51" s="1"/>
  <c r="AP85" i="51" s="1"/>
  <c r="AP94" i="51" s="1"/>
  <c r="AP97" i="51" s="1"/>
  <c r="AV113" i="51"/>
  <c r="AV84" i="51" s="1"/>
  <c r="AV85" i="51" s="1"/>
  <c r="AV94" i="51" s="1"/>
  <c r="AV97" i="51" s="1"/>
  <c r="BA113" i="51"/>
  <c r="BA84" i="51" s="1"/>
  <c r="BA85" i="51" s="1"/>
  <c r="BA94" i="51" s="1"/>
  <c r="BA97" i="51" s="1"/>
  <c r="BG113" i="51"/>
  <c r="BG84" i="51" s="1"/>
  <c r="BG85" i="51" s="1"/>
  <c r="BG94" i="51" s="1"/>
  <c r="BG97" i="51" s="1"/>
  <c r="X113" i="51"/>
  <c r="X84" i="51" s="1"/>
  <c r="X85" i="51" s="1"/>
  <c r="X94" i="51" s="1"/>
  <c r="X97" i="51" s="1"/>
  <c r="T113" i="51"/>
  <c r="T84" i="51" s="1"/>
  <c r="T85" i="51" s="1"/>
  <c r="T94" i="51" s="1"/>
  <c r="T97" i="51" s="1"/>
  <c r="I113" i="51"/>
  <c r="I84" i="51" s="1"/>
  <c r="I85" i="51" s="1"/>
  <c r="I94" i="51" s="1"/>
  <c r="I97" i="51" s="1"/>
  <c r="AK113" i="51"/>
  <c r="AK84" i="51" s="1"/>
  <c r="AK85" i="51" s="1"/>
  <c r="AK94" i="51" s="1"/>
  <c r="AK97" i="51" s="1"/>
  <c r="AU113" i="51"/>
  <c r="AU84" i="51" s="1"/>
  <c r="AU85" i="51" s="1"/>
  <c r="AU94" i="51" s="1"/>
  <c r="AU97" i="51" s="1"/>
  <c r="AJ113" i="51"/>
  <c r="AJ84" i="51" s="1"/>
  <c r="AJ85" i="51" s="1"/>
  <c r="AJ94" i="51" s="1"/>
  <c r="AJ97" i="51" s="1"/>
  <c r="AQ113" i="51"/>
  <c r="AQ84" i="51" s="1"/>
  <c r="AQ85" i="51" s="1"/>
  <c r="AQ94" i="51" s="1"/>
  <c r="AQ97" i="51" s="1"/>
  <c r="AF113" i="51"/>
  <c r="AF84" i="51" s="1"/>
  <c r="AF85" i="51" s="1"/>
  <c r="AF94" i="51" s="1"/>
  <c r="AF97" i="51" s="1"/>
  <c r="BD113" i="51"/>
  <c r="BD84" i="51" s="1"/>
  <c r="BD85" i="51" s="1"/>
  <c r="BD94" i="51" s="1"/>
  <c r="BD97" i="51" s="1"/>
  <c r="AW113" i="51"/>
  <c r="AW84" i="51" s="1"/>
  <c r="AW85" i="51" s="1"/>
  <c r="AW94" i="51" s="1"/>
  <c r="AW97" i="51" s="1"/>
  <c r="BJ113" i="51"/>
  <c r="BJ84" i="51" s="1"/>
  <c r="BJ85" i="51" s="1"/>
  <c r="BJ94" i="51" s="1"/>
  <c r="BJ97" i="51" s="1"/>
  <c r="L113" i="51"/>
  <c r="L84" i="51" s="1"/>
  <c r="L85" i="51" s="1"/>
  <c r="L94" i="51" s="1"/>
  <c r="L97" i="51" s="1"/>
  <c r="AL113" i="51"/>
  <c r="AL84" i="51" s="1"/>
  <c r="AL85" i="51" s="1"/>
  <c r="AL94" i="51" s="1"/>
  <c r="AL97" i="51" s="1"/>
  <c r="AH113" i="51"/>
  <c r="AH84" i="51" s="1"/>
  <c r="AH85" i="51" s="1"/>
  <c r="AH94" i="51" s="1"/>
  <c r="AH97" i="51" s="1"/>
  <c r="Q113" i="51"/>
  <c r="Q84" i="51" s="1"/>
  <c r="Q85" i="51" s="1"/>
  <c r="Q94" i="51" s="1"/>
  <c r="Q97" i="51" s="1"/>
  <c r="BI113" i="51"/>
  <c r="BI84" i="51" s="1"/>
  <c r="BI85" i="51" s="1"/>
  <c r="BI94" i="51" s="1"/>
  <c r="BI97" i="51" s="1"/>
  <c r="G113" i="51"/>
  <c r="G84" i="51" s="1"/>
  <c r="G85" i="51" s="1"/>
  <c r="G94" i="51" s="1"/>
  <c r="G97" i="51" s="1"/>
  <c r="G98" i="51" s="1"/>
  <c r="N113" i="51"/>
  <c r="N84" i="51" s="1"/>
  <c r="N85" i="51" s="1"/>
  <c r="N94" i="51" s="1"/>
  <c r="N97" i="51" s="1"/>
  <c r="S113" i="51"/>
  <c r="S84" i="51" s="1"/>
  <c r="S85" i="51" s="1"/>
  <c r="S94" i="51" s="1"/>
  <c r="S97" i="51" s="1"/>
  <c r="R113" i="51"/>
  <c r="R84" i="51" s="1"/>
  <c r="R85" i="51" s="1"/>
  <c r="R94" i="51" s="1"/>
  <c r="R97" i="51" s="1"/>
  <c r="AN113" i="51"/>
  <c r="AN84" i="51" s="1"/>
  <c r="AN85" i="51" s="1"/>
  <c r="AN94" i="51" s="1"/>
  <c r="AN97" i="51" s="1"/>
  <c r="K113" i="51"/>
  <c r="K84" i="51" s="1"/>
  <c r="K85" i="51" s="1"/>
  <c r="K94" i="51" s="1"/>
  <c r="K97" i="51" s="1"/>
  <c r="BM113" i="51"/>
  <c r="BM84" i="51" s="1"/>
  <c r="BM85" i="51" s="1"/>
  <c r="BM94" i="51" s="1"/>
  <c r="BM97" i="51" s="1"/>
  <c r="AD113" i="51"/>
  <c r="AD84" i="51" s="1"/>
  <c r="AD85" i="51" s="1"/>
  <c r="AD94" i="51" s="1"/>
  <c r="AD97" i="51" s="1"/>
  <c r="AY113" i="51"/>
  <c r="AY84" i="51" s="1"/>
  <c r="AY85" i="51" s="1"/>
  <c r="AY94" i="51" s="1"/>
  <c r="AY97" i="51" s="1"/>
  <c r="K127" i="16" l="1"/>
  <c r="U19" i="77" s="1"/>
  <c r="K113" i="16"/>
  <c r="K84" i="16" s="1"/>
  <c r="K85" i="16" s="1"/>
  <c r="K94" i="16" s="1"/>
  <c r="K97" i="16" s="1"/>
  <c r="K96" i="16"/>
  <c r="J17" i="16"/>
  <c r="T23" i="77" s="1"/>
  <c r="H96" i="51"/>
  <c r="H98" i="51" s="1"/>
  <c r="G17" i="51"/>
  <c r="H50" i="75" l="1"/>
  <c r="I50" i="75" s="1"/>
  <c r="I49" i="75" s="1"/>
  <c r="I46" i="18"/>
  <c r="I45" i="18" s="1"/>
  <c r="I48" i="18" s="1"/>
  <c r="I53" i="18" s="1"/>
  <c r="D55" i="18" s="1"/>
  <c r="D62" i="18" s="1"/>
  <c r="K98" i="16"/>
  <c r="K17" i="16" s="1"/>
  <c r="U23" i="77" s="1"/>
  <c r="G136" i="51"/>
  <c r="G141" i="51" s="1"/>
  <c r="G19" i="51"/>
  <c r="G20" i="51" s="1"/>
  <c r="G44" i="51" s="1"/>
  <c r="I96" i="51"/>
  <c r="I98" i="51" s="1"/>
  <c r="H17" i="51"/>
  <c r="K50" i="75" l="1"/>
  <c r="K49" i="75" s="1"/>
  <c r="I61" i="18"/>
  <c r="H62" i="18"/>
  <c r="F60" i="18"/>
  <c r="H60" i="18"/>
  <c r="D61" i="18"/>
  <c r="G62" i="18"/>
  <c r="F62" i="18"/>
  <c r="D57" i="18"/>
  <c r="H80" i="18" s="1"/>
  <c r="A80" i="18" s="1"/>
  <c r="A1" i="18" s="1"/>
  <c r="H67" i="75"/>
  <c r="H68" i="75" s="1"/>
  <c r="H73" i="75" s="1"/>
  <c r="H53" i="75" s="1"/>
  <c r="H109" i="75" s="1"/>
  <c r="G60" i="18"/>
  <c r="H61" i="18"/>
  <c r="J50" i="75"/>
  <c r="E65" i="18"/>
  <c r="E60" i="18"/>
  <c r="E61" i="18"/>
  <c r="I62" i="18"/>
  <c r="D60" i="18"/>
  <c r="F61" i="18"/>
  <c r="I47" i="18"/>
  <c r="J47" i="18" s="1"/>
  <c r="J46" i="18" s="1"/>
  <c r="J45" i="18" s="1"/>
  <c r="E62" i="18"/>
  <c r="I60" i="18"/>
  <c r="G61" i="18"/>
  <c r="I67" i="75"/>
  <c r="H136" i="51"/>
  <c r="H141" i="51" s="1"/>
  <c r="H19" i="51"/>
  <c r="H20" i="51" s="1"/>
  <c r="H44" i="51" s="1"/>
  <c r="J96" i="51"/>
  <c r="J98" i="51" s="1"/>
  <c r="J17" i="51" s="1"/>
  <c r="I17" i="51"/>
  <c r="J49" i="75" l="1"/>
  <c r="J51" i="75" s="1"/>
  <c r="J60" i="75" s="1"/>
  <c r="H57" i="75"/>
  <c r="H58" i="75" s="1"/>
  <c r="K67" i="75"/>
  <c r="H120" i="75"/>
  <c r="H121" i="75" s="1"/>
  <c r="H123" i="75" s="1"/>
  <c r="J67" i="75"/>
  <c r="I53" i="75"/>
  <c r="I109" i="75" s="1"/>
  <c r="K51" i="75"/>
  <c r="K60" i="75" s="1"/>
  <c r="I51" i="75"/>
  <c r="I60" i="75" s="1"/>
  <c r="K96" i="51"/>
  <c r="K98" i="51" s="1"/>
  <c r="I19" i="51"/>
  <c r="I20" i="51" s="1"/>
  <c r="I44" i="51" s="1"/>
  <c r="I136" i="51"/>
  <c r="I141" i="51" s="1"/>
  <c r="H49" i="75" l="1"/>
  <c r="H51" i="75" s="1"/>
  <c r="H60" i="75" s="1"/>
  <c r="A60" i="75" s="1"/>
  <c r="A1" i="75" s="1"/>
  <c r="H124" i="75"/>
  <c r="H125" i="75"/>
  <c r="I120" i="75"/>
  <c r="I57" i="75"/>
  <c r="J53" i="75"/>
  <c r="J120" i="75" s="1"/>
  <c r="H127" i="75"/>
  <c r="H134" i="75"/>
  <c r="H128" i="75" s="1"/>
  <c r="J19" i="51"/>
  <c r="J20" i="51" s="1"/>
  <c r="J44" i="51" s="1"/>
  <c r="J136" i="51"/>
  <c r="J141" i="51" s="1"/>
  <c r="L96" i="51"/>
  <c r="L98" i="51" s="1"/>
  <c r="K17" i="51"/>
  <c r="K53" i="75" l="1"/>
  <c r="K57" i="75" s="1"/>
  <c r="J109" i="75"/>
  <c r="J57" i="75"/>
  <c r="K19" i="51"/>
  <c r="K20" i="51" s="1"/>
  <c r="K44" i="51" s="1"/>
  <c r="K136" i="51"/>
  <c r="K141" i="51" s="1"/>
  <c r="M96" i="51"/>
  <c r="M98" i="51" s="1"/>
  <c r="L17" i="51"/>
  <c r="K109" i="75" l="1"/>
  <c r="K120" i="75"/>
  <c r="L136" i="51"/>
  <c r="L141" i="51" s="1"/>
  <c r="L19" i="51"/>
  <c r="L20" i="51" s="1"/>
  <c r="L44" i="51" s="1"/>
  <c r="N96" i="51"/>
  <c r="N98" i="51" s="1"/>
  <c r="M17" i="51"/>
  <c r="M19" i="51" l="1"/>
  <c r="M20" i="51" s="1"/>
  <c r="M44" i="51" s="1"/>
  <c r="M136" i="51"/>
  <c r="M141" i="51" s="1"/>
  <c r="O96" i="51"/>
  <c r="O98" i="51" s="1"/>
  <c r="N17" i="51"/>
  <c r="N136" i="51" l="1"/>
  <c r="N141" i="51" s="1"/>
  <c r="N19" i="51"/>
  <c r="N20" i="51" s="1"/>
  <c r="N44" i="51" s="1"/>
  <c r="P96" i="51"/>
  <c r="P98" i="51" s="1"/>
  <c r="O17" i="51"/>
  <c r="O19" i="51" l="1"/>
  <c r="O20" i="51" s="1"/>
  <c r="O44" i="51" s="1"/>
  <c r="O136" i="51"/>
  <c r="O141" i="51" s="1"/>
  <c r="Q96" i="51"/>
  <c r="Q98" i="51" s="1"/>
  <c r="P17" i="51"/>
  <c r="R96" i="51" l="1"/>
  <c r="R98" i="51" s="1"/>
  <c r="Q17" i="51"/>
  <c r="P136" i="51"/>
  <c r="P141" i="51" s="1"/>
  <c r="P19" i="51"/>
  <c r="P20" i="51" s="1"/>
  <c r="P44" i="51" s="1"/>
  <c r="Q19" i="51" l="1"/>
  <c r="Q20" i="51" s="1"/>
  <c r="Q44" i="51" s="1"/>
  <c r="Q136" i="51"/>
  <c r="Q141" i="51" s="1"/>
  <c r="S96" i="51"/>
  <c r="S98" i="51" s="1"/>
  <c r="R17" i="51"/>
  <c r="R136" i="51" l="1"/>
  <c r="R141" i="51" s="1"/>
  <c r="R19" i="51"/>
  <c r="R20" i="51" s="1"/>
  <c r="R44" i="51" s="1"/>
  <c r="T96" i="51"/>
  <c r="T98" i="51" s="1"/>
  <c r="S17" i="51"/>
  <c r="S136" i="51" l="1"/>
  <c r="S141" i="51" s="1"/>
  <c r="S19" i="51"/>
  <c r="S20" i="51" s="1"/>
  <c r="S44" i="51" s="1"/>
  <c r="U96" i="51"/>
  <c r="U98" i="51" s="1"/>
  <c r="T17" i="51"/>
  <c r="G136" i="16"/>
  <c r="G141" i="16" s="1"/>
  <c r="Q22" i="77" s="1"/>
  <c r="Q42" i="77" s="1"/>
  <c r="G19" i="16"/>
  <c r="G20" i="16" s="1"/>
  <c r="G44" i="16" s="1"/>
  <c r="F20" i="77" l="1"/>
  <c r="T136" i="51"/>
  <c r="T141" i="51" s="1"/>
  <c r="T19" i="51"/>
  <c r="T20" i="51" s="1"/>
  <c r="T44" i="51" s="1"/>
  <c r="V96" i="51"/>
  <c r="V98" i="51" s="1"/>
  <c r="U17" i="51"/>
  <c r="Q44" i="77" l="1"/>
  <c r="F33" i="77" s="1"/>
  <c r="F31" i="77"/>
  <c r="U136" i="51"/>
  <c r="U141" i="51" s="1"/>
  <c r="U19" i="51"/>
  <c r="U20" i="51" s="1"/>
  <c r="U44" i="51" s="1"/>
  <c r="W96" i="51"/>
  <c r="W98" i="51" s="1"/>
  <c r="V17" i="51"/>
  <c r="X96" i="51" l="1"/>
  <c r="X98" i="51" s="1"/>
  <c r="W17" i="51"/>
  <c r="V136" i="51"/>
  <c r="V141" i="51" s="1"/>
  <c r="V19" i="51"/>
  <c r="V20" i="51" s="1"/>
  <c r="V44" i="51" s="1"/>
  <c r="W136" i="51" l="1"/>
  <c r="W141" i="51" s="1"/>
  <c r="W19" i="51"/>
  <c r="W20" i="51" s="1"/>
  <c r="W44" i="51" s="1"/>
  <c r="Y96" i="51"/>
  <c r="Y98" i="51" s="1"/>
  <c r="X17" i="51"/>
  <c r="X136" i="51" l="1"/>
  <c r="X141" i="51" s="1"/>
  <c r="X19" i="51"/>
  <c r="X20" i="51" s="1"/>
  <c r="X44" i="51" s="1"/>
  <c r="Z96" i="51"/>
  <c r="Z98" i="51" s="1"/>
  <c r="Y17" i="51"/>
  <c r="AA96" i="51" l="1"/>
  <c r="AA98" i="51" s="1"/>
  <c r="Z17" i="51"/>
  <c r="Y136" i="51"/>
  <c r="Y141" i="51" s="1"/>
  <c r="Y19" i="51"/>
  <c r="Y20" i="51" s="1"/>
  <c r="Y44" i="51" s="1"/>
  <c r="Z136" i="51" l="1"/>
  <c r="Z141" i="51" s="1"/>
  <c r="Z19" i="51"/>
  <c r="Z20" i="51" s="1"/>
  <c r="Z44" i="51" s="1"/>
  <c r="AB96" i="51"/>
  <c r="AB98" i="51" s="1"/>
  <c r="AA17" i="51"/>
  <c r="AC96" i="51" l="1"/>
  <c r="AC98" i="51" s="1"/>
  <c r="AB17" i="51"/>
  <c r="AA136" i="51"/>
  <c r="AA141" i="51" s="1"/>
  <c r="AA19" i="51"/>
  <c r="AA20" i="51" s="1"/>
  <c r="AA44" i="51" s="1"/>
  <c r="AB136" i="51" l="1"/>
  <c r="AB141" i="51" s="1"/>
  <c r="AB19" i="51"/>
  <c r="AB20" i="51" s="1"/>
  <c r="AB44" i="51" s="1"/>
  <c r="AD96" i="51"/>
  <c r="AD98" i="51" s="1"/>
  <c r="AC17" i="51"/>
  <c r="AE96" i="51" l="1"/>
  <c r="AE98" i="51" s="1"/>
  <c r="AD17" i="51"/>
  <c r="AC136" i="51"/>
  <c r="AC141" i="51" s="1"/>
  <c r="AC19" i="51"/>
  <c r="AC20" i="51" s="1"/>
  <c r="AC44" i="51" s="1"/>
  <c r="AD136" i="51" l="1"/>
  <c r="AD141" i="51" s="1"/>
  <c r="AD19" i="51"/>
  <c r="AD20" i="51" s="1"/>
  <c r="AD44" i="51" s="1"/>
  <c r="AF96" i="51"/>
  <c r="AF98" i="51" s="1"/>
  <c r="AE17" i="51"/>
  <c r="AG96" i="51" l="1"/>
  <c r="AG98" i="51" s="1"/>
  <c r="AF17" i="51"/>
  <c r="AE136" i="51"/>
  <c r="AE141" i="51" s="1"/>
  <c r="AE19" i="51"/>
  <c r="AE20" i="51" s="1"/>
  <c r="AE44" i="51" s="1"/>
  <c r="H19" i="16"/>
  <c r="H20" i="16" s="1"/>
  <c r="H44" i="16" s="1"/>
  <c r="H136" i="16"/>
  <c r="H141" i="16" s="1"/>
  <c r="R22" i="77" s="1"/>
  <c r="R42" i="77" s="1"/>
  <c r="G20" i="77" l="1"/>
  <c r="AF136" i="51"/>
  <c r="AF141" i="51" s="1"/>
  <c r="AF19" i="51"/>
  <c r="AF20" i="51" s="1"/>
  <c r="AF44" i="51" s="1"/>
  <c r="AH96" i="51"/>
  <c r="AH98" i="51" s="1"/>
  <c r="AG17" i="51"/>
  <c r="R44" i="77" l="1"/>
  <c r="G33" i="77" s="1"/>
  <c r="G31" i="77"/>
  <c r="AI96" i="51"/>
  <c r="AI98" i="51" s="1"/>
  <c r="AH17" i="51"/>
  <c r="AG19" i="51"/>
  <c r="AG20" i="51" s="1"/>
  <c r="AG44" i="51" s="1"/>
  <c r="AG136" i="51"/>
  <c r="AG141" i="51" s="1"/>
  <c r="AH19" i="51" l="1"/>
  <c r="AH20" i="51" s="1"/>
  <c r="AH44" i="51" s="1"/>
  <c r="AH136" i="51"/>
  <c r="AH141" i="51" s="1"/>
  <c r="AJ96" i="51"/>
  <c r="AJ98" i="51" s="1"/>
  <c r="AI17" i="51"/>
  <c r="AK96" i="51" l="1"/>
  <c r="AK98" i="51" s="1"/>
  <c r="AJ17" i="51"/>
  <c r="AI19" i="51"/>
  <c r="AI20" i="51" s="1"/>
  <c r="AI44" i="51" s="1"/>
  <c r="AI136" i="51"/>
  <c r="AI141" i="51" s="1"/>
  <c r="AJ19" i="51" l="1"/>
  <c r="AJ20" i="51" s="1"/>
  <c r="AJ44" i="51" s="1"/>
  <c r="AJ136" i="51"/>
  <c r="AJ141" i="51" s="1"/>
  <c r="AL96" i="51"/>
  <c r="AL98" i="51" s="1"/>
  <c r="AK17" i="51"/>
  <c r="AM96" i="51" l="1"/>
  <c r="AM98" i="51" s="1"/>
  <c r="AL17" i="51"/>
  <c r="AK19" i="51"/>
  <c r="AK20" i="51" s="1"/>
  <c r="AK44" i="51" s="1"/>
  <c r="AK136" i="51"/>
  <c r="AK141" i="51" s="1"/>
  <c r="AL19" i="51" l="1"/>
  <c r="AL20" i="51" s="1"/>
  <c r="AL44" i="51" s="1"/>
  <c r="AL136" i="51"/>
  <c r="AL141" i="51" s="1"/>
  <c r="AN96" i="51"/>
  <c r="AN98" i="51" s="1"/>
  <c r="AM17" i="51"/>
  <c r="AO96" i="51" l="1"/>
  <c r="AO98" i="51" s="1"/>
  <c r="AN17" i="51"/>
  <c r="AM136" i="51"/>
  <c r="AM141" i="51" s="1"/>
  <c r="AM19" i="51"/>
  <c r="AM20" i="51" s="1"/>
  <c r="AM44" i="51" s="1"/>
  <c r="AN19" i="51" l="1"/>
  <c r="AN20" i="51" s="1"/>
  <c r="AN44" i="51" s="1"/>
  <c r="AN136" i="51"/>
  <c r="AN141" i="51" s="1"/>
  <c r="AP96" i="51"/>
  <c r="AP98" i="51" s="1"/>
  <c r="AO17" i="51"/>
  <c r="AO19" i="51" l="1"/>
  <c r="AO20" i="51" s="1"/>
  <c r="AO44" i="51" s="1"/>
  <c r="AO136" i="51"/>
  <c r="AO141" i="51" s="1"/>
  <c r="AQ96" i="51"/>
  <c r="AQ98" i="51" s="1"/>
  <c r="AP17" i="51"/>
  <c r="AR96" i="51" l="1"/>
  <c r="AR98" i="51" s="1"/>
  <c r="AQ17" i="51"/>
  <c r="AP136" i="51"/>
  <c r="AP141" i="51" s="1"/>
  <c r="AP19" i="51"/>
  <c r="AP20" i="51" s="1"/>
  <c r="AP44" i="51" s="1"/>
  <c r="I19" i="16" l="1"/>
  <c r="I20" i="16" s="1"/>
  <c r="I44" i="16" s="1"/>
  <c r="I136" i="16"/>
  <c r="I141" i="16" s="1"/>
  <c r="S22" i="77" s="1"/>
  <c r="S42" i="77" s="1"/>
  <c r="AQ19" i="51"/>
  <c r="AQ20" i="51" s="1"/>
  <c r="AQ44" i="51" s="1"/>
  <c r="AQ136" i="51"/>
  <c r="AQ141" i="51" s="1"/>
  <c r="AS96" i="51"/>
  <c r="AS98" i="51" s="1"/>
  <c r="AR17" i="51"/>
  <c r="H20" i="77" l="1"/>
  <c r="AT96" i="51"/>
  <c r="AT98" i="51" s="1"/>
  <c r="AS17" i="51"/>
  <c r="AR136" i="51"/>
  <c r="AR141" i="51" s="1"/>
  <c r="AR19" i="51"/>
  <c r="AR20" i="51" s="1"/>
  <c r="AR44" i="51" s="1"/>
  <c r="S44" i="77" l="1"/>
  <c r="H33" i="77" s="1"/>
  <c r="H31" i="77"/>
  <c r="AS136" i="51"/>
  <c r="AS141" i="51" s="1"/>
  <c r="AS19" i="51"/>
  <c r="AS20" i="51" s="1"/>
  <c r="AS44" i="51" s="1"/>
  <c r="AU96" i="51"/>
  <c r="AU98" i="51" s="1"/>
  <c r="AT17" i="51"/>
  <c r="AV96" i="51" l="1"/>
  <c r="AV98" i="51" s="1"/>
  <c r="AU17" i="51"/>
  <c r="AT136" i="51"/>
  <c r="AT141" i="51" s="1"/>
  <c r="AT19" i="51"/>
  <c r="AT20" i="51" s="1"/>
  <c r="AT44" i="51" s="1"/>
  <c r="AU136" i="51" l="1"/>
  <c r="AU141" i="51" s="1"/>
  <c r="AU19" i="51"/>
  <c r="AU20" i="51" s="1"/>
  <c r="AU44" i="51" s="1"/>
  <c r="AW96" i="51"/>
  <c r="AW98" i="51" s="1"/>
  <c r="AV17" i="51"/>
  <c r="AX96" i="51" l="1"/>
  <c r="AX98" i="51" s="1"/>
  <c r="AW17" i="51"/>
  <c r="AV136" i="51"/>
  <c r="AV141" i="51" s="1"/>
  <c r="AV19" i="51"/>
  <c r="AV20" i="51" s="1"/>
  <c r="AV44" i="51" s="1"/>
  <c r="AW136" i="51" l="1"/>
  <c r="AW141" i="51" s="1"/>
  <c r="AW19" i="51"/>
  <c r="AW20" i="51" s="1"/>
  <c r="AW44" i="51" s="1"/>
  <c r="AY96" i="51"/>
  <c r="AY98" i="51" s="1"/>
  <c r="AX17" i="51"/>
  <c r="AX136" i="51" l="1"/>
  <c r="AX141" i="51" s="1"/>
  <c r="AX19" i="51"/>
  <c r="AX20" i="51" s="1"/>
  <c r="AX44" i="51" s="1"/>
  <c r="AZ96" i="51"/>
  <c r="AZ98" i="51" s="1"/>
  <c r="AY17" i="51"/>
  <c r="AY136" i="51" l="1"/>
  <c r="AY141" i="51" s="1"/>
  <c r="AY19" i="51"/>
  <c r="AY20" i="51" s="1"/>
  <c r="AY44" i="51" s="1"/>
  <c r="BA96" i="51"/>
  <c r="BA98" i="51" s="1"/>
  <c r="AZ17" i="51"/>
  <c r="BB96" i="51" l="1"/>
  <c r="BB98" i="51" s="1"/>
  <c r="BA17" i="51"/>
  <c r="AZ136" i="51"/>
  <c r="AZ141" i="51" s="1"/>
  <c r="AZ19" i="51"/>
  <c r="AZ20" i="51" s="1"/>
  <c r="AZ44" i="51" s="1"/>
  <c r="BA136" i="51" l="1"/>
  <c r="BA141" i="51" s="1"/>
  <c r="BA19" i="51"/>
  <c r="BA20" i="51" s="1"/>
  <c r="BA44" i="51" s="1"/>
  <c r="BC96" i="51"/>
  <c r="BC98" i="51" s="1"/>
  <c r="BB17" i="51"/>
  <c r="BB136" i="51" l="1"/>
  <c r="BB141" i="51" s="1"/>
  <c r="BB19" i="51"/>
  <c r="BB20" i="51" s="1"/>
  <c r="BB44" i="51" s="1"/>
  <c r="BD96" i="51"/>
  <c r="BD98" i="51" s="1"/>
  <c r="BC17" i="51"/>
  <c r="J19" i="16" l="1"/>
  <c r="J20" i="16" s="1"/>
  <c r="J44" i="16" s="1"/>
  <c r="J136" i="16"/>
  <c r="J141" i="16" s="1"/>
  <c r="T22" i="77" s="1"/>
  <c r="BC136" i="51"/>
  <c r="BC141" i="51" s="1"/>
  <c r="BC19" i="51"/>
  <c r="BC20" i="51" s="1"/>
  <c r="BC44" i="51" s="1"/>
  <c r="BD17" i="51"/>
  <c r="BE96" i="51"/>
  <c r="BE98" i="51" s="1"/>
  <c r="T42" i="77" l="1"/>
  <c r="T44" i="77" s="1"/>
  <c r="BD136" i="51"/>
  <c r="BD141" i="51" s="1"/>
  <c r="BD19" i="51"/>
  <c r="BD20" i="51" s="1"/>
  <c r="BD44" i="51" s="1"/>
  <c r="BE17" i="51"/>
  <c r="BF96" i="51"/>
  <c r="BF98" i="51" s="1"/>
  <c r="BE136" i="51" l="1"/>
  <c r="BE141" i="51" s="1"/>
  <c r="BE19" i="51"/>
  <c r="BE20" i="51" s="1"/>
  <c r="BE44" i="51" s="1"/>
  <c r="BG96" i="51"/>
  <c r="BG98" i="51" s="1"/>
  <c r="BF17" i="51"/>
  <c r="BG17" i="51" l="1"/>
  <c r="BH96" i="51"/>
  <c r="BH98" i="51" s="1"/>
  <c r="BF136" i="51"/>
  <c r="BF141" i="51" s="1"/>
  <c r="BF19" i="51"/>
  <c r="BF20" i="51" s="1"/>
  <c r="BF44" i="51" s="1"/>
  <c r="BI96" i="51" l="1"/>
  <c r="BI98" i="51" s="1"/>
  <c r="BH17" i="51"/>
  <c r="BG136" i="51"/>
  <c r="BG141" i="51" s="1"/>
  <c r="BG19" i="51"/>
  <c r="BG20" i="51" s="1"/>
  <c r="BG44" i="51" s="1"/>
  <c r="BH136" i="51" l="1"/>
  <c r="BH141" i="51" s="1"/>
  <c r="BH19" i="51"/>
  <c r="BH20" i="51" s="1"/>
  <c r="BH44" i="51" s="1"/>
  <c r="BI17" i="51"/>
  <c r="BJ96" i="51"/>
  <c r="BJ98" i="51" s="1"/>
  <c r="BJ17" i="51" l="1"/>
  <c r="BK96" i="51"/>
  <c r="BK98" i="51" s="1"/>
  <c r="BI136" i="51"/>
  <c r="BI141" i="51" s="1"/>
  <c r="BI19" i="51"/>
  <c r="BI20" i="51" s="1"/>
  <c r="BI44" i="51" s="1"/>
  <c r="BK17" i="51" l="1"/>
  <c r="BL96" i="51"/>
  <c r="BL98" i="51" s="1"/>
  <c r="BJ136" i="51"/>
  <c r="BJ141" i="51" s="1"/>
  <c r="BJ19" i="51"/>
  <c r="BJ20" i="51" s="1"/>
  <c r="BJ44" i="51" s="1"/>
  <c r="BL17" i="51" l="1"/>
  <c r="BM96" i="51"/>
  <c r="BM98" i="51" s="1"/>
  <c r="BK136" i="51"/>
  <c r="BK141" i="51" s="1"/>
  <c r="BK19" i="51"/>
  <c r="BK20" i="51" s="1"/>
  <c r="BK44" i="51" s="1"/>
  <c r="BM17" i="51" l="1"/>
  <c r="BN96" i="51"/>
  <c r="BN98" i="51" s="1"/>
  <c r="BN17" i="51" s="1"/>
  <c r="BL136" i="51"/>
  <c r="BL141" i="51" s="1"/>
  <c r="BL19" i="51"/>
  <c r="BL20" i="51" s="1"/>
  <c r="BL44" i="51" s="1"/>
  <c r="BN19" i="51" l="1"/>
  <c r="BN20" i="51" s="1"/>
  <c r="BN44" i="51" s="1"/>
  <c r="BN136" i="51"/>
  <c r="BN141" i="51" s="1"/>
  <c r="BM136" i="51"/>
  <c r="BM141" i="51" s="1"/>
  <c r="BM19" i="51"/>
  <c r="BM20" i="51" s="1"/>
  <c r="BM44" i="51" s="1"/>
  <c r="A44" i="51" l="1"/>
  <c r="A1" i="51" s="1"/>
  <c r="K19" i="16"/>
  <c r="K20" i="16" s="1"/>
  <c r="K44" i="16" s="1"/>
  <c r="A44" i="16" s="1"/>
  <c r="A1" i="16" s="1"/>
  <c r="K136" i="16"/>
  <c r="K141" i="16" s="1"/>
  <c r="U22" i="77" s="1"/>
  <c r="U42" i="77" l="1"/>
  <c r="U44" i="77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Yves Neven</author>
  </authors>
  <commentList>
    <comment ref="D27" authorId="0" shapeId="0" xr:uid="{E6D78B74-C3AB-42F4-9C85-4C97D564F3DE}">
      <text>
        <r>
          <rPr>
            <b/>
            <sz val="9"/>
            <color indexed="81"/>
            <rFont val="Tahoma"/>
            <family val="2"/>
          </rPr>
          <t>Yves Neven:</t>
        </r>
        <r>
          <rPr>
            <sz val="9"/>
            <color indexed="81"/>
            <rFont val="Tahoma"/>
            <family val="2"/>
          </rPr>
          <t xml:space="preserve">
Enkel aan te passen indien kasstromen niet evenredig doorheen het jaar vallen. Alternatief is end-of-year of start-of-year. </t>
        </r>
      </text>
    </comment>
  </commentList>
</comments>
</file>

<file path=xl/sharedStrings.xml><?xml version="1.0" encoding="utf-8"?>
<sst xmlns="http://schemas.openxmlformats.org/spreadsheetml/2006/main" count="1680" uniqueCount="1060">
  <si>
    <t>EBITDA</t>
  </si>
  <si>
    <t>EBT</t>
  </si>
  <si>
    <t>Taxes</t>
  </si>
  <si>
    <t>EBIT</t>
  </si>
  <si>
    <t>Capex</t>
  </si>
  <si>
    <t>Check</t>
  </si>
  <si>
    <t>k€</t>
  </si>
  <si>
    <t>Omzet</t>
  </si>
  <si>
    <t>COGS</t>
  </si>
  <si>
    <t>Brutomarge</t>
  </si>
  <si>
    <t>Brutomarge %</t>
  </si>
  <si>
    <t>Diensten &amp; diverse goederen</t>
  </si>
  <si>
    <t>Bezoldigingen</t>
  </si>
  <si>
    <t>EBITDA %</t>
  </si>
  <si>
    <t>Immaterieel vast actief</t>
  </si>
  <si>
    <t>Materieel vast actief</t>
  </si>
  <si>
    <t>Financieel vast actief</t>
  </si>
  <si>
    <t>Vast actief</t>
  </si>
  <si>
    <t>Handelsvorderingen</t>
  </si>
  <si>
    <t>Voorraad</t>
  </si>
  <si>
    <t>Overige vorderingen</t>
  </si>
  <si>
    <t>Liquide middelen</t>
  </si>
  <si>
    <t>Overlopende rekeningen (activa)</t>
  </si>
  <si>
    <t>Vlottend actief</t>
  </si>
  <si>
    <t>Totale activa</t>
  </si>
  <si>
    <t>Kapitaal</t>
  </si>
  <si>
    <t>Reserves</t>
  </si>
  <si>
    <t>Eigen vermogen</t>
  </si>
  <si>
    <t>Financiële schulden</t>
  </si>
  <si>
    <t>Overige LT schulden</t>
  </si>
  <si>
    <t>Lange termijn schulden</t>
  </si>
  <si>
    <t>KT gedeelte van LT schulden</t>
  </si>
  <si>
    <t>Handelsschulden</t>
  </si>
  <si>
    <t>Sociale en fiscale schulden</t>
  </si>
  <si>
    <t>Overige schulden</t>
  </si>
  <si>
    <t>Overlopende rekeningen (passiva)</t>
  </si>
  <si>
    <t>Korte termijn schulden</t>
  </si>
  <si>
    <t>Totale passiva</t>
  </si>
  <si>
    <t>Andere operationele kosten</t>
  </si>
  <si>
    <t>Afschrijvingen &amp; waardeverminderingen</t>
  </si>
  <si>
    <t>EBIT %</t>
  </si>
  <si>
    <t>Financieel resultaat</t>
  </si>
  <si>
    <t>Uitzonderlijk resultaat</t>
  </si>
  <si>
    <t>Belastingen</t>
  </si>
  <si>
    <t>Netto resultaat</t>
  </si>
  <si>
    <t>+ Afschrijvingen &amp; waardeverminderingen</t>
  </si>
  <si>
    <t>Δ werkkapitaal</t>
  </si>
  <si>
    <t>Cashflow uit operationele activiteiten</t>
  </si>
  <si>
    <t>Cashflow uit investeringsactiviteiten</t>
  </si>
  <si>
    <t>Δ Provisies</t>
  </si>
  <si>
    <t>Δ LT schulden</t>
  </si>
  <si>
    <t>Δ KT gedeelte van LT schulden</t>
  </si>
  <si>
    <t>Δ KT Financiële schulden</t>
  </si>
  <si>
    <t>Cashflow uit financieringsactiviteiten</t>
  </si>
  <si>
    <t>Totale cashflow</t>
  </si>
  <si>
    <t>Liquide middelen BoP</t>
  </si>
  <si>
    <t>Cash flow</t>
  </si>
  <si>
    <t>Liquide middelen EoP</t>
  </si>
  <si>
    <t>Δ Handelsvorderingen</t>
  </si>
  <si>
    <t>Δ Voorraad</t>
  </si>
  <si>
    <t>Δ Overige vorderingen</t>
  </si>
  <si>
    <t>Δ Handelsschulden</t>
  </si>
  <si>
    <t>Δ Sociale &amp; fiscale schulden</t>
  </si>
  <si>
    <t>Δ Overige schulden</t>
  </si>
  <si>
    <t>Δ Overlopende rekeningen (Activa)</t>
  </si>
  <si>
    <t>Δ Overlopende rekeningen (Passiva)</t>
  </si>
  <si>
    <t>Delta NWK</t>
  </si>
  <si>
    <t>Sociale &amp; fiscale schulden</t>
  </si>
  <si>
    <t>Overlopende rekeningen (Activa)</t>
  </si>
  <si>
    <t>Overlopende rekeningen (Passiva)</t>
  </si>
  <si>
    <t>NWK</t>
  </si>
  <si>
    <t>DSO</t>
  </si>
  <si>
    <t>DPO</t>
  </si>
  <si>
    <t>DIO</t>
  </si>
  <si>
    <t>NWK als een % van de omzet</t>
  </si>
  <si>
    <t>LT Financiële schulden</t>
  </si>
  <si>
    <t>KT Financiële schulden</t>
  </si>
  <si>
    <t>NFD</t>
  </si>
  <si>
    <t>Uitgedrukt in functie van EBITDA</t>
  </si>
  <si>
    <t>LRM - EV</t>
  </si>
  <si>
    <t>Grafiek - EV</t>
  </si>
  <si>
    <t>LRM - EQ</t>
  </si>
  <si>
    <t>Grafiek - EQ</t>
  </si>
  <si>
    <t>in k€</t>
  </si>
  <si>
    <t>Min</t>
  </si>
  <si>
    <t>Mid</t>
  </si>
  <si>
    <t>Max</t>
  </si>
  <si>
    <t>in m€</t>
  </si>
  <si>
    <t>Label mid</t>
  </si>
  <si>
    <t>Label max</t>
  </si>
  <si>
    <t>TM</t>
  </si>
  <si>
    <t>MM</t>
  </si>
  <si>
    <t>DCF</t>
  </si>
  <si>
    <t>,</t>
  </si>
  <si>
    <t>WACC</t>
  </si>
  <si>
    <t>Risicovrije rentevoet</t>
  </si>
  <si>
    <t>Unlevered beta (Damodaran)</t>
  </si>
  <si>
    <t>Gearing (Damodaran)</t>
  </si>
  <si>
    <t>Levered beta</t>
  </si>
  <si>
    <t>Markt risicopremie</t>
  </si>
  <si>
    <t>Deloitte standaard</t>
  </si>
  <si>
    <t>Size premium</t>
  </si>
  <si>
    <t>Company specific risk premium</t>
  </si>
  <si>
    <t>Kost eigen vermogen</t>
  </si>
  <si>
    <t>Tax rate</t>
  </si>
  <si>
    <t>Kost vreemd vermogen</t>
  </si>
  <si>
    <t>Fractie eigen vermogen</t>
  </si>
  <si>
    <t>Fractie vreemd vermogen</t>
  </si>
  <si>
    <t>Gewogen gemiddelde kapitaalskost</t>
  </si>
  <si>
    <t>Parameters</t>
  </si>
  <si>
    <t>Waarderingsdatum</t>
  </si>
  <si>
    <t>Discount conventie</t>
  </si>
  <si>
    <t>LT groeivoet</t>
  </si>
  <si>
    <t>TV</t>
  </si>
  <si>
    <t>Omzet groei %</t>
  </si>
  <si>
    <t>Afschrijvingen</t>
  </si>
  <si>
    <t>Net income</t>
  </si>
  <si>
    <t>Addback D&amp;A</t>
  </si>
  <si>
    <t>Change in NWC</t>
  </si>
  <si>
    <t>FCFF</t>
  </si>
  <si>
    <t>Time factor</t>
  </si>
  <si>
    <t>Discount factor (WACC)</t>
  </si>
  <si>
    <t>PV FCFF</t>
  </si>
  <si>
    <t>Enterprise value</t>
  </si>
  <si>
    <t>Equity value</t>
  </si>
  <si>
    <t>Implied multiples</t>
  </si>
  <si>
    <t>EV / sales</t>
  </si>
  <si>
    <t>EV / EBITDA</t>
  </si>
  <si>
    <t>EV / EBIT</t>
  </si>
  <si>
    <t>Sensitivity - Enterprise value</t>
  </si>
  <si>
    <t>LTGR</t>
  </si>
  <si>
    <t>Sensitivity - Equity value</t>
  </si>
  <si>
    <t>Metric</t>
  </si>
  <si>
    <t>Observed Multiple</t>
  </si>
  <si>
    <t>Size discount</t>
  </si>
  <si>
    <t>Applied Multiple</t>
  </si>
  <si>
    <t>EV</t>
  </si>
  <si>
    <t>Equity
Value</t>
  </si>
  <si>
    <t>Weight</t>
  </si>
  <si>
    <t>Sales FY20</t>
  </si>
  <si>
    <t>Sales FY21</t>
  </si>
  <si>
    <t>EBITDA FY20</t>
  </si>
  <si>
    <t>EBITDA FY21</t>
  </si>
  <si>
    <t>EBIT FY22</t>
  </si>
  <si>
    <t>Gewogen waarde</t>
  </si>
  <si>
    <t>Target name</t>
  </si>
  <si>
    <t>Country</t>
  </si>
  <si>
    <t>EV
(in €m)</t>
  </si>
  <si>
    <t>EV / 
Sales</t>
  </si>
  <si>
    <t>EV / 
EBIT</t>
  </si>
  <si>
    <t>Discount</t>
  </si>
  <si>
    <t>1ste kwartiel</t>
  </si>
  <si>
    <t>Mediaan</t>
  </si>
  <si>
    <t>Gemiddelde</t>
  </si>
  <si>
    <t>3de kwartiel</t>
  </si>
  <si>
    <t>Listed peer</t>
  </si>
  <si>
    <t>Market cap
(in €m)</t>
  </si>
  <si>
    <t>EV / 
Sales
FY19</t>
  </si>
  <si>
    <t>EV / 
Sales
FY20</t>
  </si>
  <si>
    <t>EV / 
Sales
FY21</t>
  </si>
  <si>
    <t>EV / 
Sales
FY22</t>
  </si>
  <si>
    <t>EV / EBITDA
FY19</t>
  </si>
  <si>
    <t>EV / EBITDA
FY20</t>
  </si>
  <si>
    <t>EV / EBITDA
FY21</t>
  </si>
  <si>
    <t>EV / EBITDA
FY22</t>
  </si>
  <si>
    <t>EV / 
EBIT
FY19</t>
  </si>
  <si>
    <t>EV / 
EBIT
FY20</t>
  </si>
  <si>
    <t>EV / 
EBIT
FY21</t>
  </si>
  <si>
    <t>EV / 
EBIT
FY22</t>
  </si>
  <si>
    <t>WACC - Size premium (Deloitte methodology)</t>
  </si>
  <si>
    <t>Decile</t>
  </si>
  <si>
    <t>Market capitalisation of smallest company (in $m)</t>
  </si>
  <si>
    <t>Market capitalisation of largest company (in $m)</t>
  </si>
  <si>
    <t>Size premium (return in excess of CAPM)</t>
  </si>
  <si>
    <t>3-5 average</t>
  </si>
  <si>
    <t>3-5</t>
  </si>
  <si>
    <t>Mid-Cap</t>
  </si>
  <si>
    <t>6-8 average</t>
  </si>
  <si>
    <t>6-8</t>
  </si>
  <si>
    <t>Low-Cap</t>
  </si>
  <si>
    <t>9-10 average</t>
  </si>
  <si>
    <t>9-10</t>
  </si>
  <si>
    <t>Micro-Cap</t>
  </si>
  <si>
    <t>Breakdown of deciles</t>
  </si>
  <si>
    <t>1 decile</t>
  </si>
  <si>
    <t>Largest</t>
  </si>
  <si>
    <t>2 decile</t>
  </si>
  <si>
    <t>3 decile</t>
  </si>
  <si>
    <t>4 decile</t>
  </si>
  <si>
    <t>5 decile</t>
  </si>
  <si>
    <t>6 decile</t>
  </si>
  <si>
    <t>7 decile</t>
  </si>
  <si>
    <t>8 decile</t>
  </si>
  <si>
    <t>9 decile</t>
  </si>
  <si>
    <t>10 decile</t>
  </si>
  <si>
    <t>Smallest</t>
  </si>
  <si>
    <t>Breakdown of 10th decile</t>
  </si>
  <si>
    <t>10a sub-decile</t>
  </si>
  <si>
    <t>10a</t>
  </si>
  <si>
    <t>10b sub-decile</t>
  </si>
  <si>
    <t>10b</t>
  </si>
  <si>
    <t>Source: Deloitte size premium methodology</t>
  </si>
  <si>
    <t>DO NOT DELETE</t>
  </si>
  <si>
    <t>Date updated:</t>
  </si>
  <si>
    <t>YouTube Video explaining estimation choices and process.</t>
  </si>
  <si>
    <t>Created by:</t>
  </si>
  <si>
    <t>Aswath Damodaran, adamodar@stern.nyu.edu</t>
  </si>
  <si>
    <t>What is this data?</t>
  </si>
  <si>
    <t>Beta, Unlevered beta and other risk measures</t>
  </si>
  <si>
    <t>Western Europe</t>
  </si>
  <si>
    <t>Home Page:</t>
  </si>
  <si>
    <t>http://www.damodaran.com</t>
  </si>
  <si>
    <t>Data website:</t>
  </si>
  <si>
    <t>Companies in each industry:</t>
  </si>
  <si>
    <t>Variable definitions:</t>
  </si>
  <si>
    <t>Do you want to use marginal or effective tax rates in unlevering betas?</t>
  </si>
  <si>
    <t>Marginal</t>
  </si>
  <si>
    <t>If marginal tax rate, enter the marginal tax rate to use</t>
  </si>
  <si>
    <t>Beta over time</t>
  </si>
  <si>
    <t>Industry Name</t>
  </si>
  <si>
    <t>Number of firms</t>
  </si>
  <si>
    <t xml:space="preserve">Beta </t>
  </si>
  <si>
    <t>D/E Ratio</t>
  </si>
  <si>
    <t>Effective Tax rate</t>
  </si>
  <si>
    <t>Unlevered beta</t>
  </si>
  <si>
    <t>Cash/Firm value</t>
  </si>
  <si>
    <t>Unlevered beta corrected for cash</t>
  </si>
  <si>
    <t>HiLo Risk</t>
  </si>
  <si>
    <t>Standard deviation of equity</t>
  </si>
  <si>
    <t>Standard deviation in operating income (last 10 years)</t>
  </si>
  <si>
    <t>Advertising</t>
  </si>
  <si>
    <t>Aerospace/Defense</t>
  </si>
  <si>
    <t>Air Transport</t>
  </si>
  <si>
    <t>Apparel</t>
  </si>
  <si>
    <t>Auto &amp; Truck</t>
  </si>
  <si>
    <t>Auto Parts</t>
  </si>
  <si>
    <t>Bank (Money Center)</t>
  </si>
  <si>
    <t>Banks (Regional)</t>
  </si>
  <si>
    <t>NA</t>
  </si>
  <si>
    <t>Beverage (Alcoholic)</t>
  </si>
  <si>
    <t>Beverage (Soft)</t>
  </si>
  <si>
    <t>Broadcasting</t>
  </si>
  <si>
    <t>Brokerage &amp; Investment Banking</t>
  </si>
  <si>
    <t>Building Materials</t>
  </si>
  <si>
    <t>Business &amp; Consumer Services</t>
  </si>
  <si>
    <t>Cable TV</t>
  </si>
  <si>
    <t>Chemical (Basic)</t>
  </si>
  <si>
    <t>Chemical (Diversified)</t>
  </si>
  <si>
    <t>Chemical (Specialty)</t>
  </si>
  <si>
    <t>Coal &amp; Related Energy</t>
  </si>
  <si>
    <t>Computer Services</t>
  </si>
  <si>
    <t>Computers/Peripherals</t>
  </si>
  <si>
    <t>Construction Supplies</t>
  </si>
  <si>
    <t>Diversified</t>
  </si>
  <si>
    <t>Drugs (Biotechnology)</t>
  </si>
  <si>
    <t>Drugs (Pharmaceutical)</t>
  </si>
  <si>
    <t>Education</t>
  </si>
  <si>
    <t>Electrical Equipment</t>
  </si>
  <si>
    <t>Electronics (Consumer &amp; Office)</t>
  </si>
  <si>
    <t>Electronics (General)</t>
  </si>
  <si>
    <t>Engineering/Construction</t>
  </si>
  <si>
    <t>Entertainment</t>
  </si>
  <si>
    <t>Environmental &amp; Waste Services</t>
  </si>
  <si>
    <t>Farming/Agriculture</t>
  </si>
  <si>
    <t>Financial Svcs. (Non-bank &amp; Insurance)</t>
  </si>
  <si>
    <t>Food Processing</t>
  </si>
  <si>
    <t>Food Wholesalers</t>
  </si>
  <si>
    <t>Furn/Home Furnishings</t>
  </si>
  <si>
    <t>Green &amp; Renewable Energy</t>
  </si>
  <si>
    <t>Healthcare Products</t>
  </si>
  <si>
    <t>Healthcare Support Services</t>
  </si>
  <si>
    <t>Heathcare Information and Technology</t>
  </si>
  <si>
    <t>Homebuilding</t>
  </si>
  <si>
    <t>Hospitals/Healthcare Facilities</t>
  </si>
  <si>
    <t>Hotel/Gaming</t>
  </si>
  <si>
    <t>Household Products</t>
  </si>
  <si>
    <t>Information Services</t>
  </si>
  <si>
    <t>Insurance (General)</t>
  </si>
  <si>
    <t>Insurance (Life)</t>
  </si>
  <si>
    <t>Insurance (Prop/Cas.)</t>
  </si>
  <si>
    <t>Investments &amp; Asset Management</t>
  </si>
  <si>
    <t>Machinery</t>
  </si>
  <si>
    <t>Metals &amp; Mining</t>
  </si>
  <si>
    <t>Office Equipment &amp; Services</t>
  </si>
  <si>
    <t>Oil/Gas (Integrated)</t>
  </si>
  <si>
    <t>Oil/Gas (Production and Exploration)</t>
  </si>
  <si>
    <t>Oil/Gas Distribution</t>
  </si>
  <si>
    <t>Oilfield Svcs/Equip.</t>
  </si>
  <si>
    <t>Packaging &amp; Container</t>
  </si>
  <si>
    <t>Paper/Forest Products</t>
  </si>
  <si>
    <t>Power</t>
  </si>
  <si>
    <t>Precious Metals</t>
  </si>
  <si>
    <t>Publishing &amp; Newspapers</t>
  </si>
  <si>
    <t>R.E.I.T.</t>
  </si>
  <si>
    <t>Real Estate (Development)</t>
  </si>
  <si>
    <t>Real Estate (General/Diversified)</t>
  </si>
  <si>
    <t>Real Estate (Operations &amp; Services)</t>
  </si>
  <si>
    <t>Recreation</t>
  </si>
  <si>
    <t>Reinsurance</t>
  </si>
  <si>
    <t>Restaurant/Dining</t>
  </si>
  <si>
    <t>Retail (Automotive)</t>
  </si>
  <si>
    <t>Retail (Building Supply)</t>
  </si>
  <si>
    <t>Retail (Distributors)</t>
  </si>
  <si>
    <t>Retail (General)</t>
  </si>
  <si>
    <t>Retail (Grocery and Food)</t>
  </si>
  <si>
    <t>Retail (Special Lines)</t>
  </si>
  <si>
    <t>Rubber&amp; Tires</t>
  </si>
  <si>
    <t>Semiconductor</t>
  </si>
  <si>
    <t>Semiconductor Equip</t>
  </si>
  <si>
    <t>Shipbuilding &amp; Marine</t>
  </si>
  <si>
    <t>Shoe</t>
  </si>
  <si>
    <t>Software (Entertainment)</t>
  </si>
  <si>
    <t>Software (Internet)</t>
  </si>
  <si>
    <t>Software (System &amp; Application)</t>
  </si>
  <si>
    <t>Steel</t>
  </si>
  <si>
    <t>Telecom (Wireless)</t>
  </si>
  <si>
    <t>Telecom. Equipment</t>
  </si>
  <si>
    <t>Telecom. Services</t>
  </si>
  <si>
    <t>Tobacco</t>
  </si>
  <si>
    <t>Transportation</t>
  </si>
  <si>
    <t>Transportation (Railroads)</t>
  </si>
  <si>
    <t>Trucking</t>
  </si>
  <si>
    <t>Utility (General)</t>
  </si>
  <si>
    <t>Utility (Water)</t>
  </si>
  <si>
    <t>Total Market</t>
  </si>
  <si>
    <t>Total Market (without financials)</t>
  </si>
  <si>
    <t>NFD @ Val. Date</t>
  </si>
  <si>
    <t>Sales FY22</t>
  </si>
  <si>
    <t>EBITDA FY22</t>
  </si>
  <si>
    <t>EBIT FY20</t>
  </si>
  <si>
    <t>EBIT FY21</t>
  </si>
  <si>
    <t>LRM - Info request</t>
  </si>
  <si>
    <t>ref.</t>
  </si>
  <si>
    <t>topic</t>
  </si>
  <si>
    <t>vraag</t>
  </si>
  <si>
    <t>antwoord</t>
  </si>
  <si>
    <t>LRM - Implied EV multiple</t>
  </si>
  <si>
    <t xml:space="preserve"> </t>
  </si>
  <si>
    <t>BALANS</t>
  </si>
  <si>
    <t>Aantal maanden</t>
  </si>
  <si>
    <t xml:space="preserve"> 1. BALANS NA WINSTVERDELING                </t>
  </si>
  <si>
    <t xml:space="preserve">                                            </t>
  </si>
  <si>
    <t xml:space="preserve">      VASTE ACTIVA                    20/28</t>
  </si>
  <si>
    <t xml:space="preserve">  I.OPRICHTINGSKOSTEN                    20</t>
  </si>
  <si>
    <t xml:space="preserve">  II.IMMATERIELE VASTE ACTIVA            21</t>
  </si>
  <si>
    <t xml:space="preserve"> III.MATERIELE VASTE ACTIVA           22/27</t>
  </si>
  <si>
    <t xml:space="preserve">   A.Terreinen en gebouwen               22</t>
  </si>
  <si>
    <t xml:space="preserve">   B.Installaties, machines en uitrust.  23</t>
  </si>
  <si>
    <t xml:space="preserve">   C.Meubilair en rollend mat.           24</t>
  </si>
  <si>
    <t xml:space="preserve">   D.Leasing en soortgelijke rechten     25</t>
  </si>
  <si>
    <t xml:space="preserve">   E.Overige materiele vaste activa      26</t>
  </si>
  <si>
    <t xml:space="preserve">   F.Activa in aanbouw en vooruitbetal.  27</t>
  </si>
  <si>
    <t xml:space="preserve">  IV.FINANCIELE VASTE ACTIVA             28</t>
  </si>
  <si>
    <t xml:space="preserve">   A.Verbonden ondernemingen          280/1</t>
  </si>
  <si>
    <t xml:space="preserve">     1.Deelnemingen                     280</t>
  </si>
  <si>
    <t xml:space="preserve">     2.Vorderingen                      281</t>
  </si>
  <si>
    <t xml:space="preserve">   B.Ondernemingen waarmee een deelne-      </t>
  </si>
  <si>
    <t xml:space="preserve">     mingsverhouding bestaat          282/3</t>
  </si>
  <si>
    <t xml:space="preserve">     1.Deelnemingen                     282</t>
  </si>
  <si>
    <t xml:space="preserve">     2.Vorderingen                      283</t>
  </si>
  <si>
    <t xml:space="preserve">   C.Andere financiele vaste activa   284/8</t>
  </si>
  <si>
    <t xml:space="preserve">     1.Aandelen                         284</t>
  </si>
  <si>
    <t xml:space="preserve">     2.Vorder. &amp; borgtochten in cont. 285/8</t>
  </si>
  <si>
    <t xml:space="preserve">       VLOTTENDE ACTIVA               29/58</t>
  </si>
  <si>
    <t xml:space="preserve">   V.VORDERINGEN OP MEER DAN EEN JAAR    29</t>
  </si>
  <si>
    <t xml:space="preserve">   A.Handelsvorderingen                 290</t>
  </si>
  <si>
    <t xml:space="preserve">   B.Overige vorderingen                291</t>
  </si>
  <si>
    <t xml:space="preserve">  VI.VOORRADEN EN BESTELL.IN UITV.        3</t>
  </si>
  <si>
    <t xml:space="preserve">   A.Voorraden                        30/36</t>
  </si>
  <si>
    <t xml:space="preserve">     1.Grond- en hulpstoffen          30/31</t>
  </si>
  <si>
    <t xml:space="preserve">     2.Goederen in bewerking             32</t>
  </si>
  <si>
    <t xml:space="preserve">     3.Gereed produkt                    33</t>
  </si>
  <si>
    <t xml:space="preserve">     4.Handelsgoederen                   34</t>
  </si>
  <si>
    <t xml:space="preserve">     5.Onroer. goed. bestemd vr. verkoop 35</t>
  </si>
  <si>
    <t xml:space="preserve">     6.Vooruitbetalingen                 36</t>
  </si>
  <si>
    <t xml:space="preserve">   B.Bestellingen in uitvoering          37</t>
  </si>
  <si>
    <t>VII.VORDERINGEN OP TEN HOOGSTE 1 JAAR 40/41</t>
  </si>
  <si>
    <t xml:space="preserve">   A.Handelsvorderingen                  40</t>
  </si>
  <si>
    <t xml:space="preserve">   B.Overige vorderingen                 41</t>
  </si>
  <si>
    <t>VIII.GELDBELEGGINGEN                  50/53</t>
  </si>
  <si>
    <t xml:space="preserve">   A.Eigen aandelen                      50</t>
  </si>
  <si>
    <t xml:space="preserve">   B.Overige beleggingen              51/53</t>
  </si>
  <si>
    <t xml:space="preserve">  IX.LIQUIDE MIDDELEN                 54/58</t>
  </si>
  <si>
    <t xml:space="preserve">   X.OVERLOPENDE REKENINGEN           490/1</t>
  </si>
  <si>
    <t xml:space="preserve">                   TOTAAL DER ACTIVA  20/58</t>
  </si>
  <si>
    <t xml:space="preserve">============ PASSIVA ================ CODES </t>
  </si>
  <si>
    <t xml:space="preserve">       EIGEN VERMOGEN                 10/15</t>
  </si>
  <si>
    <t xml:space="preserve">   I.KAPITAAL                            10</t>
  </si>
  <si>
    <t xml:space="preserve">   A.Geplaatst kapitaal                 100</t>
  </si>
  <si>
    <t xml:space="preserve">   B.Niet opgevraagd kapitaal  (-)      101</t>
  </si>
  <si>
    <t xml:space="preserve">  II.UITGIFTEPREMIES                     11</t>
  </si>
  <si>
    <t xml:space="preserve"> III.HERWAARDERINGSMEERWAARDEN           12</t>
  </si>
  <si>
    <t xml:space="preserve">  IV.RESERVES                            13</t>
  </si>
  <si>
    <t xml:space="preserve">   A.Wettelijke reserve                 130</t>
  </si>
  <si>
    <t xml:space="preserve">   B.Onbeschikbare reserves             131</t>
  </si>
  <si>
    <t xml:space="preserve">   C.Belastingvrije reserves            132</t>
  </si>
  <si>
    <t xml:space="preserve">   D.Beschikbare reserves               133</t>
  </si>
  <si>
    <t xml:space="preserve">   V.OVERGEDRAGEN WINST                 140</t>
  </si>
  <si>
    <t xml:space="preserve">     OVERGEDRAGEN VERLIES  (-)          141</t>
  </si>
  <si>
    <t xml:space="preserve">  VI.KAPITAALSUBSIDIES                   15</t>
  </si>
  <si>
    <t xml:space="preserve">     VOORZIENINGEN EN UITGESTELDE BELAST.16</t>
  </si>
  <si>
    <t xml:space="preserve"> VII.A.VOORZIEN. V RISICO'S &amp; KOSTEN  160/5</t>
  </si>
  <si>
    <t xml:space="preserve"> 1.Pensioen. &amp; soortgel. verplichting   160</t>
  </si>
  <si>
    <t xml:space="preserve"> 2.Belastingen                          161</t>
  </si>
  <si>
    <t xml:space="preserve"> 3.Grote herstel- en onderhoudswerken   162</t>
  </si>
  <si>
    <t xml:space="preserve"> 4.Overige risico's &amp; kosten 163/9 ou 163/5</t>
  </si>
  <si>
    <t xml:space="preserve">     B.UITGESTELDE BELASTINGEN          168</t>
  </si>
  <si>
    <t xml:space="preserve">      SCHULDEN                        17/49</t>
  </si>
  <si>
    <t>VIII.SCHULDEN OP MEER DAN EEN JAAR       17</t>
  </si>
  <si>
    <t xml:space="preserve">   A.Financiele schulden              170/4</t>
  </si>
  <si>
    <t xml:space="preserve">     1.Achtergestelde leningen         170</t>
  </si>
  <si>
    <t xml:space="preserve">     2.Niet achtergestelde obl. leningen   171</t>
  </si>
  <si>
    <t xml:space="preserve">     3.Leasingschulden                     172</t>
  </si>
  <si>
    <t xml:space="preserve">     4.Kredietinstellingen         173</t>
  </si>
  <si>
    <t xml:space="preserve">     5.Overige leningen               174</t>
  </si>
  <si>
    <t xml:space="preserve">   B.Handelsschulden                    175</t>
  </si>
  <si>
    <t xml:space="preserve">     1.Leveranciers                    1750</t>
  </si>
  <si>
    <t xml:space="preserve">     2.Te betalen wissels              1751</t>
  </si>
  <si>
    <t xml:space="preserve">   C.Ontvangen vooruitbetal. op bestel. 176</t>
  </si>
  <si>
    <t xml:space="preserve">   D.Overige schulden                 178/9</t>
  </si>
  <si>
    <t xml:space="preserve">  IX.SCHULDEN OP TEN HOOGSTE EEN JAAR 42/48</t>
  </si>
  <si>
    <t xml:space="preserve">   A.Schuld + 1 jr,vervallen - 1 jr      42</t>
  </si>
  <si>
    <t xml:space="preserve">   B.Financiele schulden                 43</t>
  </si>
  <si>
    <t xml:space="preserve">     1.Kredietinstellingen            430/8</t>
  </si>
  <si>
    <t xml:space="preserve">     2.Overige leningen                 439</t>
  </si>
  <si>
    <t xml:space="preserve">   C.Handelsschulden                     44</t>
  </si>
  <si>
    <t xml:space="preserve">     1.Leveranciers                   440/4</t>
  </si>
  <si>
    <t xml:space="preserve">     2.Te betalen wissels               441</t>
  </si>
  <si>
    <t xml:space="preserve">   D.Ontvangen vooruitbetal. op bestell. 46</t>
  </si>
  <si>
    <t xml:space="preserve">   E.Schuld belasting, bezold, soc. last 45</t>
  </si>
  <si>
    <t xml:space="preserve">     1.Belastingen                    450/3</t>
  </si>
  <si>
    <t xml:space="preserve">     2.Bezoldigingen &amp; sociale lasten 454/9</t>
  </si>
  <si>
    <t xml:space="preserve">   F.Overige schulden                 47/48</t>
  </si>
  <si>
    <t xml:space="preserve">   X.OVERLOPENDE REKENINGEN           492/3</t>
  </si>
  <si>
    <t xml:space="preserve">                  TOTAAL DER PASSIVA  10/49</t>
  </si>
  <si>
    <t>Controle : verschil op balans</t>
  </si>
  <si>
    <t xml:space="preserve">   2.RESULTATENREKENING                     </t>
  </si>
  <si>
    <t xml:space="preserve">     Bruto exploitatie marge  (+)     70/61</t>
  </si>
  <si>
    <t xml:space="preserve">   I.BEDRIJFSOPBRENGSTEN              70/74</t>
  </si>
  <si>
    <t xml:space="preserve">   A.Omzet                               70</t>
  </si>
  <si>
    <t xml:space="preserve">   B.Voorraadwijzigingen (+) (-)    71   </t>
  </si>
  <si>
    <t xml:space="preserve">   C.Geproduceerde vaste activa          72</t>
  </si>
  <si>
    <t xml:space="preserve">   D.Andere bedrijfsopbrengsten          74</t>
  </si>
  <si>
    <t xml:space="preserve">  II.BEDRIJFSKOSTEN                   60/64</t>
  </si>
  <si>
    <t xml:space="preserve">   A/B.Handelsgoederen,grond-&amp; hulpst.      </t>
  </si>
  <si>
    <t xml:space="preserve">       diensten en diverse goederen   60/61</t>
  </si>
  <si>
    <t xml:space="preserve">   A.Handelsg.,grond &amp; hulpst.           60</t>
  </si>
  <si>
    <t xml:space="preserve">     Inkopen                           6008</t>
  </si>
  <si>
    <t xml:space="preserve">     Wijziging in de voorraad  (+)(-)   609</t>
  </si>
  <si>
    <t xml:space="preserve">   B.Diensten en diverse goed.           61</t>
  </si>
  <si>
    <t xml:space="preserve">   C.Bezoldig., soc. lasten en pensioen. 62</t>
  </si>
  <si>
    <t xml:space="preserve">   D.Afschrijvingen en waardevermi.     630      </t>
  </si>
  <si>
    <t xml:space="preserve">   E.Waardevermind. op voorraden, b.i.u.    631/4    </t>
  </si>
  <si>
    <t xml:space="preserve">   F.Voorz.vr risico's en kosten      635/7</t>
  </si>
  <si>
    <t xml:space="preserve">   G.Andere bedrijfskosten            640/8</t>
  </si>
  <si>
    <t xml:space="preserve">   H.Geactiveerde bedrijfskosten    (-)   649   </t>
  </si>
  <si>
    <t xml:space="preserve"> III.BEDRIJFSRESULTAAT+(-)          70/64</t>
  </si>
  <si>
    <t xml:space="preserve">  IV.FINANCIELE OPBRENGSTEN              75</t>
  </si>
  <si>
    <t xml:space="preserve">   A.Opbrengsten uit fin. vaste activa  750</t>
  </si>
  <si>
    <t xml:space="preserve">   B.Opbrengsten uit vlottende activa   751</t>
  </si>
  <si>
    <t xml:space="preserve">   C.Andere financiele opbrengsten    752/9</t>
  </si>
  <si>
    <t xml:space="preserve">   V.FINANCIELE KOSTEN  (-)              65</t>
  </si>
  <si>
    <t xml:space="preserve">   A.Kosten van schulden                650</t>
  </si>
  <si>
    <t xml:space="preserve">   B.Waardeverminderingen op vlottende act.   </t>
  </si>
  <si>
    <t xml:space="preserve">   C.Andere financiele kosten         652/9</t>
  </si>
  <si>
    <t xml:space="preserve">  VI.COURANT RESULTAAT  VR. BELAST.  (+)  70/65</t>
  </si>
  <si>
    <t xml:space="preserve"> VII.UITZONDERLIJKE OPBRENGSTEN          76</t>
  </si>
  <si>
    <t xml:space="preserve">   A.Terugnem. afschr.en waardevermind. (im)mat.v.a.  760  </t>
  </si>
  <si>
    <t xml:space="preserve">   B.Terugneming waardeverm.op fin.v.a. 761         </t>
  </si>
  <si>
    <t xml:space="preserve">   C.Terugnem. voorz.vr uitz. kosten    762         </t>
  </si>
  <si>
    <t xml:space="preserve">   D.Meerwaarde bij realis. vaste act.  763</t>
  </si>
  <si>
    <t xml:space="preserve">   E.And. uitzonderlijke opbrengsten  764/9</t>
  </si>
  <si>
    <t>VIII.UITZONDERLIJKE KOSTEN  (-)          66</t>
  </si>
  <si>
    <t xml:space="preserve">  A.Uitz. afschrijvingen                660</t>
  </si>
  <si>
    <t xml:space="preserve">  B.Waardeverminder. op fin. vaste act. 661</t>
  </si>
  <si>
    <t xml:space="preserve">  C.Voorz. vr uitz. risico's en kosten  662</t>
  </si>
  <si>
    <t xml:space="preserve">  D.Minderw. bij realisatie vaste act.  663</t>
  </si>
  <si>
    <t xml:space="preserve">  E.Andere uitzonderlijke kosten      664/8</t>
  </si>
  <si>
    <t xml:space="preserve">  F.Geactiveerde uitzonderlijke kosten  (-)  669  </t>
  </si>
  <si>
    <t>IX.RESULTAAT VH BOEKJR VOOR BELASTING (+) 70/66</t>
  </si>
  <si>
    <t xml:space="preserve"> IX.bis.A.Onttrek. a/d uitg.belast. (+) 780</t>
  </si>
  <si>
    <t xml:space="preserve">        B.Overboek. n/d uitg.belast.(-) 680</t>
  </si>
  <si>
    <t>X.BELASTINGEN OP HET RESULTAAT (-)(+) 67/77</t>
  </si>
  <si>
    <t xml:space="preserve">   A.Belastingen  (-)                 670/3</t>
  </si>
  <si>
    <t xml:space="preserve">   B.Regulariser. vn belast. &amp; terugne-     </t>
  </si>
  <si>
    <t xml:space="preserve">     mingen vn voorziening. voor belast. 77</t>
  </si>
  <si>
    <t xml:space="preserve"> XI.RESULTAAT VAN HET BOEKJAAR  (+)       70/67</t>
  </si>
  <si>
    <t xml:space="preserve"> XII. BELASTINGVRIJE RESERVES</t>
  </si>
  <si>
    <t xml:space="preserve">A..ONTTREKKING AAN DE RESERVES (+) 789         </t>
  </si>
  <si>
    <t>B. OVERBOEKING NAAR DE RESERVES (-) 689</t>
  </si>
  <si>
    <t xml:space="preserve">     RESULTAATVERWERKING                    </t>
  </si>
  <si>
    <t>A.TE BESTEMMEN WINST/VERLIES SALDO             70/69</t>
  </si>
  <si>
    <t xml:space="preserve">  1.Te bestemmen resultaat van het boekjr 70/68</t>
  </si>
  <si>
    <t xml:space="preserve">  2.Overgedragen resultaat  vh vor. boekjr   790/690</t>
  </si>
  <si>
    <t>B.ONTTREKKING AAN DE EIGEN MIDDELEN   791/2</t>
  </si>
  <si>
    <t xml:space="preserve">  1.aan kapitaal &amp; aan uitgiftepremies (+)  791</t>
  </si>
  <si>
    <t xml:space="preserve">  2.aan de reserves  (+)                   792</t>
  </si>
  <si>
    <t xml:space="preserve">C.TOEVOEGING AAN HET EIGEN VERMOGEN   691/2   (-) </t>
  </si>
  <si>
    <t xml:space="preserve">  1. aan kapitaal en uitgiftepremies (-)   691</t>
  </si>
  <si>
    <t xml:space="preserve">  2. aan de wettelijke reserve (-)        6920</t>
  </si>
  <si>
    <t xml:space="preserve">  3. aan de overige reserves (-)          6921</t>
  </si>
  <si>
    <t xml:space="preserve">D.OVER TE DRAGEN RESULTAAT                  </t>
  </si>
  <si>
    <t xml:space="preserve">  1.Over te dragen winst  (-)           693</t>
  </si>
  <si>
    <t xml:space="preserve">  2.Over te dragen verlies  (+)            793</t>
  </si>
  <si>
    <t>E.TUSSENKOMST VENNOTEN IN VERLIES (+)  794</t>
  </si>
  <si>
    <t>F.UIT TE KEREN WINST               694/6</t>
  </si>
  <si>
    <t xml:space="preserve">  1.Vergoeding vh kapitaal (-)             694</t>
  </si>
  <si>
    <t xml:space="preserve">  2.Bestuurders of zaakvoerders (-)        695</t>
  </si>
  <si>
    <t xml:space="preserve">  3.Andere rechthebbenden (-)              696</t>
  </si>
  <si>
    <t>Controle : verschil op totaal resultaatverwerking</t>
  </si>
  <si>
    <t>Controle : verschil resultaat met balans</t>
  </si>
  <si>
    <t>TOELICHTING</t>
  </si>
  <si>
    <t>MUTATIE VASTE ACTIVA  (VOL 6)</t>
  </si>
  <si>
    <t>Netto boekwaarde einde vorig boekjaar</t>
  </si>
  <si>
    <t>* Beweging oprichtingskosten (+ -)</t>
  </si>
  <si>
    <t>* Aanschaffingen immateriële vaste activa (+)</t>
  </si>
  <si>
    <t>* Aanschaffingen materiële vaste activa (+)</t>
  </si>
  <si>
    <t>* Buitengebruikstellingen immat. + materiële v.a. (-)</t>
  </si>
  <si>
    <t>Afschrijvingen en waardeverminderingen (-)</t>
  </si>
  <si>
    <t>Terugname van afschrijvingen (+)</t>
  </si>
  <si>
    <t>* Afgeboekte afschrijvingen, waardeverminderingen (+)</t>
  </si>
  <si>
    <t>Beweging financiële vaste activa (+ -)</t>
  </si>
  <si>
    <t>NETTO BOEKWAARDE EINDE BOEKJAAR  (SUM)</t>
  </si>
  <si>
    <t>Controle : Vaste activa volgens balans</t>
  </si>
  <si>
    <t>Aanschaffingen  = incl. boekwaarde activa verworven van derden</t>
  </si>
  <si>
    <t>RESULTATENREKENINGEN (VOL 15 &amp; 16)</t>
  </si>
  <si>
    <t>Andere Bedrijfsopbrengsten (post 74)</t>
  </si>
  <si>
    <t>* Exploitatiesubsidies   (740)</t>
  </si>
  <si>
    <t>Subsidies aangerekend op het resultaat (post 752/9)</t>
  </si>
  <si>
    <t>* Kapitaalsubsidies   (9125)</t>
  </si>
  <si>
    <t>* Rentesubsidies   (9126)</t>
  </si>
  <si>
    <t>Diverse financiële voordelen (sociale balans)</t>
  </si>
  <si>
    <t>* maatregelen ten gunste van de werkgelegenheid (403/412)</t>
  </si>
  <si>
    <t>Kosten van schulden (post 650)</t>
  </si>
  <si>
    <t>* Afschrijving kosten bij uitgifte leningen/disagio (6501)</t>
  </si>
  <si>
    <t>Andere financiële kosten (post 652/9)</t>
  </si>
  <si>
    <t>* Diskontokosten bij verhandeling vorderingen   (653)</t>
  </si>
  <si>
    <t>BELASTING OVER TOEGEVOEGDE WAARDE  (VOL 17)</t>
  </si>
  <si>
    <t>* Aan de onderneming (aftrekbaar)   (9145)</t>
  </si>
  <si>
    <t>* Door de onderneming   (9146)</t>
  </si>
  <si>
    <t>AANTAL WERKNEMERS  (VOL 15)</t>
  </si>
  <si>
    <t>Gemiddeld aantal berekend in voltijdse equivalenten :</t>
  </si>
  <si>
    <t>* ingeschreven personeel (9087)</t>
  </si>
  <si>
    <t>* uitzendkrachten/ter beschikking gesteld (9097)</t>
  </si>
  <si>
    <t>Totaal</t>
  </si>
  <si>
    <t>Kosten extern personeel voor de onderneming (617)</t>
  </si>
  <si>
    <t>VERMOGENSTROMENANALYSE</t>
  </si>
  <si>
    <t>AUTOFINANCIERING (CASHFLOW)</t>
  </si>
  <si>
    <t xml:space="preserve"> Resultaat van het boekjaar</t>
  </si>
  <si>
    <t xml:space="preserve"> Afschrijvingen en waardeverminderingen op vaste activa</t>
  </si>
  <si>
    <t xml:space="preserve"> Voorzieningen voor risico's en kosten &gt; 1 jaar</t>
  </si>
  <si>
    <t xml:space="preserve"> Afschrijvingen kosten bij uitgifte leningen en disagio</t>
  </si>
  <si>
    <t xml:space="preserve"> Aanrekening van de ontvangen kapitaalsubsidies   (-)</t>
  </si>
  <si>
    <t xml:space="preserve"> Overboeking (+) / onttrekking (-) uitgestelde belastingen</t>
  </si>
  <si>
    <t xml:space="preserve"> TOTALE (Boekhoudkundige) CASHFLOW</t>
  </si>
  <si>
    <t>- Uitgekeerde winst van het boekjaar</t>
  </si>
  <si>
    <t xml:space="preserve"> AUTOFINANCIERING </t>
  </si>
  <si>
    <t>NETTO BEDRIJFSKAPITAAL</t>
  </si>
  <si>
    <t>Voorraden</t>
  </si>
  <si>
    <t>Handelsvorderingen &lt; 1 jaar</t>
  </si>
  <si>
    <t>Overige vorderingen &lt; 1 jaar</t>
  </si>
  <si>
    <t>Handelsschulden &lt; 1 jaar</t>
  </si>
  <si>
    <t>Ontvangen vooruitbetalingen op bestell.</t>
  </si>
  <si>
    <t>Schulden mbt belastingen, bezoldig.</t>
  </si>
  <si>
    <t>Overige schulden &lt; 1 jaar</t>
  </si>
  <si>
    <t>Netto saldo overlopende rekeningen</t>
  </si>
  <si>
    <t>Behoefte aan bedrijfskapitaal</t>
  </si>
  <si>
    <t>Liquide middelen, geldbeleggingen</t>
  </si>
  <si>
    <t>Totaal te Financieren</t>
  </si>
  <si>
    <t>LT schulden &lt; 1 jaar</t>
  </si>
  <si>
    <t>WIJZ. FINANCIERING  BEDRIJFSKAPITAAL</t>
  </si>
  <si>
    <t>Herkomst der middelen</t>
  </si>
  <si>
    <t>Autofinanciering</t>
  </si>
  <si>
    <t>Kapitaalvolstorting</t>
  </si>
  <si>
    <t>* Correctie incorporatie verliezen (+) of  reserves (-)</t>
  </si>
  <si>
    <t xml:space="preserve">* Nieuwe leningen (op LT) </t>
  </si>
  <si>
    <t>Toename overige schulden op LT</t>
  </si>
  <si>
    <t>Ontvangen kapitaalsubsidies (excl afschr.)</t>
  </si>
  <si>
    <t>Uitgestelde belastingen (excl afschr.)</t>
  </si>
  <si>
    <t>Verkopen (im)materiële vaste activa</t>
  </si>
  <si>
    <t>Afname vorderingen op LT</t>
  </si>
  <si>
    <t>Verkopen financiële vaste activa (excl waardevermind.)</t>
  </si>
  <si>
    <t>Besteding der middelen</t>
  </si>
  <si>
    <t>Investeringen (im)materiële vaste activa</t>
  </si>
  <si>
    <t>Investeringen financiële vaste activa (excl waardevermind.)</t>
  </si>
  <si>
    <t>Toename vorderingen op LT</t>
  </si>
  <si>
    <t>Afname schulden op LT</t>
  </si>
  <si>
    <t>EVOLUTIE BEDRIJFSKAPITAAL</t>
  </si>
  <si>
    <t>WIJZ. SAMENSTELLING BEDRIJFSKAPITAAL</t>
  </si>
  <si>
    <t>Toename / (afname) van de voorraad</t>
  </si>
  <si>
    <t>Toename / (afname) van de KT vorderingen</t>
  </si>
  <si>
    <t>(Toename) / afname van de (niet financiële) KT schulden</t>
  </si>
  <si>
    <t>Wijzigingen in de overlopende rekeningen</t>
  </si>
  <si>
    <t>(Toename) / afname van de financiële schulden op KT</t>
  </si>
  <si>
    <t>Beweging van de liquide middelen en geldbeleggingen</t>
  </si>
  <si>
    <t>VERANTWOORDING EVOLUTIE BEDRIJFSKAPITAAL</t>
  </si>
  <si>
    <t>CASH FLOW STATEMENT</t>
  </si>
  <si>
    <t>* Aanslagvoet direkte belastingen (%)</t>
  </si>
  <si>
    <t>CASH-FLOW uit de BEDRIJFSACTIVITEIT</t>
  </si>
  <si>
    <t>Bedrijfsresultaat</t>
  </si>
  <si>
    <t>+ Andere financiële opbrengsten (excl. 9125 en 9126)</t>
  </si>
  <si>
    <t>- Andere financiële kosten (excl. 653)</t>
  </si>
  <si>
    <t>- Belastingen op het operationeel resultaat</t>
  </si>
  <si>
    <t>Operationeel resultaat                                     (OR)</t>
  </si>
  <si>
    <t xml:space="preserve">+ Bedrijfsafschrijvingen </t>
  </si>
  <si>
    <t>+ Bedrijfsvoorzieningen voor risico's en kosten</t>
  </si>
  <si>
    <t>OPERATIONELE CASH-FLOW   (OCF)</t>
  </si>
  <si>
    <t>Wijziging in breed werkkapitaal (excl thesaurie)</t>
  </si>
  <si>
    <t>+ Waardeverminderingen handelsvord. &amp; voorraden</t>
  </si>
  <si>
    <t>Investeringen in opr. ko. &amp; (im)mat. vaste activa</t>
  </si>
  <si>
    <t>Bruto-investeringen                                          (-BI)</t>
  </si>
  <si>
    <t>VRIJE OPERATIONELE CASH-FLOW   (OCF - BI)</t>
  </si>
  <si>
    <t>- Kosten van Schulden (incl. 653)</t>
  </si>
  <si>
    <t>+ Afschrijving kosten bij uitgifte leningen en disagio</t>
  </si>
  <si>
    <t>+ Financiële opbrengsten uit FVA en vlottende activa</t>
  </si>
  <si>
    <t>- Waardeverminderingen op vlottende activa</t>
  </si>
  <si>
    <t>+ Financiële opbrengsten uit Subsidies (enkel 9126)</t>
  </si>
  <si>
    <t>-/+ Belastingen op financieel resultaat</t>
  </si>
  <si>
    <t>Financiële resultaten                                         (FK)</t>
  </si>
  <si>
    <t>VRIJE CASH FLOW NA FINANCIELE RESULTAAT</t>
  </si>
  <si>
    <t>+ Uitzonderlijke kasopbrengsten</t>
  </si>
  <si>
    <t>- Uitzonderlijke kaskosten</t>
  </si>
  <si>
    <t>Correctie belastingen op bedrijfs- en fin. resultaat</t>
  </si>
  <si>
    <t xml:space="preserve">- Reële belastingskosten </t>
  </si>
  <si>
    <t>Niet Operationele Cash Flow                    (NOCF)</t>
  </si>
  <si>
    <t>TOTALE CASH FLOW VOOR FINANCIERING</t>
  </si>
  <si>
    <t>FINANCIELE FLOW</t>
  </si>
  <si>
    <t>(Toename) / afname financiële vaste activa</t>
  </si>
  <si>
    <t>(Toename) / afname vorderingen op LT</t>
  </si>
  <si>
    <t>Toename / (afname) niet-financiële schulden op LT</t>
  </si>
  <si>
    <t>Toename / (afname) financiële schulden LT + deel KT</t>
  </si>
  <si>
    <t>Kapitaalverhoging / (-vermindering)</t>
  </si>
  <si>
    <t xml:space="preserve">- Uitgekeerde dividenden </t>
  </si>
  <si>
    <t>Wijziging kapitaalsubsidies</t>
  </si>
  <si>
    <t>Wijziging uitgestelde belastingen</t>
  </si>
  <si>
    <t>TOTALE FINANCIELE FLOW                        (FCF)</t>
  </si>
  <si>
    <t>SALDO = VRIJE CASHFLOW NA FINANCIERING</t>
  </si>
  <si>
    <t>(TCF + FCF)</t>
  </si>
  <si>
    <t>THESAURIE FLOW (aanwending saldo)</t>
  </si>
  <si>
    <t>Toename / (afname) van de financiële schulden op KT</t>
  </si>
  <si>
    <t>(Toename) / afname liquide middelen &amp; geldbeleggingen</t>
  </si>
  <si>
    <t xml:space="preserve">TOTALE THESAURIE FLOW </t>
  </si>
  <si>
    <t>Controle : vrije cash-flow na financiering = - thesaurie flow</t>
  </si>
  <si>
    <t>Negatief = aanwending van vermogenstroom, kasuitgave, kost, toename in actiefpost, afname in passiefpost</t>
  </si>
  <si>
    <t>Positief = bron van vermogenstroom, kasontvangst, opbrengst, afname in actiefpost, toename in passiefpost</t>
  </si>
  <si>
    <t>RATIO ANALYSE</t>
  </si>
  <si>
    <t>LIQUIDITEIT</t>
  </si>
  <si>
    <t>1.  Liquiditeit in ruime zin  (current ratio)</t>
  </si>
  <si>
    <t>2.  Liquiditeit in enge zin  (acid ratio)</t>
  </si>
  <si>
    <t>3.  Voorraadrotatie aangekochte goederen</t>
  </si>
  <si>
    <t>4.  Voorraadrotatie geproduceerde goederen</t>
  </si>
  <si>
    <t>5.  Dagen klantenkrediet</t>
  </si>
  <si>
    <t>6.  Dagen leverancierskrediet</t>
  </si>
  <si>
    <t>7.  Aangewend werkkapitaal op omzet (%)</t>
  </si>
  <si>
    <t>SOLVABILITEIT</t>
  </si>
  <si>
    <t>8.  Algemene schuldgraad  (%)</t>
  </si>
  <si>
    <t>9.  LT schuldgraad  (D/E ratio)</t>
  </si>
  <si>
    <t>10.  Financiële schuldgraad (%)</t>
  </si>
  <si>
    <t>11. Dekking van LT schulden door cashflow</t>
  </si>
  <si>
    <t>12. Dekking van aflossings/renteverplichtingen</t>
  </si>
  <si>
    <t>RENDABILITEIT</t>
  </si>
  <si>
    <t>13.  Bruto winstmarge (%)</t>
  </si>
  <si>
    <t>14.  Bruto verkoopmarge voor belastingen (%)</t>
  </si>
  <si>
    <t>15.  Netto verkoopmarge voor belastingen (%)</t>
  </si>
  <si>
    <t>16.  Rendabiliteit totaal vermogen (ROA %)</t>
  </si>
  <si>
    <t>17.  Rendabiliteit duurzaam vermogen (ROCE %)</t>
  </si>
  <si>
    <t>18.  Rendabiliteit eigen vermogen (ROE %)</t>
  </si>
  <si>
    <t>ANDERE</t>
  </si>
  <si>
    <t>19.  Rotatie bedrijfsactiva (globale produktiviteit)</t>
  </si>
  <si>
    <t>20.  Rotatie mat. vaste activa (kapitaalintensiteit)</t>
  </si>
  <si>
    <t>21.  Investeringsgraad (%)</t>
  </si>
  <si>
    <t>22.  Subsidiëringsgraad (%)</t>
  </si>
  <si>
    <t>23.  Kapitaalintensiteit per werknemer (x 1.000)</t>
  </si>
  <si>
    <t>24.  Toegevoegde waarde per werknemer (x 1.000)</t>
  </si>
  <si>
    <t>25.  Personeelskost per werknemer (x 1.000)</t>
  </si>
  <si>
    <t>Verklaring Ratio's</t>
  </si>
  <si>
    <t>1.   Liquiditeit in ruime zin : Beperkte vlottende activa / Vreemd vermogen KT = (29/58 - 29)  :  (42/48 + 492/3)</t>
  </si>
  <si>
    <t>2.   Liquiditeit in enge zin : (Vorderingen op KT + Geldbeleggingen + Liquide middelen) / (Schulden op KT - Ontvangen vooruitbetalingen)</t>
  </si>
  <si>
    <t xml:space="preserve">      = (40/41 + 50/53 + 54/58)  :  (42/48 - 46)</t>
  </si>
  <si>
    <t>3.   Voorraadrotatie aangekochte produkten : Kostprijs verkopen / Voorraad = 60  :  (30/31 + 34 + 35 + 36)</t>
  </si>
  <si>
    <t>4.   Voorraadrotatie geproduceerde produkten : Kostprijs verkopen / Voorraad = (60/64 - 71 - 72 - 9125 - 740)  :  (32 + 33 + 37)</t>
  </si>
  <si>
    <t xml:space="preserve">5.   Dagen klantenkrediet : Handelsvorderingen / Verkopen = 365 x (290 + 40)  :  (70 + 74 + 9146) </t>
  </si>
  <si>
    <t>6.   Dagen leverancierskrediet : Handelsschulden / Inkopen = 365 x (175 + 44)  :  (600/8 + 61 + 9145)</t>
  </si>
  <si>
    <t>7.   Aangewend werkkapitaal op omzet : (Voorraden + Handelsvorderingen - Handelsschulden) / Omzet = (3 + 40 - 44) : (70 +71 )</t>
  </si>
  <si>
    <t>8.   Algemene schuldgraad : Vreemd vermogen  / Totaal passief = (16 + 17 + 42/48 + 492/3)  :  10/49</t>
  </si>
  <si>
    <t>9.   LT schuldgraad : Vreemd vermogen LT / Uitgebreid eigen vermogen = (16 + 17 - 170)  :  (10/15 + 170)</t>
  </si>
  <si>
    <t>10. Financiële schuldgraad : (Fin. schulden - liquide middelen - geldbeleggingen) / Totaal passief = (170/4 + 42 + 43 - 51/53 - 54/58) : 10/49</t>
  </si>
  <si>
    <t>11. Dekking van LT schulden door Cashflow : Cashflow / (17 + 16)  (enkel geldig als netto-bedrijfskapitaal &gt; 0)</t>
  </si>
  <si>
    <t>12. Dekking van aflossings/renteverplichtingen : Cashflow / (42 + 650 + 653 - 9126)  excl. impakt der belastingen</t>
  </si>
  <si>
    <t>13. Bruto winstmarge : (Omzet - verbruikte Inkopen) / Omzet = (70 + 71 - 60) : (70 + 71)</t>
  </si>
  <si>
    <t>14. Bruto verkoopmarge : Bedrijfsresultaat voor niet kaskosten / Verkopen = (70/64 + 630 + 631/4 + 635/7)  :  (70 + 74)</t>
  </si>
  <si>
    <t>15. Netto verkoopmarge : Bedrijfsresultaat + Kapitaalsubsidies / Verkopen = (70/64 + 9125)  :  (70 + 74)</t>
  </si>
  <si>
    <t>16. Rendabiliteit totaal vermogen : Netto resulaat voor financ. kosten en voor belast. / Totaal actief = (70/67 - 67/77 + 650 + 653 - 9126)  :  20/49</t>
  </si>
  <si>
    <t>17. Rendabiliteit duurzaam vermogen : Bedrijfsresultaat + Kapitaalsubsidies / Aangewend vermogen = (70/64 + 9125) : (10/15 + 16 + 170/4 + 42 + 43 - 51/53 - 54/58)</t>
  </si>
  <si>
    <t>18. Rendabiliteit eigen vermogen : Netto resultaat na belastingen / Eigen vermogen = 70/67 : 10/15</t>
  </si>
  <si>
    <t>19. Rotatie van de bedrijfsactiva (produktiviteit) : Verkopen / (Totaal actief - financiële activa) = (70 + 74 - 740) : (20/58 - 28 - 29 - 50/53 - 54/58)</t>
  </si>
  <si>
    <t>20. Rotatie van materiële vaste activa (kapitaalintensiteit) : Toegevoegde Waarde / Materiële vaste activa = (70/74 - 60 - 61) : 22/27</t>
  </si>
  <si>
    <t>21. Investeringsgraad : Investeringen in (im)mat. vaste activa (bruto excl. desinvesteringen) / Toegevoegde Waarde (70/74 - 60 - 61)</t>
  </si>
  <si>
    <t>22. Subsidiëringsgraad : Overheidsubsidies / Toegevoegde Waarde = (740 + 9125 + 9126 + 403/412) : (70/74 - 60 - 61)</t>
  </si>
  <si>
    <t>23. Kapitaalintensiteit per personeelslid : Vaste bedrijfsactiva (20 + 21 + 22/27) : (9087 + 9097)</t>
  </si>
  <si>
    <t>24. Toegevoegde waarde per personeelslid : (70/74 - 60 - 61 + 617)  :  (9087 + 9097)</t>
  </si>
  <si>
    <t>25. Arbeidskost per personeelslid : (62 + 617) :  (9087 + 9097)</t>
  </si>
  <si>
    <t>boekjaar : aantal maanden</t>
  </si>
  <si>
    <t>+ Geproduceerde vaste activa</t>
  </si>
  <si>
    <t>+ Andere bedrijfsopbrengsten</t>
  </si>
  <si>
    <t>- Andere bedrijfskosten</t>
  </si>
  <si>
    <t>+ Andere financiële opbrengsten</t>
  </si>
  <si>
    <t>- Andere financiële kosten</t>
  </si>
  <si>
    <t>= Operationele cashflow  (EBITDA)</t>
  </si>
  <si>
    <t>(in % vd bedrijfsopbrengsten)</t>
  </si>
  <si>
    <t>- Afschrijvingen, waardevermind.  en voorz.</t>
  </si>
  <si>
    <t>= Operationeel resultaat  (EBIT)</t>
  </si>
  <si>
    <t>- Kosten van schulden</t>
  </si>
  <si>
    <t>- Waardeverminderingen op vlot. activa</t>
  </si>
  <si>
    <t>+ Opbrengsten uit vlottende activa</t>
  </si>
  <si>
    <t>+ Opbrengsten uit fin. vaste activa</t>
  </si>
  <si>
    <t>= Courant resultaat</t>
  </si>
  <si>
    <t>+/- Uitzonderlijke kasresultaten</t>
  </si>
  <si>
    <t>-/+ Uitz. afschr., waardevermind.  en voorz.</t>
  </si>
  <si>
    <t>= Resultaat voor belasting</t>
  </si>
  <si>
    <t>- Belastingen</t>
  </si>
  <si>
    <t>= Nettoresultaat</t>
  </si>
  <si>
    <t>= Cashflow (boekhoudkundig)</t>
  </si>
  <si>
    <t>RESULTATEN</t>
  </si>
  <si>
    <t>Maanden</t>
  </si>
  <si>
    <t>Brutowinstmarge</t>
  </si>
  <si>
    <t>% tov omzet</t>
  </si>
  <si>
    <t>Ebitda</t>
  </si>
  <si>
    <t>% tov opbrengsten</t>
  </si>
  <si>
    <t>Bedrijfsresultaat (Ebit)</t>
  </si>
  <si>
    <t>Netto Resultaat</t>
  </si>
  <si>
    <t>Cashflow (boekhoudkundig)</t>
  </si>
  <si>
    <t>Omzetgroei</t>
  </si>
  <si>
    <t>Behoefte bedrijfskapitaal</t>
  </si>
  <si>
    <t>Netto financiële schuldpositie (NFD)</t>
  </si>
  <si>
    <t>Geïnvesteerd vermogen (CE)</t>
  </si>
  <si>
    <t>CASH FLOW</t>
  </si>
  <si>
    <t>Operationele CF</t>
  </si>
  <si>
    <t>Netto-Investeringen</t>
  </si>
  <si>
    <t>Wijziging bedrijfskapitaal</t>
  </si>
  <si>
    <t>Vrije operationele cashflow</t>
  </si>
  <si>
    <t>Opname (+) LT leningen</t>
  </si>
  <si>
    <t>Aflossing (-) LT leningen</t>
  </si>
  <si>
    <t>PRESTATIES / SCHULDPOSITIE</t>
  </si>
  <si>
    <t>Rendement EV (ROE)</t>
  </si>
  <si>
    <t>Rendement CE (ROCE)</t>
  </si>
  <si>
    <t>NFD / Ebitda</t>
  </si>
  <si>
    <t>ICR (Ebit/ intrest)</t>
  </si>
  <si>
    <t>DSCR (Ebitda / Intresten + Aflossingen)</t>
  </si>
  <si>
    <t>Netto bedrijfskapitaal</t>
  </si>
  <si>
    <t>Solvabiliteit (corr)</t>
  </si>
  <si>
    <t>BIJZONDERE AANDACHTSPUNTEN</t>
  </si>
  <si>
    <t>Beschikbare Cash</t>
  </si>
  <si>
    <t>Operationele kaskost per maand</t>
  </si>
  <si>
    <t>Personeel</t>
  </si>
  <si>
    <t xml:space="preserve">OVERZICHT  BALANSEN </t>
  </si>
  <si>
    <t>Oprichtingskosten</t>
  </si>
  <si>
    <t xml:space="preserve">  Terreinen en gebouwen</t>
  </si>
  <si>
    <t xml:space="preserve">  Install., machines en uitrusting</t>
  </si>
  <si>
    <t xml:space="preserve">  Overige mat. vaste activa</t>
  </si>
  <si>
    <t xml:space="preserve">  Deelnemingen</t>
  </si>
  <si>
    <t xml:space="preserve">  Andere fin. vaste activa</t>
  </si>
  <si>
    <t>Vaste activa</t>
  </si>
  <si>
    <t>Vorderingen op &gt; 1 jaar</t>
  </si>
  <si>
    <t>Voorraden en werken in uitvoering</t>
  </si>
  <si>
    <t>Vorderingen op &lt; 1 jaar</t>
  </si>
  <si>
    <t xml:space="preserve">  Handelsvorderingen</t>
  </si>
  <si>
    <t xml:space="preserve">  Overige vorderingen </t>
  </si>
  <si>
    <t>Liquiditeiten,  geldbeleggingen</t>
  </si>
  <si>
    <t>Overlopende rekeningen</t>
  </si>
  <si>
    <t>Vlottende activa</t>
  </si>
  <si>
    <t>TOTAAL DER ACTIVA</t>
  </si>
  <si>
    <t>Kapitaal &amp; uitgiftepremies</t>
  </si>
  <si>
    <t>Herwaarderingsmeerwaarden</t>
  </si>
  <si>
    <t>Reserves &amp; overgedragen resultaten</t>
  </si>
  <si>
    <t>Kapitaalsubsidies</t>
  </si>
  <si>
    <t>Voorzieningen &amp; uitgest. belastingen</t>
  </si>
  <si>
    <t>Schulden op &gt; 1 jaar</t>
  </si>
  <si>
    <t xml:space="preserve">  Achtergestelde leningen</t>
  </si>
  <si>
    <t xml:space="preserve">  Financiële schulden</t>
  </si>
  <si>
    <t xml:space="preserve">  Overige schulden</t>
  </si>
  <si>
    <t>Schulden op &lt; 1 jaar</t>
  </si>
  <si>
    <t xml:space="preserve">  Schulden op &gt; 1 jaar, binnen 1 j vervallen</t>
  </si>
  <si>
    <t xml:space="preserve">  Handelsschulden</t>
  </si>
  <si>
    <t xml:space="preserve">  Ontvangen vooruitbetalingen</t>
  </si>
  <si>
    <t xml:space="preserve">  Belast., bezoldig., soc. lasten</t>
  </si>
  <si>
    <t>Schulden</t>
  </si>
  <si>
    <t>TOTAAL DER PASSIVA</t>
  </si>
  <si>
    <t>KERNRATIO'S</t>
  </si>
  <si>
    <t xml:space="preserve">Solvabiliteit </t>
  </si>
  <si>
    <t>Solvabiliteit (bancair)</t>
  </si>
  <si>
    <t>Financiële schuldgraad</t>
  </si>
  <si>
    <t>DSCR (Ebitda / intesten + Aflossingen)</t>
  </si>
  <si>
    <t>EV / Kapitaal</t>
  </si>
  <si>
    <t>Aangewend werkkapitaal op omzet</t>
  </si>
  <si>
    <t>Duurzaam vermogen (CE)</t>
  </si>
  <si>
    <t>Rendement duurzaam vermogen (ROCE)</t>
  </si>
  <si>
    <t>Aantal dagen klantenkrediet</t>
  </si>
  <si>
    <t>Aantal dagen leverancierskrediet</t>
  </si>
  <si>
    <t>Tewerkstelling (FTE's), incl interim</t>
  </si>
  <si>
    <t>BALANSEVENWICHT</t>
  </si>
  <si>
    <t>- netto bedrijfskapitaal</t>
  </si>
  <si>
    <t>- behoefte aan bedrijfskapitaal</t>
  </si>
  <si>
    <t>- netto thesaurie</t>
  </si>
  <si>
    <t>VERMOGENSSTROOMANALYSE</t>
  </si>
  <si>
    <t>Liquide middelen bij aanvang</t>
  </si>
  <si>
    <t>Resultaat na belastingen</t>
  </si>
  <si>
    <t>Afschrijvingen, waardeverminderingen, ..</t>
  </si>
  <si>
    <t>Mutatie behoefte BK (exc. waardevermind voorraden, debit)</t>
  </si>
  <si>
    <t>Netto investeringen</t>
  </si>
  <si>
    <t>Opname nieuwe LT bankfinancieringen</t>
  </si>
  <si>
    <t>Wijziging in LT financieringen</t>
  </si>
  <si>
    <t>Wijziging in korte termijn financiering (incl &lt; 1 jr)</t>
  </si>
  <si>
    <t>Diversen (dividenden, subsidies, uitgestelde bel, LT vorder,..)</t>
  </si>
  <si>
    <t>Liquide middelen bij afsluiting</t>
  </si>
  <si>
    <t>OVERZICHT  RESULTATEN</t>
  </si>
  <si>
    <t>OMZET</t>
  </si>
  <si>
    <t>+ Voorraadwijz gereed product</t>
  </si>
  <si>
    <t>-Aankopen</t>
  </si>
  <si>
    <t>= Bruto winstmarge</t>
  </si>
  <si>
    <t>(in % vd omzet)</t>
  </si>
  <si>
    <t>-Diensten en diverse goederen</t>
  </si>
  <si>
    <t>= Toegevoegde waarde (TW)</t>
  </si>
  <si>
    <t>- Personeelskosten</t>
  </si>
  <si>
    <t>Jaarlijkse GROEI</t>
  </si>
  <si>
    <t>- Omzet</t>
  </si>
  <si>
    <t>- TW</t>
  </si>
  <si>
    <t>- EBITDA</t>
  </si>
  <si>
    <t>- EBIT</t>
  </si>
  <si>
    <t>R&amp;D</t>
  </si>
  <si>
    <t>Marketing</t>
  </si>
  <si>
    <t>Verkoop</t>
  </si>
  <si>
    <t>Overgedragen resultaat</t>
  </si>
  <si>
    <t>Andere operationele opbrengsten</t>
  </si>
  <si>
    <t>CAGR%</t>
  </si>
  <si>
    <t># eenheden</t>
  </si>
  <si>
    <t>Prijs per eenheid</t>
  </si>
  <si>
    <t>Cash inflow bij order</t>
  </si>
  <si>
    <t>Cash inflow na 1 maand</t>
  </si>
  <si>
    <t>Cash inflow na 3 maanden</t>
  </si>
  <si>
    <t>Cash inflow na 2 maanden</t>
  </si>
  <si>
    <t>Cash inflow na 4 maanden</t>
  </si>
  <si>
    <t>Totale cash inflow verkoop</t>
  </si>
  <si>
    <t>Cash inflow na 5 maanden</t>
  </si>
  <si>
    <t>Cash inflow na 6 maanden</t>
  </si>
  <si>
    <t>Gecumuleerd # eenheden</t>
  </si>
  <si>
    <t>€</t>
  </si>
  <si>
    <t>Detail 1</t>
  </si>
  <si>
    <t>Detail 2</t>
  </si>
  <si>
    <t>Detail 3</t>
  </si>
  <si>
    <t>Financiële opbrengsten</t>
  </si>
  <si>
    <t>Financiële kosten</t>
  </si>
  <si>
    <t>Uitzonderlijke opbrengsten</t>
  </si>
  <si>
    <t>Uitzonderlijke kosten</t>
  </si>
  <si>
    <t>Timeline input - P&amp;L</t>
  </si>
  <si>
    <t>Timeline input - BS</t>
  </si>
  <si>
    <t>https://pages.stern.nyu.edu/~adamodar/New_Home_Page/data.html</t>
  </si>
  <si>
    <t>https://pages.stern.nyu.edu/~adamodar/pc/datasets/indname.xls</t>
  </si>
  <si>
    <t>https://pages.stern.nyu.edu/~adamodar/New_Home_Page/datafile/variable.htm</t>
  </si>
  <si>
    <t>Sales FY23</t>
  </si>
  <si>
    <t>EBITDA FY23</t>
  </si>
  <si>
    <t>EBIT FY23</t>
  </si>
  <si>
    <t>Implied multiple - EBITDA FY22</t>
  </si>
  <si>
    <t>Implied multiple - EBITDA FY23</t>
  </si>
  <si>
    <t>Transaction date</t>
  </si>
  <si>
    <t>Size + illiquidity discount</t>
  </si>
  <si>
    <t>EV / 
Sales
FY23</t>
  </si>
  <si>
    <t>EV / EBITDA
FY23</t>
  </si>
  <si>
    <t>EV / 
EBIT
FY23</t>
  </si>
  <si>
    <t>Weging% FY22</t>
  </si>
  <si>
    <t>Data Damodaran per Jan'23 cfr. Valuation date - zie tab Beta &amp; Gearing</t>
  </si>
  <si>
    <t>Deloitte standaard - zie tab Size premium</t>
  </si>
  <si>
    <t>Alligneren met lange termijn rente: https://www.tijd.be/markten-live/rente.html</t>
  </si>
  <si>
    <t>https://taxsummaries.pwc.com/quick-charts/corporate-income-tax-cit-rates</t>
  </si>
  <si>
    <t>Corporate debt rate spread</t>
  </si>
  <si>
    <t>%</t>
  </si>
  <si>
    <t>Mid-year</t>
  </si>
  <si>
    <t xml:space="preserve">Tussen 1,5% à 3,0%, te alligneren zodat kost vreemd vermogen overeenstemt met redelijke kost waaraan bedrijf vandaag bij de bank kan lenen. </t>
  </si>
  <si>
    <t xml:space="preserve">NWK </t>
  </si>
  <si>
    <t>NWK % van omzet</t>
  </si>
  <si>
    <t>FY22 EBITDA</t>
  </si>
  <si>
    <t>Huisvesting</t>
  </si>
  <si>
    <t>Erelonen</t>
  </si>
  <si>
    <t>Verzekeringen</t>
  </si>
  <si>
    <t>Reiskosten</t>
  </si>
  <si>
    <t>Totaal D&amp;DG</t>
  </si>
  <si>
    <t>Actuals</t>
  </si>
  <si>
    <t>Budget</t>
  </si>
  <si>
    <t>Bedrijfsopbrengsten</t>
  </si>
  <si>
    <t>Ebit</t>
  </si>
  <si>
    <t>Cashflow (bhk)</t>
  </si>
  <si>
    <t>Investeringen</t>
  </si>
  <si>
    <t>Subsidies</t>
  </si>
  <si>
    <t>Activering</t>
  </si>
  <si>
    <t>IVA</t>
  </si>
  <si>
    <t>MVA</t>
  </si>
  <si>
    <t>FVA</t>
  </si>
  <si>
    <t>Behoefte BK</t>
  </si>
  <si>
    <t>DSCR (Ebitda / Intresten + aflossingen)</t>
  </si>
  <si>
    <t>n/a</t>
  </si>
  <si>
    <t>Omzet 2019</t>
  </si>
  <si>
    <t>Omzet 2020</t>
  </si>
  <si>
    <t>Omzet 2021</t>
  </si>
  <si>
    <t>Omzet 2022</t>
  </si>
  <si>
    <t>Omzet 2023</t>
  </si>
  <si>
    <t>Delta %</t>
  </si>
  <si>
    <t>Brutomarge 2019</t>
  </si>
  <si>
    <t xml:space="preserve">Brutomarge % </t>
  </si>
  <si>
    <t>Brutomarge 2020</t>
  </si>
  <si>
    <t>Brutomarge 2021</t>
  </si>
  <si>
    <t>Brutomarge 2022</t>
  </si>
  <si>
    <t>Brutomarge 2023</t>
  </si>
  <si>
    <t>EBITDA 2019</t>
  </si>
  <si>
    <t>EBITDA marge %</t>
  </si>
  <si>
    <t>EBITDA 2020</t>
  </si>
  <si>
    <t>EBITDA 2021</t>
  </si>
  <si>
    <t>EBITDA 2022</t>
  </si>
  <si>
    <t>EBITDA 2023</t>
  </si>
  <si>
    <t>Managementvergoedingen</t>
  </si>
  <si>
    <t>IT &amp; software</t>
  </si>
  <si>
    <t>Personenwagens</t>
  </si>
  <si>
    <t>Overige administratieve kosten</t>
  </si>
  <si>
    <t>Geproduceerde vaste activa</t>
  </si>
  <si>
    <t>Niet-gekapitaliseerde EBITDA</t>
  </si>
  <si>
    <t>Management</t>
  </si>
  <si>
    <t>Sales</t>
  </si>
  <si>
    <t>Subtotaal bezoldigingen</t>
  </si>
  <si>
    <t>Management vergoedingen</t>
  </si>
  <si>
    <t>Admin</t>
  </si>
  <si>
    <t>Finance</t>
  </si>
  <si>
    <t>Overige</t>
  </si>
  <si>
    <t>Totaal personeelskosten</t>
  </si>
  <si>
    <t>Delta 23-22</t>
  </si>
  <si>
    <t>Sources</t>
  </si>
  <si>
    <t>Uses</t>
  </si>
  <si>
    <t>Equity LRM</t>
  </si>
  <si>
    <t>Prijs</t>
  </si>
  <si>
    <t>Equity co-investor</t>
  </si>
  <si>
    <t>Bestaande NFD</t>
  </si>
  <si>
    <t>Equity Mngt</t>
  </si>
  <si>
    <t>Transactiekosten</t>
  </si>
  <si>
    <t>Totaal equity</t>
  </si>
  <si>
    <t>Amortizing bank debt</t>
  </si>
  <si>
    <t>Bullet bank debt</t>
  </si>
  <si>
    <t>Vendor loan</t>
  </si>
  <si>
    <t>Totaal schuld</t>
  </si>
  <si>
    <t>Added</t>
  </si>
  <si>
    <t xml:space="preserve">Totale bedrijfsopbrengsten </t>
  </si>
  <si>
    <t>Groei %</t>
  </si>
  <si>
    <t>Overhead</t>
  </si>
  <si>
    <t>Interesten</t>
  </si>
  <si>
    <t>Totaal NWK</t>
  </si>
  <si>
    <t>Capital employed</t>
  </si>
  <si>
    <t>Cash</t>
  </si>
  <si>
    <t>Totale NFD</t>
  </si>
  <si>
    <t>Invested capital</t>
  </si>
  <si>
    <t>Andere non-cash items</t>
  </si>
  <si>
    <t>Total debt service</t>
  </si>
  <si>
    <t>Cashflow uit financiering</t>
  </si>
  <si>
    <t xml:space="preserve">Free cash flow </t>
  </si>
  <si>
    <t>Amount:</t>
  </si>
  <si>
    <t>BoP</t>
  </si>
  <si>
    <t>Duration:</t>
  </si>
  <si>
    <t>Redemption</t>
  </si>
  <si>
    <t>Interest%:</t>
  </si>
  <si>
    <t>EoP</t>
  </si>
  <si>
    <t>Interest payments</t>
  </si>
  <si>
    <t>Total outstanding bank debt BoP</t>
  </si>
  <si>
    <t>Total redemptions</t>
  </si>
  <si>
    <t>Total outstanding bank debt EoP</t>
  </si>
  <si>
    <t>Total bank interest payments</t>
  </si>
  <si>
    <t>NFD / EBITDA</t>
  </si>
  <si>
    <t>Interest coverage ratio</t>
  </si>
  <si>
    <t>Total outstanding external debt BoP</t>
  </si>
  <si>
    <t>Total interest payments</t>
  </si>
  <si>
    <t>DSCR</t>
  </si>
  <si>
    <t>Exit EBITDA multiple</t>
  </si>
  <si>
    <t>Total external debt</t>
  </si>
  <si>
    <t>Money multiple LRM</t>
  </si>
  <si>
    <t>IRR LRM</t>
  </si>
  <si>
    <t>IRR datums</t>
  </si>
  <si>
    <t>IRR waarden</t>
  </si>
  <si>
    <t>NFD per Dec'22</t>
  </si>
  <si>
    <t>EBT %</t>
  </si>
  <si>
    <t>EV / EBITDA multiple</t>
  </si>
  <si>
    <t>Bank debt / EBITDA</t>
  </si>
  <si>
    <t>Total outstanding debt EoP</t>
  </si>
  <si>
    <t>Total debt / EBITDA</t>
  </si>
  <si>
    <t>Total outstanding debt</t>
  </si>
  <si>
    <t>Huidige ronde</t>
  </si>
  <si>
    <t>Datum</t>
  </si>
  <si>
    <t>Cash investering</t>
  </si>
  <si>
    <t>Aandelen</t>
  </si>
  <si>
    <t>Cumul Aandelen</t>
  </si>
  <si>
    <t>P/a</t>
  </si>
  <si>
    <t>Cumul Cash</t>
  </si>
  <si>
    <t>Kapitalisatie</t>
  </si>
  <si>
    <t>LRM Inleg</t>
  </si>
  <si>
    <t>Pre-money waardering</t>
  </si>
  <si>
    <t>LRM aandelen</t>
  </si>
  <si>
    <t>Post-money waardering</t>
  </si>
  <si>
    <t>LRM aandelen cum</t>
  </si>
  <si>
    <t>LRM Inleg cumul</t>
  </si>
  <si>
    <t>LRM kapitalisatie</t>
  </si>
  <si>
    <t>LRM AH %</t>
  </si>
  <si>
    <t>Equity bestaande AH</t>
  </si>
  <si>
    <t>Ronde 1</t>
  </si>
  <si>
    <t>Ronde 2</t>
  </si>
  <si>
    <t>Oprichting</t>
  </si>
  <si>
    <t>Mngt</t>
  </si>
  <si>
    <t>in EURO</t>
  </si>
  <si>
    <t>Provisies &amp; uitgestelde belastingen</t>
  </si>
  <si>
    <t>P&amp;S Balans</t>
  </si>
  <si>
    <t>FY 2020</t>
  </si>
  <si>
    <t>FY 2021</t>
  </si>
  <si>
    <t>FY 2022</t>
  </si>
  <si>
    <t>FY 2018</t>
  </si>
  <si>
    <t>FY 2019</t>
  </si>
  <si>
    <t>FY 2023</t>
  </si>
  <si>
    <t>FY 2024</t>
  </si>
  <si>
    <t>Resultaten</t>
  </si>
  <si>
    <t>Ebitda / bedrijfsopbrengst</t>
  </si>
  <si>
    <t>Netto Result</t>
  </si>
  <si>
    <t>Netto result</t>
  </si>
  <si>
    <t>Cashburn / maand</t>
  </si>
  <si>
    <t>Balans</t>
  </si>
  <si>
    <t>Ratio's</t>
  </si>
  <si>
    <t>KPI's</t>
  </si>
  <si>
    <t>Tewerkstelling</t>
  </si>
  <si>
    <t>ARR</t>
  </si>
  <si>
    <t>Engag. LRM</t>
  </si>
  <si>
    <t>Ebitda multiple</t>
  </si>
  <si>
    <t>ARR multiple</t>
  </si>
  <si>
    <t>Equity Value</t>
  </si>
  <si>
    <t>% LRM</t>
  </si>
  <si>
    <t>Equity value LRM</t>
  </si>
  <si>
    <t>Aandacht</t>
  </si>
  <si>
    <t>Negatief eigen vermogen</t>
  </si>
  <si>
    <t>Achterstand LRM</t>
  </si>
  <si>
    <t>Achterstand RSZ, BV, BTW</t>
  </si>
  <si>
    <t>Andere aandachtspunten</t>
  </si>
  <si>
    <t>Equity value Ebitda</t>
  </si>
  <si>
    <t>Equity value ARR</t>
  </si>
  <si>
    <t>FY 2025</t>
  </si>
  <si>
    <t>FY 2026</t>
  </si>
  <si>
    <t>FY 2027</t>
  </si>
  <si>
    <t>Operationeel result na bel. (25%)</t>
  </si>
  <si>
    <t>Cijfers in k€</t>
  </si>
  <si>
    <t>datum</t>
  </si>
  <si>
    <t>Dossier</t>
  </si>
  <si>
    <t>Resultaatverwerking</t>
  </si>
  <si>
    <t>Netto resultaat na resultaatverwerking</t>
  </si>
  <si>
    <t>Huidig resultaat (na resultaatverwerking)</t>
  </si>
  <si>
    <t>Δ Uit te keren winst</t>
  </si>
  <si>
    <t>Ontvangen vooruitbetalingen</t>
  </si>
  <si>
    <t>Δ Ontvangen vooruitbetalingen</t>
  </si>
  <si>
    <r>
      <t xml:space="preserve">ACTIEF </t>
    </r>
    <r>
      <rPr>
        <b/>
        <sz val="10"/>
        <color theme="0"/>
        <rFont val="Times New Roman"/>
        <family val="1"/>
      </rPr>
      <t>(in k€)</t>
    </r>
  </si>
  <si>
    <r>
      <t xml:space="preserve">PASSIEF </t>
    </r>
    <r>
      <rPr>
        <b/>
        <sz val="10"/>
        <color theme="0"/>
        <rFont val="Times New Roman"/>
        <family val="1"/>
      </rPr>
      <t>(in 1.000 €)</t>
    </r>
  </si>
  <si>
    <t>Average: 2020-24</t>
  </si>
  <si>
    <t>Retail (REITs)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</si>
</sst>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8">
    <numFmt numFmtId="43" formatCode="_ * #,##0.00_ ;_ * \-#,##0.00_ ;_ * &quot;-&quot;??_ ;_ @_ "/>
    <numFmt numFmtId="164" formatCode="0.0%"/>
    <numFmt numFmtId="165" formatCode="0.0"/>
    <numFmt numFmtId="166" formatCode="#,##0.0"/>
    <numFmt numFmtId="167" formatCode="0.000"/>
    <numFmt numFmtId="168" formatCode="#,##0_);_ \(#,##0\)\ ;_ &quot;-&quot;_ ;_ @_ "/>
    <numFmt numFmtId="169" formatCode="_-* #,##0.00\ _B_F_-;\-* #,##0.00\ _B_F_-;_-* &quot;-&quot;??\ _B_F_-;_-@_-"/>
    <numFmt numFmtId="170" formatCode="#,##0.0\x"/>
    <numFmt numFmtId="171" formatCode="0.0\x"/>
    <numFmt numFmtId="172" formatCode="#,##0.00;\ \(#,##0.00\)"/>
    <numFmt numFmtId="173" formatCode="0.00%;\ \(0.00%\)"/>
    <numFmt numFmtId="174" formatCode="_(* #,##0.0%_);_(* \(#,##0.0%\);_(* &quot; - &quot;_);_(* @_)"/>
    <numFmt numFmtId="175" formatCode="0.0000"/>
    <numFmt numFmtId="176" formatCode="_ * #,##0_ ;_ * \-#,##0_ ;_ * &quot;-&quot;??_ ;_ @_ "/>
    <numFmt numFmtId="177" formatCode="_-* #,##0.00\ &quot;€&quot;_-;\-* #,##0.00\ &quot;€&quot;_-;_-* &quot;-&quot;??\ &quot;€&quot;_-;_-@_-"/>
    <numFmt numFmtId="178" formatCode="_-* #,##0.00_-;\-* #,##0.00_-;_-* &quot;-&quot;??_-;_-@_-"/>
    <numFmt numFmtId="179" formatCode="_-* #,##0.00\ _€_-;\-* #,##0.00\ _€_-;_-* &quot;-&quot;??\ _€_-;_-@_-"/>
    <numFmt numFmtId="180" formatCode="mm/yy"/>
  </numFmts>
  <fonts count="8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i/>
      <sz val="8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10"/>
      <color theme="0"/>
      <name val="Arial"/>
      <family val="2"/>
    </font>
    <font>
      <sz val="7"/>
      <color theme="1"/>
      <name val="Arial"/>
      <family val="2"/>
    </font>
    <font>
      <sz val="10"/>
      <color theme="1"/>
      <name val="等线"/>
      <family val="2"/>
      <charset val="134"/>
    </font>
    <font>
      <sz val="10"/>
      <name val="Arial"/>
      <family val="2"/>
    </font>
    <font>
      <b/>
      <sz val="10"/>
      <color theme="1"/>
      <name val="等线"/>
      <family val="3"/>
      <charset val="134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name val="Times New Roman"/>
      <family val="1"/>
    </font>
    <font>
      <sz val="10"/>
      <color theme="0"/>
      <name val="Arial"/>
      <family val="2"/>
    </font>
    <font>
      <b/>
      <sz val="10"/>
      <name val="Arial"/>
      <family val="2"/>
    </font>
    <font>
      <i/>
      <sz val="10"/>
      <color theme="0"/>
      <name val="Arial"/>
      <family val="2"/>
    </font>
    <font>
      <sz val="10"/>
      <color theme="1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0"/>
      <name val="MS Sans Serif"/>
      <family val="2"/>
    </font>
    <font>
      <i/>
      <sz val="10"/>
      <color theme="1"/>
      <name val="Arial"/>
      <family val="2"/>
    </font>
    <font>
      <i/>
      <sz val="10"/>
      <name val="Arial"/>
      <family val="2"/>
    </font>
    <font>
      <b/>
      <sz val="10"/>
      <color rgb="FFFF0000"/>
      <name val="Arial"/>
      <family val="2"/>
    </font>
    <font>
      <sz val="10"/>
      <color rgb="FF00AA8E"/>
      <name val="Arial"/>
      <family val="2"/>
    </font>
    <font>
      <b/>
      <sz val="9"/>
      <color rgb="FF000000"/>
      <name val="Verdana"/>
      <family val="2"/>
    </font>
    <font>
      <b/>
      <sz val="9"/>
      <color rgb="FFFFFFFF"/>
      <name val="Arial"/>
      <family val="2"/>
    </font>
    <font>
      <b/>
      <sz val="12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0"/>
      <name val="Verdana"/>
      <family val="2"/>
    </font>
    <font>
      <sz val="10"/>
      <name val="Verdana"/>
      <family val="2"/>
    </font>
    <font>
      <b/>
      <sz val="10"/>
      <name val="Verdana"/>
      <family val="2"/>
    </font>
    <font>
      <sz val="11"/>
      <color theme="1"/>
      <name val="Arial Narrow"/>
      <family val="2"/>
    </font>
    <font>
      <sz val="11"/>
      <name val="Arial Narrow"/>
      <family val="2"/>
    </font>
    <font>
      <sz val="11"/>
      <color rgb="FFFF0000"/>
      <name val="Arial Narrow"/>
      <family val="2"/>
    </font>
    <font>
      <sz val="10"/>
      <name val="Times New Roman"/>
      <family val="1"/>
    </font>
    <font>
      <b/>
      <sz val="11"/>
      <name val="Times New Roman"/>
      <family val="1"/>
    </font>
    <font>
      <b/>
      <sz val="8"/>
      <name val="Times New Roman"/>
      <family val="1"/>
    </font>
    <font>
      <sz val="8"/>
      <name val="Times New Roman"/>
      <family val="1"/>
    </font>
    <font>
      <b/>
      <sz val="10"/>
      <name val="Times New Roman"/>
      <family val="1"/>
    </font>
    <font>
      <b/>
      <i/>
      <sz val="10"/>
      <name val="Times New Roman"/>
      <family val="1"/>
    </font>
    <font>
      <sz val="8"/>
      <color rgb="FFFF0000"/>
      <name val="Times New Roman"/>
      <family val="1"/>
    </font>
    <font>
      <b/>
      <sz val="8"/>
      <color rgb="FFFF0000"/>
      <name val="Times New Roman"/>
      <family val="1"/>
    </font>
    <font>
      <b/>
      <i/>
      <sz val="8"/>
      <name val="Times New Roman"/>
      <family val="1"/>
    </font>
    <font>
      <i/>
      <sz val="8"/>
      <name val="Times New Roman"/>
      <family val="1"/>
    </font>
    <font>
      <b/>
      <u/>
      <sz val="8"/>
      <name val="Times New Roman"/>
      <family val="1"/>
    </font>
    <font>
      <b/>
      <i/>
      <u/>
      <sz val="10"/>
      <name val="Times New Roman"/>
      <family val="1"/>
    </font>
    <font>
      <sz val="6"/>
      <name val="Times New Roman"/>
      <family val="1"/>
    </font>
    <font>
      <b/>
      <u/>
      <sz val="10"/>
      <name val="Times New Roman"/>
      <family val="1"/>
    </font>
    <font>
      <sz val="8"/>
      <color theme="1"/>
      <name val="Times New Roman"/>
      <family val="1"/>
    </font>
    <font>
      <sz val="12"/>
      <name val="Times New Roman"/>
      <family val="1"/>
    </font>
    <font>
      <b/>
      <sz val="10"/>
      <color indexed="9"/>
      <name val="Times New Roman"/>
      <family val="1"/>
    </font>
    <font>
      <u/>
      <sz val="11"/>
      <color theme="10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rgb="FFFF0000"/>
      <name val="Times New Roman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i/>
      <sz val="10"/>
      <color rgb="FFFF0000"/>
      <name val="Arial"/>
      <family val="2"/>
    </font>
    <font>
      <sz val="11"/>
      <color rgb="FFFF0000"/>
      <name val="Calibri"/>
      <family val="2"/>
      <scheme val="minor"/>
    </font>
    <font>
      <sz val="10"/>
      <color theme="0" tint="-0.34998626667073579"/>
      <name val="Arial"/>
      <family val="2"/>
    </font>
    <font>
      <i/>
      <sz val="10"/>
      <color theme="0" tint="-0.34998626667073579"/>
      <name val="Arial"/>
      <family val="2"/>
    </font>
    <font>
      <sz val="8"/>
      <color rgb="FFFF0000"/>
      <name val="Arial"/>
      <family val="2"/>
    </font>
    <font>
      <sz val="9"/>
      <color theme="1"/>
      <name val="Trebuchet MS"/>
      <family val="2"/>
    </font>
    <font>
      <b/>
      <u/>
      <sz val="9"/>
      <color theme="1"/>
      <name val="Trebuchet MS"/>
      <family val="2"/>
    </font>
    <font>
      <b/>
      <u/>
      <sz val="9"/>
      <color theme="0"/>
      <name val="Trebuchet MS"/>
      <family val="2"/>
    </font>
    <font>
      <b/>
      <sz val="9"/>
      <color theme="0"/>
      <name val="Trebuchet MS"/>
      <family val="2"/>
    </font>
    <font>
      <b/>
      <sz val="9"/>
      <color theme="1"/>
      <name val="Trebuchet MS"/>
      <family val="2"/>
    </font>
    <font>
      <sz val="9"/>
      <color theme="0"/>
      <name val="Trebuchet MS"/>
      <family val="2"/>
    </font>
    <font>
      <sz val="8"/>
      <color theme="1"/>
      <name val="Trebuchet MS"/>
      <family val="2"/>
    </font>
    <font>
      <b/>
      <sz val="10"/>
      <color theme="1"/>
      <name val="Times New Roman"/>
      <family val="1"/>
    </font>
    <font>
      <b/>
      <sz val="15"/>
      <color rgb="FF1E4B46"/>
      <name val="Arial Narrow"/>
      <family val="2"/>
    </font>
    <font>
      <sz val="11"/>
      <color rgb="FF1E4B46"/>
      <name val="Arial Narrow"/>
      <family val="2"/>
    </font>
    <font>
      <b/>
      <sz val="14"/>
      <color theme="0"/>
      <name val="Times New Roman"/>
      <family val="1"/>
    </font>
    <font>
      <b/>
      <sz val="12"/>
      <color theme="0"/>
      <name val="Times New Roman"/>
      <family val="1"/>
    </font>
    <font>
      <b/>
      <sz val="10"/>
      <color theme="0"/>
      <name val="Times New Roman"/>
      <family val="1"/>
    </font>
    <font>
      <b/>
      <i/>
      <sz val="10"/>
      <color theme="0"/>
      <name val="Times New Roman"/>
      <family val="1"/>
    </font>
    <font>
      <sz val="8"/>
      <color theme="0"/>
      <name val="Times New Roman"/>
      <family val="1"/>
    </font>
    <font>
      <sz val="10"/>
      <color theme="0"/>
      <name val="Times New Roman"/>
      <family val="1"/>
    </font>
    <font>
      <b/>
      <sz val="8"/>
      <color theme="0"/>
      <name val="Times New Roman"/>
      <family val="1"/>
    </font>
    <font>
      <sz val="10"/>
      <color rgb="FF1E4B46"/>
      <name val="Arial"/>
      <family val="2"/>
    </font>
  </fonts>
  <fills count="2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AC8C"/>
        <bgColor indexed="64"/>
      </patternFill>
    </fill>
    <fill>
      <patternFill patternType="solid">
        <fgColor rgb="FFEBFFFC"/>
        <bgColor indexed="64"/>
      </patternFill>
    </fill>
    <fill>
      <patternFill patternType="solid">
        <fgColor rgb="FF86BC25"/>
        <bgColor indexed="64"/>
      </patternFill>
    </fill>
    <fill>
      <patternFill patternType="solid">
        <fgColor theme="0" tint="-0.14999847407452621"/>
        <bgColor rgb="FF000000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1F4B47"/>
        <bgColor indexed="64"/>
      </patternFill>
    </fill>
    <fill>
      <patternFill patternType="solid">
        <fgColor rgb="FFF9D2B1"/>
        <bgColor indexed="64"/>
      </patternFill>
    </fill>
    <fill>
      <patternFill patternType="solid">
        <fgColor rgb="FFFAB076"/>
        <bgColor indexed="64"/>
      </patternFill>
    </fill>
    <fill>
      <patternFill patternType="solid">
        <fgColor rgb="FF327E75"/>
        <bgColor indexed="64"/>
      </patternFill>
    </fill>
    <fill>
      <patternFill patternType="solid">
        <fgColor rgb="FFFFF685"/>
        <bgColor indexed="64"/>
      </patternFill>
    </fill>
    <fill>
      <patternFill patternType="solid">
        <fgColor rgb="FFF08B38"/>
        <bgColor indexed="64"/>
      </patternFill>
    </fill>
    <fill>
      <patternFill patternType="solid">
        <fgColor rgb="FF1E4B46"/>
        <bgColor indexed="64"/>
      </patternFill>
    </fill>
    <fill>
      <patternFill patternType="solid">
        <fgColor rgb="FFABE1FA"/>
        <bgColor indexed="64"/>
      </patternFill>
    </fill>
    <fill>
      <patternFill patternType="solid">
        <fgColor rgb="FFA4510C"/>
        <bgColor indexed="64"/>
      </patternFill>
    </fill>
    <fill>
      <patternFill patternType="solid">
        <fgColor rgb="FF595959"/>
        <bgColor indexed="64"/>
      </patternFill>
    </fill>
  </fills>
  <borders count="5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AA8E"/>
      </left>
      <right/>
      <top style="thin">
        <color rgb="FF00AA8E"/>
      </top>
      <bottom/>
      <diagonal/>
    </border>
    <border>
      <left/>
      <right style="thick">
        <color theme="0"/>
      </right>
      <top/>
      <bottom/>
      <diagonal/>
    </border>
    <border>
      <left/>
      <right style="thick">
        <color theme="0"/>
      </right>
      <top/>
      <bottom style="thin">
        <color indexed="64"/>
      </bottom>
      <diagonal/>
    </border>
    <border>
      <left/>
      <right/>
      <top/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rgb="FF000000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/>
      <top style="thin">
        <color rgb="FF00AA8E"/>
      </top>
      <bottom/>
      <diagonal/>
    </border>
    <border>
      <left/>
      <right style="thick">
        <color theme="0"/>
      </right>
      <top style="thin">
        <color rgb="FF00AA8E"/>
      </top>
      <bottom/>
      <diagonal/>
    </border>
    <border>
      <left style="thick">
        <color theme="0"/>
      </left>
      <right style="thick">
        <color theme="0"/>
      </right>
      <top/>
      <bottom/>
      <diagonal/>
    </border>
    <border>
      <left style="thick">
        <color rgb="FF1E4B46"/>
      </left>
      <right/>
      <top style="thick">
        <color rgb="FF1E4B46"/>
      </top>
      <bottom/>
      <diagonal/>
    </border>
    <border>
      <left/>
      <right/>
      <top style="thick">
        <color rgb="FF1E4B46"/>
      </top>
      <bottom/>
      <diagonal/>
    </border>
    <border>
      <left/>
      <right style="thick">
        <color rgb="FF1E4B46"/>
      </right>
      <top style="thick">
        <color rgb="FF1E4B46"/>
      </top>
      <bottom/>
      <diagonal/>
    </border>
    <border>
      <left style="thick">
        <color rgb="FF1E4B46"/>
      </left>
      <right/>
      <top/>
      <bottom style="thick">
        <color rgb="FF1E4B46"/>
      </bottom>
      <diagonal/>
    </border>
    <border>
      <left/>
      <right/>
      <top/>
      <bottom style="thick">
        <color rgb="FF1E4B46"/>
      </bottom>
      <diagonal/>
    </border>
    <border>
      <left/>
      <right style="thick">
        <color rgb="FF1E4B46"/>
      </right>
      <top/>
      <bottom style="thick">
        <color rgb="FF1E4B46"/>
      </bottom>
      <diagonal/>
    </border>
    <border>
      <left style="double">
        <color theme="0"/>
      </left>
      <right/>
      <top style="double">
        <color theme="0"/>
      </top>
      <bottom style="double">
        <color theme="0"/>
      </bottom>
      <diagonal/>
    </border>
    <border>
      <left/>
      <right/>
      <top style="double">
        <color theme="0"/>
      </top>
      <bottom style="double">
        <color theme="0"/>
      </bottom>
      <diagonal/>
    </border>
    <border>
      <left/>
      <right style="double">
        <color theme="0"/>
      </right>
      <top style="double">
        <color theme="0"/>
      </top>
      <bottom style="double">
        <color theme="0"/>
      </bottom>
      <diagonal/>
    </border>
  </borders>
  <cellStyleXfs count="28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1" applyNumberFormat="0" applyFill="0" applyAlignment="0" applyProtection="0"/>
    <xf numFmtId="0" fontId="3" fillId="0" borderId="0" applyNumberFormat="0" applyFill="0" applyBorder="0" applyAlignment="0" applyProtection="0"/>
    <xf numFmtId="0" fontId="11" fillId="0" borderId="0">
      <alignment vertical="center"/>
    </xf>
    <xf numFmtId="0" fontId="1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1" fillId="0" borderId="0" applyFont="0" applyFill="0" applyBorder="0" applyAlignment="0" applyProtection="0">
      <alignment vertical="center"/>
    </xf>
    <xf numFmtId="168" fontId="13" fillId="0" borderId="0" applyFont="0" applyFill="0" applyBorder="0" applyAlignment="0" applyProtection="0">
      <alignment vertical="center"/>
    </xf>
    <xf numFmtId="0" fontId="18" fillId="0" borderId="0"/>
    <xf numFmtId="169" fontId="12" fillId="0" borderId="0" applyFont="0" applyFill="0" applyBorder="0" applyAlignment="0" applyProtection="0"/>
    <xf numFmtId="0" fontId="12" fillId="0" borderId="0"/>
    <xf numFmtId="0" fontId="25" fillId="0" borderId="0"/>
    <xf numFmtId="0" fontId="1" fillId="0" borderId="0"/>
    <xf numFmtId="0" fontId="22" fillId="0" borderId="0"/>
    <xf numFmtId="0" fontId="44" fillId="0" borderId="0"/>
    <xf numFmtId="43" fontId="18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177" fontId="1" fillId="0" borderId="0" applyFont="0" applyFill="0" applyBorder="0" applyAlignment="0" applyProtection="0"/>
    <xf numFmtId="0" fontId="61" fillId="0" borderId="0" applyNumberFormat="0" applyFill="0" applyBorder="0" applyAlignment="0" applyProtection="0"/>
    <xf numFmtId="178" fontId="1" fillId="0" borderId="0" applyFont="0" applyFill="0" applyBorder="0" applyAlignment="0" applyProtection="0"/>
    <xf numFmtId="0" fontId="37" fillId="0" borderId="0"/>
    <xf numFmtId="0" fontId="62" fillId="0" borderId="0" applyNumberFormat="0" applyFill="0" applyBorder="0" applyAlignment="0" applyProtection="0"/>
    <xf numFmtId="9" fontId="37" fillId="0" borderId="0" applyFont="0" applyFill="0" applyBorder="0" applyAlignment="0" applyProtection="0"/>
    <xf numFmtId="0" fontId="1" fillId="0" borderId="0"/>
    <xf numFmtId="179" fontId="18" fillId="0" borderId="0" applyFont="0" applyFill="0" applyBorder="0" applyAlignment="0" applyProtection="0"/>
  </cellStyleXfs>
  <cellXfs count="816">
    <xf numFmtId="0" fontId="0" fillId="0" borderId="0" xfId="0"/>
    <xf numFmtId="3" fontId="14" fillId="3" borderId="0" xfId="0" applyNumberFormat="1" applyFont="1" applyFill="1" applyAlignment="1">
      <alignment horizontal="center"/>
    </xf>
    <xf numFmtId="0" fontId="15" fillId="0" borderId="0" xfId="0" applyFont="1"/>
    <xf numFmtId="0" fontId="14" fillId="0" borderId="0" xfId="0" applyFont="1"/>
    <xf numFmtId="3" fontId="12" fillId="0" borderId="0" xfId="0" applyNumberFormat="1" applyFont="1"/>
    <xf numFmtId="3" fontId="15" fillId="0" borderId="0" xfId="0" applyNumberFormat="1" applyFont="1"/>
    <xf numFmtId="0" fontId="12" fillId="0" borderId="0" xfId="0" applyFont="1"/>
    <xf numFmtId="3" fontId="16" fillId="0" borderId="0" xfId="1" applyNumberFormat="1" applyFont="1" applyFill="1" applyBorder="1" applyAlignment="1">
      <alignment horizontal="right"/>
    </xf>
    <xf numFmtId="3" fontId="14" fillId="0" borderId="0" xfId="0" applyNumberFormat="1" applyFont="1"/>
    <xf numFmtId="164" fontId="15" fillId="0" borderId="0" xfId="2" applyNumberFormat="1" applyFont="1" applyFill="1" applyBorder="1"/>
    <xf numFmtId="3" fontId="14" fillId="0" borderId="0" xfId="0" applyNumberFormat="1" applyFont="1" applyAlignment="1">
      <alignment horizontal="center"/>
    </xf>
    <xf numFmtId="164" fontId="15" fillId="0" borderId="0" xfId="2" applyNumberFormat="1" applyFont="1"/>
    <xf numFmtId="0" fontId="15" fillId="0" borderId="14" xfId="0" applyFont="1" applyBorder="1"/>
    <xf numFmtId="0" fontId="17" fillId="0" borderId="14" xfId="0" applyFont="1" applyBorder="1" applyAlignment="1">
      <alignment horizontal="right"/>
    </xf>
    <xf numFmtId="3" fontId="12" fillId="0" borderId="14" xfId="0" applyNumberFormat="1" applyFont="1" applyBorder="1"/>
    <xf numFmtId="3" fontId="16" fillId="0" borderId="14" xfId="0" applyNumberFormat="1" applyFont="1" applyBorder="1"/>
    <xf numFmtId="3" fontId="20" fillId="0" borderId="0" xfId="0" applyNumberFormat="1" applyFont="1"/>
    <xf numFmtId="3" fontId="20" fillId="0" borderId="14" xfId="0" applyNumberFormat="1" applyFont="1" applyBorder="1"/>
    <xf numFmtId="1" fontId="15" fillId="0" borderId="14" xfId="0" applyNumberFormat="1" applyFont="1" applyBorder="1"/>
    <xf numFmtId="3" fontId="22" fillId="0" borderId="14" xfId="0" applyNumberFormat="1" applyFont="1" applyBorder="1"/>
    <xf numFmtId="3" fontId="14" fillId="0" borderId="14" xfId="0" applyNumberFormat="1" applyFont="1" applyBorder="1"/>
    <xf numFmtId="3" fontId="15" fillId="0" borderId="14" xfId="0" applyNumberFormat="1" applyFont="1" applyBorder="1"/>
    <xf numFmtId="3" fontId="16" fillId="0" borderId="14" xfId="1" applyNumberFormat="1" applyFont="1" applyFill="1" applyBorder="1" applyAlignment="1">
      <alignment horizontal="right"/>
    </xf>
    <xf numFmtId="164" fontId="15" fillId="0" borderId="14" xfId="2" applyNumberFormat="1" applyFont="1" applyFill="1" applyBorder="1"/>
    <xf numFmtId="0" fontId="17" fillId="0" borderId="0" xfId="0" applyFont="1"/>
    <xf numFmtId="3" fontId="17" fillId="0" borderId="14" xfId="0" applyNumberFormat="1" applyFont="1" applyBorder="1"/>
    <xf numFmtId="164" fontId="15" fillId="0" borderId="14" xfId="2" applyNumberFormat="1" applyFont="1" applyBorder="1"/>
    <xf numFmtId="170" fontId="15" fillId="0" borderId="14" xfId="0" applyNumberFormat="1" applyFont="1" applyBorder="1"/>
    <xf numFmtId="0" fontId="23" fillId="0" borderId="0" xfId="0" applyFont="1"/>
    <xf numFmtId="0" fontId="24" fillId="0" borderId="0" xfId="0" applyFont="1"/>
    <xf numFmtId="0" fontId="24" fillId="2" borderId="0" xfId="0" applyFont="1" applyFill="1"/>
    <xf numFmtId="0" fontId="15" fillId="2" borderId="0" xfId="0" applyFont="1" applyFill="1"/>
    <xf numFmtId="0" fontId="12" fillId="0" borderId="14" xfId="0" applyFont="1" applyBorder="1"/>
    <xf numFmtId="0" fontId="12" fillId="0" borderId="0" xfId="0" applyFont="1" applyAlignment="1">
      <alignment horizontal="left"/>
    </xf>
    <xf numFmtId="164" fontId="12" fillId="0" borderId="0" xfId="2" applyNumberFormat="1" applyFont="1" applyAlignment="1">
      <alignment horizontal="right"/>
    </xf>
    <xf numFmtId="0" fontId="12" fillId="0" borderId="3" xfId="0" applyFont="1" applyBorder="1" applyAlignment="1">
      <alignment horizontal="left"/>
    </xf>
    <xf numFmtId="2" fontId="12" fillId="0" borderId="2" xfId="0" applyNumberFormat="1" applyFont="1" applyBorder="1" applyAlignment="1">
      <alignment horizontal="right"/>
    </xf>
    <xf numFmtId="0" fontId="12" fillId="0" borderId="8" xfId="0" applyFont="1" applyBorder="1" applyAlignment="1">
      <alignment horizontal="left"/>
    </xf>
    <xf numFmtId="164" fontId="12" fillId="0" borderId="9" xfId="0" applyNumberFormat="1" applyFont="1" applyBorder="1"/>
    <xf numFmtId="9" fontId="12" fillId="0" borderId="0" xfId="2" applyFont="1"/>
    <xf numFmtId="164" fontId="12" fillId="0" borderId="14" xfId="2" applyNumberFormat="1" applyFont="1" applyBorder="1"/>
    <xf numFmtId="0" fontId="12" fillId="0" borderId="5" xfId="0" applyFont="1" applyBorder="1" applyAlignment="1">
      <alignment horizontal="left"/>
    </xf>
    <xf numFmtId="2" fontId="12" fillId="0" borderId="7" xfId="0" applyNumberFormat="1" applyFont="1" applyBorder="1"/>
    <xf numFmtId="164" fontId="12" fillId="0" borderId="0" xfId="0" applyNumberFormat="1" applyFont="1"/>
    <xf numFmtId="164" fontId="12" fillId="0" borderId="14" xfId="0" applyNumberFormat="1" applyFont="1" applyBorder="1"/>
    <xf numFmtId="164" fontId="14" fillId="0" borderId="0" xfId="0" applyNumberFormat="1" applyFont="1"/>
    <xf numFmtId="0" fontId="20" fillId="0" borderId="0" xfId="0" applyFont="1"/>
    <xf numFmtId="164" fontId="20" fillId="0" borderId="0" xfId="0" applyNumberFormat="1" applyFont="1"/>
    <xf numFmtId="0" fontId="20" fillId="0" borderId="0" xfId="0" applyFont="1" applyAlignment="1">
      <alignment horizontal="left"/>
    </xf>
    <xf numFmtId="0" fontId="20" fillId="0" borderId="10" xfId="0" applyFont="1" applyBorder="1" applyAlignment="1">
      <alignment horizontal="left"/>
    </xf>
    <xf numFmtId="164" fontId="20" fillId="0" borderId="12" xfId="0" applyNumberFormat="1" applyFont="1" applyBorder="1"/>
    <xf numFmtId="14" fontId="12" fillId="0" borderId="0" xfId="0" applyNumberFormat="1" applyFont="1" applyAlignment="1">
      <alignment horizontal="right"/>
    </xf>
    <xf numFmtId="0" fontId="12" fillId="0" borderId="0" xfId="0" applyFont="1" applyAlignment="1">
      <alignment horizontal="right"/>
    </xf>
    <xf numFmtId="164" fontId="12" fillId="0" borderId="0" xfId="0" applyNumberFormat="1" applyFont="1" applyAlignment="1">
      <alignment horizontal="right"/>
    </xf>
    <xf numFmtId="3" fontId="16" fillId="0" borderId="14" xfId="2" applyNumberFormat="1" applyFont="1" applyBorder="1" applyAlignment="1">
      <alignment horizontal="right"/>
    </xf>
    <xf numFmtId="3" fontId="16" fillId="0" borderId="0" xfId="2" applyNumberFormat="1" applyFont="1" applyBorder="1" applyAlignment="1">
      <alignment horizontal="right"/>
    </xf>
    <xf numFmtId="0" fontId="27" fillId="0" borderId="0" xfId="0" applyFont="1" applyAlignment="1">
      <alignment horizontal="left"/>
    </xf>
    <xf numFmtId="164" fontId="26" fillId="0" borderId="15" xfId="2" applyNumberFormat="1" applyFont="1" applyBorder="1" applyAlignment="1">
      <alignment horizontal="right"/>
    </xf>
    <xf numFmtId="164" fontId="26" fillId="0" borderId="6" xfId="2" applyNumberFormat="1" applyFont="1" applyBorder="1" applyAlignment="1">
      <alignment horizontal="right"/>
    </xf>
    <xf numFmtId="3" fontId="20" fillId="0" borderId="0" xfId="2" applyNumberFormat="1" applyFont="1" applyFill="1" applyBorder="1" applyAlignment="1">
      <alignment horizontal="right"/>
    </xf>
    <xf numFmtId="164" fontId="26" fillId="0" borderId="14" xfId="2" applyNumberFormat="1" applyFont="1" applyBorder="1" applyAlignment="1">
      <alignment horizontal="right"/>
    </xf>
    <xf numFmtId="3" fontId="22" fillId="0" borderId="14" xfId="2" applyNumberFormat="1" applyFont="1" applyBorder="1" applyAlignment="1">
      <alignment horizontal="right"/>
    </xf>
    <xf numFmtId="164" fontId="22" fillId="0" borderId="15" xfId="2" applyNumberFormat="1" applyFont="1" applyBorder="1" applyAlignment="1">
      <alignment horizontal="right"/>
    </xf>
    <xf numFmtId="164" fontId="22" fillId="0" borderId="6" xfId="2" applyNumberFormat="1" applyFont="1" applyBorder="1" applyAlignment="1">
      <alignment horizontal="right"/>
    </xf>
    <xf numFmtId="0" fontId="12" fillId="4" borderId="0" xfId="0" applyFont="1" applyFill="1" applyAlignment="1">
      <alignment horizontal="left"/>
    </xf>
    <xf numFmtId="3" fontId="12" fillId="4" borderId="14" xfId="0" applyNumberFormat="1" applyFont="1" applyFill="1" applyBorder="1"/>
    <xf numFmtId="3" fontId="12" fillId="4" borderId="0" xfId="0" applyNumberFormat="1" applyFont="1" applyFill="1"/>
    <xf numFmtId="3" fontId="28" fillId="0" borderId="14" xfId="0" applyNumberFormat="1" applyFont="1" applyBorder="1"/>
    <xf numFmtId="167" fontId="12" fillId="0" borderId="0" xfId="0" applyNumberFormat="1" applyFont="1"/>
    <xf numFmtId="0" fontId="12" fillId="0" borderId="8" xfId="0" applyFont="1" applyBorder="1"/>
    <xf numFmtId="3" fontId="12" fillId="0" borderId="9" xfId="0" applyNumberFormat="1" applyFont="1" applyBorder="1"/>
    <xf numFmtId="0" fontId="20" fillId="0" borderId="5" xfId="0" applyFont="1" applyBorder="1"/>
    <xf numFmtId="3" fontId="20" fillId="0" borderId="7" xfId="0" applyNumberFormat="1" applyFont="1" applyBorder="1"/>
    <xf numFmtId="1" fontId="12" fillId="0" borderId="14" xfId="0" applyNumberFormat="1" applyFont="1" applyBorder="1"/>
    <xf numFmtId="1" fontId="12" fillId="0" borderId="0" xfId="0" applyNumberFormat="1" applyFont="1"/>
    <xf numFmtId="0" fontId="20" fillId="0" borderId="3" xfId="0" applyFont="1" applyBorder="1"/>
    <xf numFmtId="0" fontId="20" fillId="0" borderId="4" xfId="0" applyFont="1" applyBorder="1" applyAlignment="1">
      <alignment horizontal="right"/>
    </xf>
    <xf numFmtId="0" fontId="20" fillId="0" borderId="2" xfId="0" applyFont="1" applyBorder="1" applyAlignment="1">
      <alignment horizontal="right"/>
    </xf>
    <xf numFmtId="171" fontId="12" fillId="0" borderId="0" xfId="0" applyNumberFormat="1" applyFont="1" applyAlignment="1">
      <alignment horizontal="right"/>
    </xf>
    <xf numFmtId="171" fontId="12" fillId="0" borderId="9" xfId="0" applyNumberFormat="1" applyFont="1" applyBorder="1" applyAlignment="1">
      <alignment horizontal="right"/>
    </xf>
    <xf numFmtId="0" fontId="12" fillId="0" borderId="5" xfId="0" applyFont="1" applyBorder="1"/>
    <xf numFmtId="171" fontId="12" fillId="0" borderId="6" xfId="0" applyNumberFormat="1" applyFont="1" applyBorder="1" applyAlignment="1">
      <alignment horizontal="right"/>
    </xf>
    <xf numFmtId="171" fontId="12" fillId="0" borderId="7" xfId="0" applyNumberFormat="1" applyFont="1" applyBorder="1" applyAlignment="1">
      <alignment horizontal="right"/>
    </xf>
    <xf numFmtId="0" fontId="20" fillId="0" borderId="0" xfId="0" applyFont="1" applyAlignment="1">
      <alignment horizontal="center"/>
    </xf>
    <xf numFmtId="0" fontId="19" fillId="0" borderId="0" xfId="10" applyFont="1" applyAlignment="1">
      <alignment horizontal="right"/>
    </xf>
    <xf numFmtId="3" fontId="12" fillId="8" borderId="0" xfId="0" applyNumberFormat="1" applyFont="1" applyFill="1"/>
    <xf numFmtId="3" fontId="20" fillId="8" borderId="0" xfId="0" applyNumberFormat="1" applyFont="1" applyFill="1"/>
    <xf numFmtId="0" fontId="15" fillId="0" borderId="0" xfId="0" applyFont="1" applyAlignment="1">
      <alignment horizontal="right"/>
    </xf>
    <xf numFmtId="0" fontId="14" fillId="0" borderId="0" xfId="0" applyFont="1" applyAlignment="1">
      <alignment horizontal="right"/>
    </xf>
    <xf numFmtId="0" fontId="9" fillId="0" borderId="0" xfId="0" quotePrefix="1" applyFont="1" applyAlignment="1">
      <alignment horizontal="left"/>
    </xf>
    <xf numFmtId="4" fontId="9" fillId="0" borderId="0" xfId="0" applyNumberFormat="1" applyFont="1" applyAlignment="1">
      <alignment horizontal="right"/>
    </xf>
    <xf numFmtId="171" fontId="22" fillId="0" borderId="0" xfId="0" applyNumberFormat="1" applyFont="1"/>
    <xf numFmtId="164" fontId="15" fillId="0" borderId="0" xfId="2" applyNumberFormat="1" applyFont="1" applyAlignment="1">
      <alignment horizontal="right"/>
    </xf>
    <xf numFmtId="3" fontId="12" fillId="0" borderId="0" xfId="0" applyNumberFormat="1" applyFont="1" applyAlignment="1">
      <alignment horizontal="right"/>
    </xf>
    <xf numFmtId="0" fontId="17" fillId="0" borderId="10" xfId="0" applyFont="1" applyBorder="1"/>
    <xf numFmtId="0" fontId="15" fillId="0" borderId="11" xfId="0" applyFont="1" applyBorder="1"/>
    <xf numFmtId="3" fontId="17" fillId="0" borderId="11" xfId="0" applyNumberFormat="1" applyFont="1" applyBorder="1"/>
    <xf numFmtId="3" fontId="17" fillId="0" borderId="12" xfId="0" applyNumberFormat="1" applyFont="1" applyBorder="1"/>
    <xf numFmtId="14" fontId="15" fillId="0" borderId="0" xfId="0" applyNumberFormat="1" applyFont="1"/>
    <xf numFmtId="171" fontId="22" fillId="0" borderId="0" xfId="0" applyNumberFormat="1" applyFont="1" applyAlignment="1">
      <alignment horizontal="right"/>
    </xf>
    <xf numFmtId="0" fontId="15" fillId="0" borderId="3" xfId="0" applyFont="1" applyBorder="1"/>
    <xf numFmtId="0" fontId="15" fillId="0" borderId="4" xfId="0" applyFont="1" applyBorder="1"/>
    <xf numFmtId="3" fontId="14" fillId="3" borderId="0" xfId="0" applyNumberFormat="1" applyFont="1" applyFill="1"/>
    <xf numFmtId="0" fontId="17" fillId="0" borderId="8" xfId="0" applyFont="1" applyBorder="1"/>
    <xf numFmtId="0" fontId="15" fillId="0" borderId="8" xfId="0" applyFont="1" applyBorder="1"/>
    <xf numFmtId="0" fontId="15" fillId="0" borderId="5" xfId="0" applyFont="1" applyBorder="1"/>
    <xf numFmtId="0" fontId="15" fillId="0" borderId="6" xfId="0" applyFont="1" applyBorder="1"/>
    <xf numFmtId="0" fontId="17" fillId="0" borderId="4" xfId="0" applyFont="1" applyBorder="1"/>
    <xf numFmtId="0" fontId="5" fillId="0" borderId="0" xfId="14" applyFont="1"/>
    <xf numFmtId="0" fontId="30" fillId="0" borderId="0" xfId="14" applyFont="1" applyAlignment="1">
      <alignment vertical="center"/>
    </xf>
    <xf numFmtId="0" fontId="1" fillId="0" borderId="0" xfId="14"/>
    <xf numFmtId="0" fontId="31" fillId="9" borderId="0" xfId="14" applyFont="1" applyFill="1" applyAlignment="1">
      <alignment horizontal="left" vertical="center"/>
    </xf>
    <xf numFmtId="0" fontId="31" fillId="9" borderId="0" xfId="14" applyFont="1" applyFill="1" applyAlignment="1">
      <alignment horizontal="right" vertical="center"/>
    </xf>
    <xf numFmtId="0" fontId="31" fillId="9" borderId="0" xfId="14" applyFont="1" applyFill="1" applyAlignment="1">
      <alignment horizontal="right" vertical="center" wrapText="1"/>
    </xf>
    <xf numFmtId="0" fontId="31" fillId="0" borderId="0" xfId="14" applyFont="1" applyAlignment="1">
      <alignment horizontal="left" vertical="center"/>
    </xf>
    <xf numFmtId="0" fontId="31" fillId="0" borderId="0" xfId="14" applyFont="1" applyAlignment="1">
      <alignment horizontal="right" vertical="center"/>
    </xf>
    <xf numFmtId="0" fontId="31" fillId="0" borderId="0" xfId="14" applyFont="1" applyAlignment="1">
      <alignment horizontal="right" vertical="center" wrapText="1"/>
    </xf>
    <xf numFmtId="0" fontId="7" fillId="0" borderId="0" xfId="14" quotePrefix="1" applyFont="1" applyAlignment="1">
      <alignment horizontal="right" vertical="center"/>
    </xf>
    <xf numFmtId="172" fontId="7" fillId="0" borderId="0" xfId="14" applyNumberFormat="1" applyFont="1" applyAlignment="1">
      <alignment horizontal="right" vertical="center"/>
    </xf>
    <xf numFmtId="0" fontId="7" fillId="0" borderId="0" xfId="14" applyFont="1" applyAlignment="1">
      <alignment horizontal="right" vertical="center"/>
    </xf>
    <xf numFmtId="173" fontId="7" fillId="0" borderId="0" xfId="14" applyNumberFormat="1" applyFont="1" applyAlignment="1">
      <alignment horizontal="right" vertical="center"/>
    </xf>
    <xf numFmtId="0" fontId="8" fillId="0" borderId="0" xfId="14" applyFont="1" applyAlignment="1">
      <alignment horizontal="left" vertical="center"/>
    </xf>
    <xf numFmtId="0" fontId="7" fillId="0" borderId="16" xfId="14" applyFont="1" applyBorder="1" applyAlignment="1">
      <alignment horizontal="right" vertical="center"/>
    </xf>
    <xf numFmtId="172" fontId="7" fillId="0" borderId="16" xfId="14" applyNumberFormat="1" applyFont="1" applyBorder="1" applyAlignment="1">
      <alignment horizontal="right" vertical="center"/>
    </xf>
    <xf numFmtId="173" fontId="7" fillId="0" borderId="16" xfId="14" applyNumberFormat="1" applyFont="1" applyBorder="1" applyAlignment="1">
      <alignment horizontal="right" vertical="center"/>
    </xf>
    <xf numFmtId="174" fontId="6" fillId="0" borderId="16" xfId="14" applyNumberFormat="1" applyFont="1" applyBorder="1" applyAlignment="1">
      <alignment horizontal="left" vertical="center"/>
    </xf>
    <xf numFmtId="0" fontId="10" fillId="0" borderId="0" xfId="14" applyFont="1"/>
    <xf numFmtId="0" fontId="22" fillId="0" borderId="0" xfId="15"/>
    <xf numFmtId="0" fontId="22" fillId="0" borderId="0" xfId="15" applyAlignment="1">
      <alignment vertical="center"/>
    </xf>
    <xf numFmtId="0" fontId="4" fillId="0" borderId="0" xfId="14" applyFont="1"/>
    <xf numFmtId="0" fontId="0" fillId="0" borderId="0" xfId="0" applyAlignment="1">
      <alignment vertical="top"/>
    </xf>
    <xf numFmtId="0" fontId="41" fillId="0" borderId="27" xfId="0" applyFont="1" applyBorder="1" applyAlignment="1">
      <alignment horizontal="center" vertical="top"/>
    </xf>
    <xf numFmtId="0" fontId="41" fillId="0" borderId="27" xfId="0" applyFont="1" applyBorder="1" applyAlignment="1">
      <alignment horizontal="center" vertical="top" wrapText="1"/>
    </xf>
    <xf numFmtId="0" fontId="41" fillId="0" borderId="27" xfId="0" applyFont="1" applyBorder="1" applyAlignment="1">
      <alignment horizontal="left" vertical="top" wrapText="1"/>
    </xf>
    <xf numFmtId="0" fontId="42" fillId="0" borderId="27" xfId="0" applyFont="1" applyBorder="1" applyAlignment="1">
      <alignment horizontal="left" vertical="top" wrapText="1"/>
    </xf>
    <xf numFmtId="0" fontId="41" fillId="0" borderId="28" xfId="0" applyFont="1" applyBorder="1" applyAlignment="1">
      <alignment horizontal="center" vertical="top" wrapText="1"/>
    </xf>
    <xf numFmtId="0" fontId="41" fillId="0" borderId="28" xfId="0" applyFont="1" applyBorder="1" applyAlignment="1">
      <alignment horizontal="left" vertical="top" wrapText="1"/>
    </xf>
    <xf numFmtId="0" fontId="43" fillId="0" borderId="28" xfId="0" applyFont="1" applyBorder="1" applyAlignment="1">
      <alignment horizontal="left" vertical="top" wrapText="1"/>
    </xf>
    <xf numFmtId="0" fontId="3" fillId="0" borderId="0" xfId="4" applyAlignment="1">
      <alignment horizontal="center" vertical="top"/>
    </xf>
    <xf numFmtId="0" fontId="0" fillId="0" borderId="0" xfId="0" applyAlignment="1">
      <alignment horizontal="center" vertical="top"/>
    </xf>
    <xf numFmtId="171" fontId="15" fillId="0" borderId="0" xfId="0" applyNumberFormat="1" applyFont="1" applyAlignment="1">
      <alignment horizontal="right"/>
    </xf>
    <xf numFmtId="0" fontId="44" fillId="0" borderId="0" xfId="16"/>
    <xf numFmtId="0" fontId="45" fillId="0" borderId="3" xfId="13" applyFont="1" applyBorder="1" applyProtection="1">
      <protection locked="0"/>
    </xf>
    <xf numFmtId="0" fontId="46" fillId="0" borderId="4" xfId="13" applyFont="1" applyBorder="1"/>
    <xf numFmtId="0" fontId="46" fillId="0" borderId="4" xfId="13" applyFont="1" applyBorder="1" applyProtection="1">
      <protection locked="0"/>
    </xf>
    <xf numFmtId="0" fontId="46" fillId="0" borderId="2" xfId="13" applyFont="1" applyBorder="1" applyProtection="1">
      <protection locked="0"/>
    </xf>
    <xf numFmtId="0" fontId="47" fillId="0" borderId="0" xfId="13" applyFont="1"/>
    <xf numFmtId="0" fontId="46" fillId="0" borderId="0" xfId="13" applyFont="1"/>
    <xf numFmtId="0" fontId="46" fillId="0" borderId="0" xfId="13" applyFont="1" applyProtection="1">
      <protection locked="0"/>
    </xf>
    <xf numFmtId="0" fontId="46" fillId="0" borderId="9" xfId="13" applyFont="1" applyBorder="1" applyProtection="1">
      <protection locked="0"/>
    </xf>
    <xf numFmtId="0" fontId="45" fillId="0" borderId="5" xfId="13" applyFont="1" applyBorder="1" applyProtection="1">
      <protection locked="0"/>
    </xf>
    <xf numFmtId="0" fontId="46" fillId="0" borderId="6" xfId="13" applyFont="1" applyBorder="1"/>
    <xf numFmtId="0" fontId="46" fillId="0" borderId="6" xfId="13" applyFont="1" applyBorder="1" applyProtection="1">
      <protection locked="0"/>
    </xf>
    <xf numFmtId="0" fontId="46" fillId="0" borderId="7" xfId="13" applyFont="1" applyBorder="1" applyProtection="1">
      <protection locked="0"/>
    </xf>
    <xf numFmtId="0" fontId="45" fillId="0" borderId="0" xfId="13" applyFont="1" applyProtection="1">
      <protection locked="0"/>
    </xf>
    <xf numFmtId="0" fontId="47" fillId="0" borderId="0" xfId="13" applyFont="1" applyProtection="1">
      <protection locked="0"/>
    </xf>
    <xf numFmtId="17" fontId="48" fillId="0" borderId="0" xfId="13" applyNumberFormat="1" applyFont="1" applyProtection="1">
      <protection locked="0"/>
    </xf>
    <xf numFmtId="17" fontId="48" fillId="0" borderId="32" xfId="13" applyNumberFormat="1" applyFont="1" applyBorder="1" applyAlignment="1" applyProtection="1">
      <alignment horizontal="center"/>
      <protection locked="0"/>
    </xf>
    <xf numFmtId="17" fontId="48" fillId="0" borderId="21" xfId="13" applyNumberFormat="1" applyFont="1" applyBorder="1" applyAlignment="1" applyProtection="1">
      <alignment horizontal="center"/>
      <protection locked="0"/>
    </xf>
    <xf numFmtId="17" fontId="47" fillId="0" borderId="0" xfId="13" applyNumberFormat="1" applyFont="1"/>
    <xf numFmtId="0" fontId="46" fillId="0" borderId="33" xfId="13" applyFont="1" applyBorder="1" applyAlignment="1" applyProtection="1">
      <alignment horizontal="center"/>
      <protection locked="0"/>
    </xf>
    <xf numFmtId="0" fontId="46" fillId="0" borderId="24" xfId="13" applyFont="1" applyBorder="1" applyAlignment="1" applyProtection="1">
      <alignment horizontal="center"/>
      <protection locked="0"/>
    </xf>
    <xf numFmtId="0" fontId="47" fillId="0" borderId="34" xfId="13" applyFont="1" applyBorder="1" applyAlignment="1" applyProtection="1">
      <alignment horizontal="center"/>
      <protection locked="0"/>
    </xf>
    <xf numFmtId="0" fontId="47" fillId="0" borderId="27" xfId="13" applyFont="1" applyBorder="1" applyAlignment="1" applyProtection="1">
      <alignment horizontal="center"/>
      <protection locked="0"/>
    </xf>
    <xf numFmtId="0" fontId="47" fillId="0" borderId="33" xfId="13" applyFont="1" applyBorder="1" applyProtection="1">
      <protection locked="0"/>
    </xf>
    <xf numFmtId="0" fontId="47" fillId="0" borderId="24" xfId="13" applyFont="1" applyBorder="1" applyProtection="1">
      <protection locked="0"/>
    </xf>
    <xf numFmtId="0" fontId="47" fillId="0" borderId="33" xfId="13" applyFont="1" applyBorder="1"/>
    <xf numFmtId="0" fontId="47" fillId="0" borderId="24" xfId="13" applyFont="1" applyBorder="1"/>
    <xf numFmtId="0" fontId="49" fillId="0" borderId="0" xfId="13" applyFont="1" applyProtection="1">
      <protection locked="0"/>
    </xf>
    <xf numFmtId="166" fontId="49" fillId="0" borderId="33" xfId="13" applyNumberFormat="1" applyFont="1" applyBorder="1"/>
    <xf numFmtId="166" fontId="49" fillId="0" borderId="24" xfId="13" applyNumberFormat="1" applyFont="1" applyBorder="1"/>
    <xf numFmtId="166" fontId="47" fillId="0" borderId="33" xfId="13" applyNumberFormat="1" applyFont="1" applyBorder="1"/>
    <xf numFmtId="166" fontId="47" fillId="0" borderId="24" xfId="13" applyNumberFormat="1" applyFont="1" applyBorder="1"/>
    <xf numFmtId="166" fontId="46" fillId="0" borderId="33" xfId="13" applyNumberFormat="1" applyFont="1" applyBorder="1" applyProtection="1">
      <protection locked="0"/>
    </xf>
    <xf numFmtId="166" fontId="46" fillId="0" borderId="24" xfId="13" applyNumberFormat="1" applyFont="1" applyBorder="1" applyProtection="1">
      <protection locked="0"/>
    </xf>
    <xf numFmtId="166" fontId="46" fillId="0" borderId="33" xfId="13" applyNumberFormat="1" applyFont="1" applyBorder="1"/>
    <xf numFmtId="166" fontId="46" fillId="0" borderId="24" xfId="13" applyNumberFormat="1" applyFont="1" applyBorder="1"/>
    <xf numFmtId="166" fontId="47" fillId="0" borderId="33" xfId="13" applyNumberFormat="1" applyFont="1" applyBorder="1" applyProtection="1">
      <protection locked="0"/>
    </xf>
    <xf numFmtId="166" fontId="47" fillId="0" borderId="24" xfId="13" applyNumberFormat="1" applyFont="1" applyBorder="1" applyProtection="1">
      <protection locked="0"/>
    </xf>
    <xf numFmtId="166" fontId="47" fillId="0" borderId="27" xfId="13" applyNumberFormat="1" applyFont="1" applyBorder="1"/>
    <xf numFmtId="0" fontId="48" fillId="0" borderId="0" xfId="13" applyFont="1" applyProtection="1">
      <protection locked="0"/>
    </xf>
    <xf numFmtId="166" fontId="48" fillId="0" borderId="35" xfId="13" applyNumberFormat="1" applyFont="1" applyBorder="1"/>
    <xf numFmtId="166" fontId="48" fillId="0" borderId="28" xfId="13" applyNumberFormat="1" applyFont="1" applyBorder="1"/>
    <xf numFmtId="0" fontId="47" fillId="0" borderId="34" xfId="13" applyFont="1" applyBorder="1" applyProtection="1">
      <protection locked="0"/>
    </xf>
    <xf numFmtId="0" fontId="47" fillId="0" borderId="27" xfId="13" applyFont="1" applyBorder="1" applyProtection="1">
      <protection locked="0"/>
    </xf>
    <xf numFmtId="0" fontId="47" fillId="0" borderId="21" xfId="13" applyFont="1" applyBorder="1"/>
    <xf numFmtId="166" fontId="48" fillId="0" borderId="0" xfId="13" applyNumberFormat="1" applyFont="1"/>
    <xf numFmtId="0" fontId="18" fillId="0" borderId="0" xfId="13" applyFont="1" applyProtection="1">
      <protection locked="0"/>
    </xf>
    <xf numFmtId="166" fontId="18" fillId="0" borderId="0" xfId="13" applyNumberFormat="1" applyFont="1"/>
    <xf numFmtId="17" fontId="47" fillId="0" borderId="0" xfId="13" applyNumberFormat="1" applyFont="1" applyProtection="1">
      <protection locked="0"/>
    </xf>
    <xf numFmtId="176" fontId="47" fillId="0" borderId="0" xfId="17" applyNumberFormat="1" applyFont="1"/>
    <xf numFmtId="176" fontId="47" fillId="0" borderId="0" xfId="13" applyNumberFormat="1" applyFont="1"/>
    <xf numFmtId="0" fontId="18" fillId="0" borderId="0" xfId="13" applyFont="1"/>
    <xf numFmtId="176" fontId="48" fillId="0" borderId="0" xfId="13" applyNumberFormat="1" applyFont="1"/>
    <xf numFmtId="0" fontId="50" fillId="0" borderId="0" xfId="13" applyFont="1"/>
    <xf numFmtId="176" fontId="51" fillId="0" borderId="0" xfId="17" applyNumberFormat="1" applyFont="1"/>
    <xf numFmtId="176" fontId="46" fillId="0" borderId="0" xfId="17" applyNumberFormat="1" applyFont="1"/>
    <xf numFmtId="166" fontId="49" fillId="0" borderId="36" xfId="13" applyNumberFormat="1" applyFont="1" applyBorder="1"/>
    <xf numFmtId="166" fontId="49" fillId="0" borderId="37" xfId="13" applyNumberFormat="1" applyFont="1" applyBorder="1"/>
    <xf numFmtId="0" fontId="49" fillId="0" borderId="33" xfId="13" applyFont="1" applyBorder="1" applyProtection="1">
      <protection locked="0"/>
    </xf>
    <xf numFmtId="0" fontId="49" fillId="0" borderId="24" xfId="13" applyFont="1" applyBorder="1" applyProtection="1">
      <protection locked="0"/>
    </xf>
    <xf numFmtId="166" fontId="49" fillId="0" borderId="33" xfId="13" applyNumberFormat="1" applyFont="1" applyBorder="1" applyProtection="1">
      <protection locked="0"/>
    </xf>
    <xf numFmtId="166" fontId="49" fillId="0" borderId="24" xfId="13" applyNumberFormat="1" applyFont="1" applyBorder="1" applyProtection="1">
      <protection locked="0"/>
    </xf>
    <xf numFmtId="0" fontId="47" fillId="0" borderId="6" xfId="13" applyFont="1" applyBorder="1" applyProtection="1">
      <protection locked="0"/>
    </xf>
    <xf numFmtId="166" fontId="47" fillId="0" borderId="34" xfId="13" applyNumberFormat="1" applyFont="1" applyBorder="1" applyProtection="1">
      <protection locked="0"/>
    </xf>
    <xf numFmtId="166" fontId="47" fillId="0" borderId="27" xfId="13" applyNumberFormat="1" applyFont="1" applyBorder="1" applyProtection="1">
      <protection locked="0"/>
    </xf>
    <xf numFmtId="166" fontId="47" fillId="0" borderId="8" xfId="13" applyNumberFormat="1" applyFont="1" applyBorder="1"/>
    <xf numFmtId="0" fontId="46" fillId="0" borderId="0" xfId="13" quotePrefix="1" applyFont="1" applyAlignment="1" applyProtection="1">
      <alignment horizontal="left"/>
      <protection locked="0"/>
    </xf>
    <xf numFmtId="166" fontId="46" fillId="0" borderId="8" xfId="13" applyNumberFormat="1" applyFont="1" applyBorder="1"/>
    <xf numFmtId="166" fontId="47" fillId="0" borderId="8" xfId="13" applyNumberFormat="1" applyFont="1" applyBorder="1" applyProtection="1">
      <protection locked="0"/>
    </xf>
    <xf numFmtId="166" fontId="50" fillId="0" borderId="8" xfId="13" applyNumberFormat="1" applyFont="1" applyBorder="1" applyProtection="1">
      <protection locked="0"/>
    </xf>
    <xf numFmtId="0" fontId="47" fillId="0" borderId="0" xfId="13" quotePrefix="1" applyFont="1" applyAlignment="1" applyProtection="1">
      <alignment horizontal="left"/>
      <protection locked="0"/>
    </xf>
    <xf numFmtId="166" fontId="46" fillId="0" borderId="8" xfId="13" applyNumberFormat="1" applyFont="1" applyBorder="1" applyProtection="1">
      <protection locked="0"/>
    </xf>
    <xf numFmtId="166" fontId="47" fillId="0" borderId="5" xfId="13" applyNumberFormat="1" applyFont="1" applyBorder="1"/>
    <xf numFmtId="166" fontId="47" fillId="0" borderId="34" xfId="13" applyNumberFormat="1" applyFont="1" applyBorder="1"/>
    <xf numFmtId="166" fontId="47" fillId="0" borderId="0" xfId="13" applyNumberFormat="1" applyFont="1"/>
    <xf numFmtId="17" fontId="52" fillId="0" borderId="0" xfId="13" applyNumberFormat="1" applyFont="1" applyProtection="1">
      <protection locked="0"/>
    </xf>
    <xf numFmtId="17" fontId="48" fillId="0" borderId="3" xfId="13" applyNumberFormat="1" applyFont="1" applyBorder="1" applyAlignment="1" applyProtection="1">
      <alignment horizontal="center"/>
      <protection locked="0"/>
    </xf>
    <xf numFmtId="0" fontId="47" fillId="0" borderId="5" xfId="13" applyFont="1" applyBorder="1" applyProtection="1">
      <protection locked="0"/>
    </xf>
    <xf numFmtId="0" fontId="47" fillId="0" borderId="8" xfId="13" applyFont="1" applyBorder="1" applyProtection="1">
      <protection locked="0"/>
    </xf>
    <xf numFmtId="166" fontId="50" fillId="0" borderId="24" xfId="13" applyNumberFormat="1" applyFont="1" applyBorder="1"/>
    <xf numFmtId="166" fontId="47" fillId="0" borderId="5" xfId="13" applyNumberFormat="1" applyFont="1" applyBorder="1" applyProtection="1">
      <protection locked="0"/>
    </xf>
    <xf numFmtId="166" fontId="46" fillId="0" borderId="10" xfId="13" applyNumberFormat="1" applyFont="1" applyBorder="1"/>
    <xf numFmtId="166" fontId="46" fillId="0" borderId="28" xfId="13" applyNumberFormat="1" applyFont="1" applyBorder="1"/>
    <xf numFmtId="166" fontId="46" fillId="0" borderId="0" xfId="13" applyNumberFormat="1" applyFont="1"/>
    <xf numFmtId="3" fontId="46" fillId="0" borderId="0" xfId="13" applyNumberFormat="1" applyFont="1"/>
    <xf numFmtId="0" fontId="47" fillId="0" borderId="0" xfId="13" quotePrefix="1" applyFont="1" applyProtection="1">
      <protection locked="0"/>
    </xf>
    <xf numFmtId="3" fontId="47" fillId="0" borderId="0" xfId="13" applyNumberFormat="1" applyFont="1" applyProtection="1">
      <protection locked="0"/>
    </xf>
    <xf numFmtId="0" fontId="53" fillId="0" borderId="0" xfId="13" applyFont="1" applyProtection="1">
      <protection locked="0"/>
    </xf>
    <xf numFmtId="3" fontId="47" fillId="0" borderId="8" xfId="13" applyNumberFormat="1" applyFont="1" applyBorder="1"/>
    <xf numFmtId="3" fontId="47" fillId="0" borderId="24" xfId="13" applyNumberFormat="1" applyFont="1" applyBorder="1"/>
    <xf numFmtId="166" fontId="47" fillId="0" borderId="10" xfId="13" applyNumberFormat="1" applyFont="1" applyBorder="1" applyProtection="1">
      <protection locked="0"/>
    </xf>
    <xf numFmtId="166" fontId="47" fillId="0" borderId="28" xfId="13" applyNumberFormat="1" applyFont="1" applyBorder="1" applyProtection="1">
      <protection locked="0"/>
    </xf>
    <xf numFmtId="166" fontId="48" fillId="0" borderId="3" xfId="13" applyNumberFormat="1" applyFont="1" applyBorder="1" applyAlignment="1" applyProtection="1">
      <alignment horizontal="right"/>
      <protection locked="0"/>
    </xf>
    <xf numFmtId="166" fontId="48" fillId="0" borderId="21" xfId="13" applyNumberFormat="1" applyFont="1" applyBorder="1" applyAlignment="1" applyProtection="1">
      <alignment horizontal="right"/>
      <protection locked="0"/>
    </xf>
    <xf numFmtId="0" fontId="25" fillId="0" borderId="0" xfId="13"/>
    <xf numFmtId="0" fontId="48" fillId="0" borderId="0" xfId="13" applyFont="1"/>
    <xf numFmtId="17" fontId="49" fillId="0" borderId="21" xfId="13" applyNumberFormat="1" applyFont="1" applyBorder="1" applyProtection="1">
      <protection locked="0"/>
    </xf>
    <xf numFmtId="0" fontId="47" fillId="0" borderId="8" xfId="13" quotePrefix="1" applyFont="1" applyBorder="1" applyAlignment="1" applyProtection="1">
      <alignment horizontal="left"/>
      <protection locked="0"/>
    </xf>
    <xf numFmtId="0" fontId="54" fillId="0" borderId="24" xfId="13" applyFont="1" applyBorder="1" applyProtection="1">
      <protection locked="0"/>
    </xf>
    <xf numFmtId="0" fontId="46" fillId="0" borderId="8" xfId="13" applyFont="1" applyBorder="1" applyProtection="1">
      <protection locked="0"/>
    </xf>
    <xf numFmtId="0" fontId="47" fillId="0" borderId="8" xfId="13" quotePrefix="1" applyFont="1" applyBorder="1" applyProtection="1">
      <protection locked="0"/>
    </xf>
    <xf numFmtId="0" fontId="46" fillId="0" borderId="28" xfId="13" applyFont="1" applyBorder="1" applyProtection="1">
      <protection locked="0"/>
    </xf>
    <xf numFmtId="0" fontId="48" fillId="0" borderId="27" xfId="13" applyFont="1" applyBorder="1" applyProtection="1">
      <protection locked="0"/>
    </xf>
    <xf numFmtId="0" fontId="48" fillId="0" borderId="5" xfId="13" applyFont="1" applyBorder="1" applyAlignment="1" applyProtection="1">
      <alignment horizontal="right"/>
      <protection locked="0"/>
    </xf>
    <xf numFmtId="1" fontId="48" fillId="0" borderId="5" xfId="13" applyNumberFormat="1" applyFont="1" applyBorder="1" applyAlignment="1" applyProtection="1">
      <alignment horizontal="right"/>
      <protection locked="0"/>
    </xf>
    <xf numFmtId="1" fontId="48" fillId="0" borderId="27" xfId="13" applyNumberFormat="1" applyFont="1" applyBorder="1" applyAlignment="1" applyProtection="1">
      <alignment horizontal="right"/>
      <protection locked="0"/>
    </xf>
    <xf numFmtId="166" fontId="46" fillId="0" borderId="38" xfId="13" applyNumberFormat="1" applyFont="1" applyBorder="1"/>
    <xf numFmtId="166" fontId="46" fillId="0" borderId="37" xfId="13" applyNumberFormat="1" applyFont="1" applyBorder="1"/>
    <xf numFmtId="3" fontId="47" fillId="0" borderId="0" xfId="13" applyNumberFormat="1" applyFont="1"/>
    <xf numFmtId="0" fontId="55" fillId="0" borderId="8" xfId="13" applyFont="1" applyBorder="1" applyProtection="1">
      <protection locked="0"/>
    </xf>
    <xf numFmtId="3" fontId="50" fillId="0" borderId="0" xfId="13" applyNumberFormat="1" applyFont="1"/>
    <xf numFmtId="166" fontId="50" fillId="0" borderId="8" xfId="13" applyNumberFormat="1" applyFont="1" applyBorder="1"/>
    <xf numFmtId="166" fontId="47" fillId="0" borderId="38" xfId="13" applyNumberFormat="1" applyFont="1" applyBorder="1"/>
    <xf numFmtId="166" fontId="47" fillId="0" borderId="37" xfId="13" applyNumberFormat="1" applyFont="1" applyBorder="1"/>
    <xf numFmtId="3" fontId="48" fillId="0" borderId="21" xfId="13" applyNumberFormat="1" applyFont="1" applyBorder="1" applyAlignment="1" applyProtection="1">
      <alignment horizontal="center"/>
      <protection locked="0"/>
    </xf>
    <xf numFmtId="3" fontId="47" fillId="0" borderId="27" xfId="13" applyNumberFormat="1" applyFont="1" applyBorder="1" applyProtection="1">
      <protection locked="0"/>
    </xf>
    <xf numFmtId="3" fontId="47" fillId="0" borderId="8" xfId="13" applyNumberFormat="1" applyFont="1" applyBorder="1" applyProtection="1">
      <protection locked="0"/>
    </xf>
    <xf numFmtId="3" fontId="47" fillId="0" borderId="24" xfId="13" applyNumberFormat="1" applyFont="1" applyBorder="1" applyProtection="1">
      <protection locked="0"/>
    </xf>
    <xf numFmtId="166" fontId="47" fillId="0" borderId="39" xfId="13" applyNumberFormat="1" applyFont="1" applyBorder="1"/>
    <xf numFmtId="166" fontId="47" fillId="0" borderId="40" xfId="13" applyNumberFormat="1" applyFont="1" applyBorder="1"/>
    <xf numFmtId="0" fontId="47" fillId="0" borderId="28" xfId="13" applyFont="1" applyBorder="1"/>
    <xf numFmtId="10" fontId="47" fillId="0" borderId="11" xfId="13" applyNumberFormat="1" applyFont="1" applyBorder="1"/>
    <xf numFmtId="10" fontId="47" fillId="0" borderId="12" xfId="13" applyNumberFormat="1" applyFont="1" applyBorder="1"/>
    <xf numFmtId="10" fontId="47" fillId="0" borderId="0" xfId="13" applyNumberFormat="1" applyFont="1"/>
    <xf numFmtId="0" fontId="54" fillId="0" borderId="8" xfId="13" applyFont="1" applyBorder="1" applyProtection="1">
      <protection locked="0"/>
    </xf>
    <xf numFmtId="0" fontId="46" fillId="0" borderId="28" xfId="13" quotePrefix="1" applyFont="1" applyBorder="1" applyAlignment="1" applyProtection="1">
      <alignment horizontal="left"/>
      <protection locked="0"/>
    </xf>
    <xf numFmtId="166" fontId="46" fillId="0" borderId="38" xfId="13" applyNumberFormat="1" applyFont="1" applyBorder="1" applyProtection="1">
      <protection locked="0"/>
    </xf>
    <xf numFmtId="166" fontId="46" fillId="0" borderId="37" xfId="13" applyNumberFormat="1" applyFont="1" applyBorder="1" applyProtection="1">
      <protection locked="0"/>
    </xf>
    <xf numFmtId="164" fontId="56" fillId="0" borderId="0" xfId="13" applyNumberFormat="1" applyFont="1" applyProtection="1">
      <protection locked="0"/>
    </xf>
    <xf numFmtId="0" fontId="47" fillId="0" borderId="8" xfId="13" applyFont="1" applyBorder="1"/>
    <xf numFmtId="0" fontId="47" fillId="0" borderId="8" xfId="13" quotePrefix="1" applyFont="1" applyBorder="1" applyAlignment="1">
      <alignment horizontal="left"/>
    </xf>
    <xf numFmtId="0" fontId="47" fillId="0" borderId="8" xfId="18" quotePrefix="1" applyFont="1" applyBorder="1" applyAlignment="1">
      <alignment horizontal="left"/>
    </xf>
    <xf numFmtId="0" fontId="54" fillId="0" borderId="8" xfId="13" quotePrefix="1" applyFont="1" applyBorder="1" applyAlignment="1" applyProtection="1">
      <alignment horizontal="left"/>
      <protection locked="0"/>
    </xf>
    <xf numFmtId="0" fontId="49" fillId="0" borderId="21" xfId="13" applyFont="1" applyBorder="1" applyProtection="1">
      <protection locked="0"/>
    </xf>
    <xf numFmtId="166" fontId="25" fillId="0" borderId="0" xfId="13" applyNumberFormat="1"/>
    <xf numFmtId="166" fontId="47" fillId="0" borderId="3" xfId="13" applyNumberFormat="1" applyFont="1" applyBorder="1" applyProtection="1">
      <protection locked="0"/>
    </xf>
    <xf numFmtId="166" fontId="47" fillId="0" borderId="21" xfId="13" applyNumberFormat="1" applyFont="1" applyBorder="1" applyProtection="1">
      <protection locked="0"/>
    </xf>
    <xf numFmtId="0" fontId="46" fillId="0" borderId="21" xfId="13" applyFont="1" applyBorder="1"/>
    <xf numFmtId="166" fontId="46" fillId="0" borderId="4" xfId="13" applyNumberFormat="1" applyFont="1" applyBorder="1"/>
    <xf numFmtId="166" fontId="46" fillId="0" borderId="3" xfId="13" applyNumberFormat="1" applyFont="1" applyBorder="1"/>
    <xf numFmtId="166" fontId="46" fillId="0" borderId="21" xfId="13" applyNumberFormat="1" applyFont="1" applyBorder="1"/>
    <xf numFmtId="0" fontId="46" fillId="0" borderId="27" xfId="13" quotePrefix="1" applyFont="1" applyBorder="1" applyAlignment="1">
      <alignment horizontal="left"/>
    </xf>
    <xf numFmtId="166" fontId="47" fillId="0" borderId="6" xfId="13" applyNumberFormat="1" applyFont="1" applyBorder="1"/>
    <xf numFmtId="1" fontId="47" fillId="0" borderId="5" xfId="13" applyNumberFormat="1" applyFont="1" applyBorder="1" applyProtection="1">
      <protection locked="0"/>
    </xf>
    <xf numFmtId="1" fontId="47" fillId="0" borderId="27" xfId="13" applyNumberFormat="1" applyFont="1" applyBorder="1" applyProtection="1">
      <protection locked="0"/>
    </xf>
    <xf numFmtId="17" fontId="48" fillId="0" borderId="21" xfId="13" applyNumberFormat="1" applyFont="1" applyBorder="1" applyProtection="1">
      <protection locked="0"/>
    </xf>
    <xf numFmtId="0" fontId="18" fillId="0" borderId="3" xfId="13" applyFont="1" applyBorder="1" applyProtection="1">
      <protection locked="0"/>
    </xf>
    <xf numFmtId="4" fontId="47" fillId="0" borderId="3" xfId="13" applyNumberFormat="1" applyFont="1" applyBorder="1"/>
    <xf numFmtId="4" fontId="47" fillId="0" borderId="21" xfId="13" applyNumberFormat="1" applyFont="1" applyBorder="1"/>
    <xf numFmtId="0" fontId="18" fillId="0" borderId="8" xfId="13" applyFont="1" applyBorder="1" applyProtection="1">
      <protection locked="0"/>
    </xf>
    <xf numFmtId="4" fontId="47" fillId="0" borderId="8" xfId="13" applyNumberFormat="1" applyFont="1" applyBorder="1"/>
    <xf numFmtId="4" fontId="47" fillId="0" borderId="24" xfId="13" applyNumberFormat="1" applyFont="1" applyBorder="1"/>
    <xf numFmtId="2" fontId="47" fillId="0" borderId="8" xfId="13" applyNumberFormat="1" applyFont="1" applyBorder="1" applyAlignment="1">
      <alignment horizontal="right"/>
    </xf>
    <xf numFmtId="2" fontId="47" fillId="0" borderId="24" xfId="13" applyNumberFormat="1" applyFont="1" applyBorder="1" applyAlignment="1">
      <alignment horizontal="right"/>
    </xf>
    <xf numFmtId="0" fontId="18" fillId="0" borderId="5" xfId="13" applyFont="1" applyBorder="1" applyProtection="1">
      <protection locked="0"/>
    </xf>
    <xf numFmtId="4" fontId="47" fillId="0" borderId="5" xfId="13" applyNumberFormat="1" applyFont="1" applyBorder="1"/>
    <xf numFmtId="4" fontId="47" fillId="0" borderId="27" xfId="13" applyNumberFormat="1" applyFont="1" applyBorder="1"/>
    <xf numFmtId="0" fontId="18" fillId="0" borderId="8" xfId="13" quotePrefix="1" applyFont="1" applyBorder="1" applyAlignment="1" applyProtection="1">
      <alignment horizontal="left"/>
      <protection locked="0"/>
    </xf>
    <xf numFmtId="2" fontId="47" fillId="0" borderId="8" xfId="13" applyNumberFormat="1" applyFont="1" applyBorder="1"/>
    <xf numFmtId="2" fontId="47" fillId="0" borderId="24" xfId="13" applyNumberFormat="1" applyFont="1" applyBorder="1"/>
    <xf numFmtId="4" fontId="47" fillId="0" borderId="0" xfId="13" applyNumberFormat="1" applyFont="1"/>
    <xf numFmtId="0" fontId="18" fillId="0" borderId="3" xfId="13" quotePrefix="1" applyFont="1" applyBorder="1" applyAlignment="1" applyProtection="1">
      <alignment horizontal="left"/>
      <protection locked="0"/>
    </xf>
    <xf numFmtId="2" fontId="47" fillId="0" borderId="3" xfId="13" applyNumberFormat="1" applyFont="1" applyBorder="1" applyAlignment="1">
      <alignment horizontal="right"/>
    </xf>
    <xf numFmtId="2" fontId="47" fillId="0" borderId="21" xfId="13" applyNumberFormat="1" applyFont="1" applyBorder="1" applyAlignment="1">
      <alignment horizontal="right"/>
    </xf>
    <xf numFmtId="0" fontId="18" fillId="0" borderId="3" xfId="13" quotePrefix="1" applyFont="1" applyBorder="1" applyAlignment="1">
      <alignment horizontal="left"/>
    </xf>
    <xf numFmtId="0" fontId="18" fillId="0" borderId="8" xfId="13" quotePrefix="1" applyFont="1" applyBorder="1" applyAlignment="1">
      <alignment horizontal="left"/>
    </xf>
    <xf numFmtId="0" fontId="18" fillId="0" borderId="8" xfId="13" applyFont="1" applyBorder="1" applyAlignment="1">
      <alignment horizontal="left"/>
    </xf>
    <xf numFmtId="0" fontId="18" fillId="0" borderId="5" xfId="13" quotePrefix="1" applyFont="1" applyBorder="1" applyAlignment="1" applyProtection="1">
      <alignment horizontal="left"/>
      <protection locked="0"/>
    </xf>
    <xf numFmtId="3" fontId="47" fillId="0" borderId="5" xfId="13" applyNumberFormat="1" applyFont="1" applyBorder="1"/>
    <xf numFmtId="3" fontId="47" fillId="0" borderId="27" xfId="13" applyNumberFormat="1" applyFont="1" applyBorder="1"/>
    <xf numFmtId="0" fontId="54" fillId="0" borderId="3" xfId="13" applyFont="1" applyBorder="1"/>
    <xf numFmtId="0" fontId="47" fillId="0" borderId="4" xfId="13" applyFont="1" applyBorder="1"/>
    <xf numFmtId="0" fontId="47" fillId="0" borderId="8" xfId="13" applyFont="1" applyBorder="1" applyAlignment="1">
      <alignment horizontal="left"/>
    </xf>
    <xf numFmtId="0" fontId="47" fillId="0" borderId="5" xfId="13" quotePrefix="1" applyFont="1" applyBorder="1" applyAlignment="1">
      <alignment horizontal="left"/>
    </xf>
    <xf numFmtId="0" fontId="47" fillId="0" borderId="6" xfId="13" applyFont="1" applyBorder="1"/>
    <xf numFmtId="0" fontId="47" fillId="0" borderId="0" xfId="13" quotePrefix="1" applyFont="1" applyAlignment="1">
      <alignment horizontal="left"/>
    </xf>
    <xf numFmtId="0" fontId="44" fillId="0" borderId="41" xfId="16" applyBorder="1"/>
    <xf numFmtId="3" fontId="48" fillId="0" borderId="9" xfId="16" applyNumberFormat="1" applyFont="1" applyBorder="1"/>
    <xf numFmtId="3" fontId="18" fillId="0" borderId="9" xfId="16" applyNumberFormat="1" applyFont="1" applyBorder="1"/>
    <xf numFmtId="0" fontId="18" fillId="0" borderId="0" xfId="16" applyFont="1"/>
    <xf numFmtId="0" fontId="18" fillId="0" borderId="8" xfId="16" quotePrefix="1" applyFont="1" applyBorder="1"/>
    <xf numFmtId="3" fontId="44" fillId="0" borderId="9" xfId="16" applyNumberFormat="1" applyBorder="1"/>
    <xf numFmtId="0" fontId="44" fillId="0" borderId="9" xfId="16" applyBorder="1"/>
    <xf numFmtId="0" fontId="57" fillId="0" borderId="0" xfId="16" applyFont="1"/>
    <xf numFmtId="0" fontId="58" fillId="0" borderId="3" xfId="16" applyFont="1" applyBorder="1"/>
    <xf numFmtId="3" fontId="58" fillId="0" borderId="4" xfId="16" applyNumberFormat="1" applyFont="1" applyBorder="1"/>
    <xf numFmtId="3" fontId="58" fillId="0" borderId="2" xfId="16" applyNumberFormat="1" applyFont="1" applyBorder="1"/>
    <xf numFmtId="0" fontId="58" fillId="0" borderId="8" xfId="16" applyFont="1" applyBorder="1"/>
    <xf numFmtId="3" fontId="58" fillId="0" borderId="0" xfId="16" applyNumberFormat="1" applyFont="1"/>
    <xf numFmtId="3" fontId="58" fillId="0" borderId="9" xfId="16" applyNumberFormat="1" applyFont="1" applyBorder="1"/>
    <xf numFmtId="164" fontId="58" fillId="0" borderId="0" xfId="19" applyNumberFormat="1" applyFont="1"/>
    <xf numFmtId="0" fontId="58" fillId="0" borderId="5" xfId="16" applyFont="1" applyBorder="1"/>
    <xf numFmtId="3" fontId="58" fillId="0" borderId="6" xfId="16" applyNumberFormat="1" applyFont="1" applyBorder="1"/>
    <xf numFmtId="3" fontId="58" fillId="0" borderId="7" xfId="16" applyNumberFormat="1" applyFont="1" applyBorder="1"/>
    <xf numFmtId="164" fontId="58" fillId="0" borderId="6" xfId="16" applyNumberFormat="1" applyFont="1" applyBorder="1"/>
    <xf numFmtId="0" fontId="58" fillId="0" borderId="0" xfId="16" applyFont="1"/>
    <xf numFmtId="0" fontId="44" fillId="0" borderId="2" xfId="16" applyBorder="1"/>
    <xf numFmtId="164" fontId="58" fillId="0" borderId="0" xfId="16" applyNumberFormat="1" applyFont="1"/>
    <xf numFmtId="3" fontId="44" fillId="0" borderId="0" xfId="16" applyNumberFormat="1"/>
    <xf numFmtId="166" fontId="58" fillId="0" borderId="0" xfId="16" applyNumberFormat="1" applyFont="1"/>
    <xf numFmtId="165" fontId="58" fillId="0" borderId="0" xfId="16" applyNumberFormat="1" applyFont="1"/>
    <xf numFmtId="165" fontId="44" fillId="0" borderId="0" xfId="16" applyNumberFormat="1"/>
    <xf numFmtId="164" fontId="58" fillId="0" borderId="6" xfId="19" applyNumberFormat="1" applyFont="1" applyBorder="1"/>
    <xf numFmtId="17" fontId="59" fillId="0" borderId="0" xfId="16" applyNumberFormat="1" applyFont="1"/>
    <xf numFmtId="0" fontId="44" fillId="0" borderId="33" xfId="16" applyBorder="1"/>
    <xf numFmtId="0" fontId="48" fillId="0" borderId="33" xfId="16" applyFont="1" applyBorder="1"/>
    <xf numFmtId="3" fontId="48" fillId="0" borderId="0" xfId="16" applyNumberFormat="1" applyFont="1"/>
    <xf numFmtId="0" fontId="18" fillId="0" borderId="33" xfId="16" applyFont="1" applyBorder="1"/>
    <xf numFmtId="166" fontId="44" fillId="0" borderId="0" xfId="16" applyNumberFormat="1"/>
    <xf numFmtId="166" fontId="18" fillId="0" borderId="0" xfId="16" applyNumberFormat="1" applyFont="1"/>
    <xf numFmtId="0" fontId="49" fillId="0" borderId="33" xfId="16" applyFont="1" applyBorder="1" applyAlignment="1">
      <alignment horizontal="center"/>
    </xf>
    <xf numFmtId="0" fontId="48" fillId="0" borderId="0" xfId="16" applyFont="1"/>
    <xf numFmtId="0" fontId="18" fillId="0" borderId="32" xfId="16" applyFont="1" applyBorder="1"/>
    <xf numFmtId="164" fontId="18" fillId="0" borderId="0" xfId="19" applyNumberFormat="1"/>
    <xf numFmtId="164" fontId="18" fillId="0" borderId="4" xfId="19" applyNumberFormat="1" applyBorder="1"/>
    <xf numFmtId="164" fontId="18" fillId="0" borderId="9" xfId="19" applyNumberFormat="1" applyBorder="1"/>
    <xf numFmtId="3" fontId="18" fillId="0" borderId="0" xfId="19" applyNumberFormat="1"/>
    <xf numFmtId="3" fontId="18" fillId="0" borderId="9" xfId="19" applyNumberFormat="1" applyBorder="1"/>
    <xf numFmtId="166" fontId="18" fillId="0" borderId="0" xfId="19" applyNumberFormat="1"/>
    <xf numFmtId="166" fontId="18" fillId="0" borderId="9" xfId="19" applyNumberFormat="1" applyBorder="1"/>
    <xf numFmtId="166" fontId="18" fillId="0" borderId="33" xfId="16" applyNumberFormat="1" applyFont="1" applyBorder="1"/>
    <xf numFmtId="0" fontId="18" fillId="2" borderId="34" xfId="16" applyFont="1" applyFill="1" applyBorder="1"/>
    <xf numFmtId="166" fontId="18" fillId="2" borderId="6" xfId="19" applyNumberFormat="1" applyFill="1" applyBorder="1"/>
    <xf numFmtId="166" fontId="18" fillId="2" borderId="7" xfId="19" applyNumberFormat="1" applyFill="1" applyBorder="1"/>
    <xf numFmtId="3" fontId="18" fillId="0" borderId="32" xfId="16" quotePrefix="1" applyNumberFormat="1" applyFont="1" applyBorder="1"/>
    <xf numFmtId="166" fontId="18" fillId="0" borderId="4" xfId="16" applyNumberFormat="1" applyFont="1" applyBorder="1"/>
    <xf numFmtId="3" fontId="18" fillId="0" borderId="2" xfId="16" applyNumberFormat="1" applyFont="1" applyBorder="1"/>
    <xf numFmtId="3" fontId="18" fillId="0" borderId="33" xfId="16" quotePrefix="1" applyNumberFormat="1" applyFont="1" applyBorder="1"/>
    <xf numFmtId="3" fontId="18" fillId="0" borderId="34" xfId="16" quotePrefix="1" applyNumberFormat="1" applyFont="1" applyBorder="1"/>
    <xf numFmtId="166" fontId="18" fillId="0" borderId="6" xfId="16" applyNumberFormat="1" applyFont="1" applyBorder="1"/>
    <xf numFmtId="3" fontId="18" fillId="0" borderId="7" xfId="16" applyNumberFormat="1" applyFont="1" applyBorder="1"/>
    <xf numFmtId="3" fontId="44" fillId="0" borderId="35" xfId="16" applyNumberFormat="1" applyBorder="1"/>
    <xf numFmtId="3" fontId="44" fillId="0" borderId="11" xfId="16" applyNumberFormat="1" applyBorder="1"/>
    <xf numFmtId="3" fontId="44" fillId="0" borderId="12" xfId="16" applyNumberFormat="1" applyBorder="1"/>
    <xf numFmtId="3" fontId="44" fillId="0" borderId="33" xfId="16" applyNumberFormat="1" applyBorder="1"/>
    <xf numFmtId="3" fontId="18" fillId="0" borderId="33" xfId="16" applyNumberFormat="1" applyFont="1" applyBorder="1"/>
    <xf numFmtId="17" fontId="48" fillId="0" borderId="0" xfId="16" applyNumberFormat="1" applyFont="1"/>
    <xf numFmtId="17" fontId="49" fillId="0" borderId="0" xfId="16" applyNumberFormat="1" applyFont="1"/>
    <xf numFmtId="3" fontId="18" fillId="0" borderId="0" xfId="16" applyNumberFormat="1" applyFont="1"/>
    <xf numFmtId="3" fontId="44" fillId="0" borderId="7" xfId="16" applyNumberFormat="1" applyBorder="1"/>
    <xf numFmtId="166" fontId="44" fillId="0" borderId="11" xfId="16" applyNumberFormat="1" applyBorder="1"/>
    <xf numFmtId="0" fontId="44" fillId="0" borderId="0" xfId="16" applyAlignment="1">
      <alignment horizontal="right"/>
    </xf>
    <xf numFmtId="17" fontId="59" fillId="0" borderId="0" xfId="16" applyNumberFormat="1" applyFont="1" applyAlignment="1">
      <alignment horizontal="right"/>
    </xf>
    <xf numFmtId="3" fontId="47" fillId="0" borderId="0" xfId="16" applyNumberFormat="1" applyFont="1" applyAlignment="1">
      <alignment horizontal="right"/>
    </xf>
    <xf numFmtId="0" fontId="44" fillId="0" borderId="42" xfId="16" applyBorder="1"/>
    <xf numFmtId="0" fontId="44" fillId="0" borderId="43" xfId="16" applyBorder="1"/>
    <xf numFmtId="0" fontId="18" fillId="0" borderId="33" xfId="16" quotePrefix="1" applyFont="1" applyBorder="1"/>
    <xf numFmtId="176" fontId="0" fillId="0" borderId="0" xfId="17" applyNumberFormat="1" applyFont="1"/>
    <xf numFmtId="176" fontId="44" fillId="0" borderId="0" xfId="16" applyNumberFormat="1"/>
    <xf numFmtId="3" fontId="60" fillId="0" borderId="0" xfId="16" applyNumberFormat="1" applyFont="1"/>
    <xf numFmtId="0" fontId="44" fillId="0" borderId="33" xfId="16" quotePrefix="1" applyBorder="1"/>
    <xf numFmtId="0" fontId="44" fillId="0" borderId="4" xfId="16" applyBorder="1"/>
    <xf numFmtId="0" fontId="44" fillId="0" borderId="6" xfId="16" applyBorder="1"/>
    <xf numFmtId="17" fontId="48" fillId="0" borderId="10" xfId="16" applyNumberFormat="1" applyFont="1" applyBorder="1"/>
    <xf numFmtId="17" fontId="48" fillId="0" borderId="11" xfId="16" applyNumberFormat="1" applyFont="1" applyBorder="1"/>
    <xf numFmtId="17" fontId="48" fillId="0" borderId="12" xfId="16" applyNumberFormat="1" applyFont="1" applyBorder="1"/>
    <xf numFmtId="0" fontId="18" fillId="0" borderId="3" xfId="16" quotePrefix="1" applyFont="1" applyBorder="1"/>
    <xf numFmtId="9" fontId="18" fillId="0" borderId="4" xfId="16" applyNumberFormat="1" applyFont="1" applyBorder="1"/>
    <xf numFmtId="9" fontId="18" fillId="0" borderId="2" xfId="16" applyNumberFormat="1" applyFont="1" applyBorder="1"/>
    <xf numFmtId="9" fontId="18" fillId="0" borderId="0" xfId="16" applyNumberFormat="1" applyFont="1"/>
    <xf numFmtId="9" fontId="18" fillId="0" borderId="9" xfId="16" applyNumberFormat="1" applyFont="1" applyBorder="1"/>
    <xf numFmtId="0" fontId="18" fillId="0" borderId="5" xfId="16" quotePrefix="1" applyFont="1" applyBorder="1"/>
    <xf numFmtId="9" fontId="18" fillId="0" borderId="6" xfId="16" applyNumberFormat="1" applyFont="1" applyBorder="1"/>
    <xf numFmtId="9" fontId="18" fillId="0" borderId="7" xfId="16" applyNumberFormat="1" applyFont="1" applyBorder="1"/>
    <xf numFmtId="0" fontId="15" fillId="0" borderId="0" xfId="0" applyFont="1" applyAlignment="1">
      <alignment horizontal="center"/>
    </xf>
    <xf numFmtId="0" fontId="16" fillId="0" borderId="0" xfId="0" applyFont="1"/>
    <xf numFmtId="0" fontId="17" fillId="0" borderId="0" xfId="0" applyFont="1" applyAlignment="1">
      <alignment horizontal="right"/>
    </xf>
    <xf numFmtId="0" fontId="15" fillId="0" borderId="0" xfId="0" applyFont="1" applyAlignment="1">
      <alignment horizontal="center" vertical="center"/>
    </xf>
    <xf numFmtId="0" fontId="15" fillId="0" borderId="0" xfId="0" applyFont="1" applyAlignment="1">
      <alignment vertical="center"/>
    </xf>
    <xf numFmtId="3" fontId="16" fillId="0" borderId="0" xfId="0" applyNumberFormat="1" applyFont="1"/>
    <xf numFmtId="0" fontId="12" fillId="0" borderId="0" xfId="12"/>
    <xf numFmtId="1" fontId="15" fillId="0" borderId="0" xfId="0" applyNumberFormat="1" applyFont="1"/>
    <xf numFmtId="3" fontId="22" fillId="0" borderId="0" xfId="0" applyNumberFormat="1" applyFont="1"/>
    <xf numFmtId="0" fontId="12" fillId="0" borderId="0" xfId="10" applyFont="1"/>
    <xf numFmtId="0" fontId="20" fillId="0" borderId="0" xfId="10" quotePrefix="1" applyFont="1"/>
    <xf numFmtId="0" fontId="14" fillId="0" borderId="0" xfId="0" applyFont="1" applyAlignment="1">
      <alignment horizontal="left"/>
    </xf>
    <xf numFmtId="0" fontId="20" fillId="0" borderId="0" xfId="10" applyFont="1"/>
    <xf numFmtId="3" fontId="12" fillId="0" borderId="0" xfId="0" quotePrefix="1" applyNumberFormat="1" applyFont="1"/>
    <xf numFmtId="3" fontId="22" fillId="0" borderId="0" xfId="0" quotePrefix="1" applyNumberFormat="1" applyFont="1"/>
    <xf numFmtId="3" fontId="17" fillId="0" borderId="0" xfId="0" applyNumberFormat="1" applyFont="1"/>
    <xf numFmtId="3" fontId="12" fillId="0" borderId="0" xfId="0" quotePrefix="1" applyNumberFormat="1" applyFont="1" applyAlignment="1">
      <alignment horizontal="left"/>
    </xf>
    <xf numFmtId="164" fontId="15" fillId="0" borderId="0" xfId="2" applyNumberFormat="1" applyFont="1" applyBorder="1"/>
    <xf numFmtId="170" fontId="15" fillId="0" borderId="0" xfId="0" applyNumberFormat="1" applyFont="1"/>
    <xf numFmtId="0" fontId="17" fillId="0" borderId="0" xfId="0" applyFont="1" applyAlignment="1">
      <alignment horizontal="center"/>
    </xf>
    <xf numFmtId="3" fontId="15" fillId="12" borderId="0" xfId="0" applyNumberFormat="1" applyFont="1" applyFill="1"/>
    <xf numFmtId="3" fontId="15" fillId="12" borderId="14" xfId="0" applyNumberFormat="1" applyFont="1" applyFill="1" applyBorder="1"/>
    <xf numFmtId="0" fontId="19" fillId="12" borderId="0" xfId="10" applyFont="1" applyFill="1" applyAlignment="1">
      <alignment horizontal="right" vertical="center"/>
    </xf>
    <xf numFmtId="0" fontId="19" fillId="12" borderId="14" xfId="10" applyFont="1" applyFill="1" applyBorder="1" applyAlignment="1">
      <alignment horizontal="right" vertical="center"/>
    </xf>
    <xf numFmtId="3" fontId="12" fillId="0" borderId="0" xfId="10" applyNumberFormat="1" applyFont="1" applyAlignment="1">
      <alignment horizontal="right" vertical="center"/>
    </xf>
    <xf numFmtId="0" fontId="14" fillId="0" borderId="0" xfId="10" applyFont="1"/>
    <xf numFmtId="3" fontId="14" fillId="0" borderId="0" xfId="10" applyNumberFormat="1" applyFont="1"/>
    <xf numFmtId="0" fontId="12" fillId="0" borderId="0" xfId="10" applyFont="1" applyAlignment="1">
      <alignment horizontal="left" indent="1"/>
    </xf>
    <xf numFmtId="3" fontId="28" fillId="0" borderId="0" xfId="0" applyNumberFormat="1" applyFont="1"/>
    <xf numFmtId="164" fontId="17" fillId="0" borderId="0" xfId="2" applyNumberFormat="1" applyFont="1" applyAlignment="1">
      <alignment horizontal="right"/>
    </xf>
    <xf numFmtId="0" fontId="32" fillId="10" borderId="17" xfId="23" applyFont="1" applyFill="1" applyBorder="1" applyAlignment="1">
      <alignment horizontal="left"/>
    </xf>
    <xf numFmtId="0" fontId="37" fillId="0" borderId="0" xfId="23"/>
    <xf numFmtId="0" fontId="32" fillId="10" borderId="22" xfId="23" applyFont="1" applyFill="1" applyBorder="1" applyAlignment="1">
      <alignment horizontal="left"/>
    </xf>
    <xf numFmtId="0" fontId="35" fillId="0" borderId="0" xfId="23" applyFont="1"/>
    <xf numFmtId="0" fontId="36" fillId="0" borderId="0" xfId="23" applyFont="1"/>
    <xf numFmtId="0" fontId="32" fillId="10" borderId="25" xfId="23" applyFont="1" applyFill="1" applyBorder="1" applyAlignment="1">
      <alignment horizontal="left"/>
    </xf>
    <xf numFmtId="0" fontId="37" fillId="0" borderId="0" xfId="23" applyAlignment="1">
      <alignment horizontal="center"/>
    </xf>
    <xf numFmtId="2" fontId="37" fillId="0" borderId="0" xfId="23" applyNumberFormat="1" applyAlignment="1">
      <alignment horizontal="center"/>
    </xf>
    <xf numFmtId="0" fontId="37" fillId="5" borderId="28" xfId="23" applyFill="1" applyBorder="1" applyAlignment="1">
      <alignment horizontal="center"/>
    </xf>
    <xf numFmtId="10" fontId="37" fillId="0" borderId="0" xfId="25" applyNumberFormat="1" applyFont="1" applyAlignment="1">
      <alignment horizontal="center"/>
    </xf>
    <xf numFmtId="10" fontId="37" fillId="5" borderId="28" xfId="23" applyNumberFormat="1" applyFill="1" applyBorder="1" applyAlignment="1">
      <alignment horizontal="center"/>
    </xf>
    <xf numFmtId="0" fontId="38" fillId="0" borderId="12" xfId="23" applyFont="1" applyBorder="1" applyAlignment="1">
      <alignment wrapText="1"/>
    </xf>
    <xf numFmtId="0" fontId="38" fillId="0" borderId="12" xfId="23" applyFont="1" applyBorder="1" applyAlignment="1">
      <alignment horizontal="center" wrapText="1"/>
    </xf>
    <xf numFmtId="2" fontId="38" fillId="0" borderId="12" xfId="23" applyNumberFormat="1" applyFont="1" applyBorder="1" applyAlignment="1">
      <alignment horizontal="center" wrapText="1"/>
    </xf>
    <xf numFmtId="0" fontId="38" fillId="0" borderId="27" xfId="23" applyFont="1" applyBorder="1" applyAlignment="1">
      <alignment horizontal="center" wrapText="1"/>
    </xf>
    <xf numFmtId="0" fontId="38" fillId="0" borderId="28" xfId="23" applyFont="1" applyBorder="1" applyAlignment="1">
      <alignment horizontal="center" wrapText="1"/>
    </xf>
    <xf numFmtId="10" fontId="37" fillId="0" borderId="5" xfId="23" applyNumberFormat="1" applyBorder="1" applyAlignment="1">
      <alignment horizontal="center"/>
    </xf>
    <xf numFmtId="2" fontId="38" fillId="0" borderId="27" xfId="23" applyNumberFormat="1" applyFont="1" applyBorder="1" applyAlignment="1">
      <alignment horizontal="center" wrapText="1"/>
    </xf>
    <xf numFmtId="0" fontId="39" fillId="0" borderId="7" xfId="23" applyFont="1" applyBorder="1"/>
    <xf numFmtId="0" fontId="39" fillId="0" borderId="7" xfId="23" applyFont="1" applyBorder="1" applyAlignment="1">
      <alignment horizontal="center"/>
    </xf>
    <xf numFmtId="2" fontId="39" fillId="0" borderId="7" xfId="23" applyNumberFormat="1" applyFont="1" applyBorder="1" applyAlignment="1">
      <alignment horizontal="center"/>
    </xf>
    <xf numFmtId="10" fontId="39" fillId="0" borderId="7" xfId="23" applyNumberFormat="1" applyFont="1" applyBorder="1" applyAlignment="1">
      <alignment horizontal="center"/>
    </xf>
    <xf numFmtId="2" fontId="37" fillId="0" borderId="28" xfId="23" applyNumberFormat="1" applyBorder="1" applyAlignment="1">
      <alignment horizontal="center"/>
    </xf>
    <xf numFmtId="10" fontId="37" fillId="0" borderId="28" xfId="23" applyNumberFormat="1" applyBorder="1" applyAlignment="1">
      <alignment horizontal="center"/>
    </xf>
    <xf numFmtId="175" fontId="37" fillId="0" borderId="28" xfId="23" applyNumberFormat="1" applyBorder="1" applyAlignment="1">
      <alignment horizontal="center"/>
    </xf>
    <xf numFmtId="10" fontId="39" fillId="0" borderId="28" xfId="23" applyNumberFormat="1" applyFont="1" applyBorder="1" applyAlignment="1">
      <alignment horizontal="center"/>
    </xf>
    <xf numFmtId="10" fontId="37" fillId="0" borderId="10" xfId="23" applyNumberFormat="1" applyBorder="1" applyAlignment="1">
      <alignment horizontal="center"/>
    </xf>
    <xf numFmtId="2" fontId="39" fillId="11" borderId="28" xfId="23" applyNumberFormat="1" applyFont="1" applyFill="1" applyBorder="1" applyAlignment="1">
      <alignment horizontal="center"/>
    </xf>
    <xf numFmtId="0" fontId="39" fillId="0" borderId="28" xfId="23" applyFont="1" applyBorder="1" applyAlignment="1">
      <alignment horizontal="center"/>
    </xf>
    <xf numFmtId="0" fontId="39" fillId="0" borderId="0" xfId="23" applyFont="1" applyAlignment="1">
      <alignment horizontal="center"/>
    </xf>
    <xf numFmtId="2" fontId="37" fillId="0" borderId="28" xfId="23" applyNumberFormat="1" applyBorder="1"/>
    <xf numFmtId="2" fontId="39" fillId="0" borderId="28" xfId="23" applyNumberFormat="1" applyFont="1" applyBorder="1" applyAlignment="1">
      <alignment horizontal="center"/>
    </xf>
    <xf numFmtId="10" fontId="40" fillId="0" borderId="28" xfId="23" applyNumberFormat="1" applyFont="1" applyBorder="1" applyAlignment="1">
      <alignment horizontal="center"/>
    </xf>
    <xf numFmtId="10" fontId="36" fillId="0" borderId="10" xfId="23" applyNumberFormat="1" applyFont="1" applyBorder="1" applyAlignment="1">
      <alignment horizontal="center"/>
    </xf>
    <xf numFmtId="10" fontId="40" fillId="0" borderId="21" xfId="23" applyNumberFormat="1" applyFont="1" applyBorder="1" applyAlignment="1">
      <alignment horizontal="center"/>
    </xf>
    <xf numFmtId="10" fontId="36" fillId="0" borderId="3" xfId="23" applyNumberFormat="1" applyFont="1" applyBorder="1" applyAlignment="1">
      <alignment horizontal="center"/>
    </xf>
    <xf numFmtId="0" fontId="37" fillId="0" borderId="0" xfId="23" applyAlignment="1">
      <alignment horizontal="left"/>
    </xf>
    <xf numFmtId="0" fontId="63" fillId="5" borderId="8" xfId="13" applyFont="1" applyFill="1" applyBorder="1" applyProtection="1">
      <protection locked="0"/>
    </xf>
    <xf numFmtId="171" fontId="15" fillId="0" borderId="4" xfId="0" applyNumberFormat="1" applyFont="1" applyBorder="1" applyAlignment="1">
      <alignment horizontal="right"/>
    </xf>
    <xf numFmtId="171" fontId="15" fillId="0" borderId="2" xfId="0" applyNumberFormat="1" applyFont="1" applyBorder="1" applyAlignment="1">
      <alignment horizontal="right"/>
    </xf>
    <xf numFmtId="171" fontId="17" fillId="0" borderId="0" xfId="0" applyNumberFormat="1" applyFont="1" applyAlignment="1">
      <alignment horizontal="right"/>
    </xf>
    <xf numFmtId="171" fontId="17" fillId="0" borderId="9" xfId="0" applyNumberFormat="1" applyFont="1" applyBorder="1" applyAlignment="1">
      <alignment horizontal="right"/>
    </xf>
    <xf numFmtId="171" fontId="15" fillId="0" borderId="9" xfId="0" applyNumberFormat="1" applyFont="1" applyBorder="1" applyAlignment="1">
      <alignment horizontal="right"/>
    </xf>
    <xf numFmtId="171" fontId="15" fillId="0" borderId="6" xfId="0" applyNumberFormat="1" applyFont="1" applyBorder="1" applyAlignment="1">
      <alignment horizontal="right"/>
    </xf>
    <xf numFmtId="171" fontId="15" fillId="0" borderId="7" xfId="0" applyNumberFormat="1" applyFont="1" applyBorder="1" applyAlignment="1">
      <alignment horizontal="right"/>
    </xf>
    <xf numFmtId="9" fontId="14" fillId="0" borderId="0" xfId="2" applyFont="1"/>
    <xf numFmtId="164" fontId="14" fillId="0" borderId="0" xfId="2" applyNumberFormat="1" applyFont="1"/>
    <xf numFmtId="3" fontId="12" fillId="0" borderId="14" xfId="2" applyNumberFormat="1" applyFont="1" applyBorder="1" applyAlignment="1">
      <alignment horizontal="right"/>
    </xf>
    <xf numFmtId="164" fontId="12" fillId="4" borderId="14" xfId="2" applyNumberFormat="1" applyFont="1" applyFill="1" applyBorder="1" applyAlignment="1">
      <alignment horizontal="right"/>
    </xf>
    <xf numFmtId="164" fontId="12" fillId="4" borderId="0" xfId="2" applyNumberFormat="1" applyFont="1" applyFill="1" applyBorder="1" applyAlignment="1">
      <alignment horizontal="right"/>
    </xf>
    <xf numFmtId="3" fontId="12" fillId="5" borderId="14" xfId="0" applyNumberFormat="1" applyFont="1" applyFill="1" applyBorder="1"/>
    <xf numFmtId="164" fontId="14" fillId="0" borderId="0" xfId="2" applyNumberFormat="1" applyFont="1" applyAlignment="1">
      <alignment horizontal="right"/>
    </xf>
    <xf numFmtId="3" fontId="14" fillId="0" borderId="29" xfId="0" applyNumberFormat="1" applyFont="1" applyBorder="1"/>
    <xf numFmtId="3" fontId="14" fillId="0" borderId="31" xfId="0" applyNumberFormat="1" applyFont="1" applyBorder="1"/>
    <xf numFmtId="0" fontId="18" fillId="0" borderId="0" xfId="10"/>
    <xf numFmtId="3" fontId="12" fillId="0" borderId="0" xfId="10" applyNumberFormat="1" applyFont="1"/>
    <xf numFmtId="3" fontId="68" fillId="0" borderId="0" xfId="10" applyNumberFormat="1" applyFont="1" applyAlignment="1">
      <alignment horizontal="right"/>
    </xf>
    <xf numFmtId="3" fontId="12" fillId="0" borderId="0" xfId="10" applyNumberFormat="1" applyFont="1" applyAlignment="1">
      <alignment horizontal="right"/>
    </xf>
    <xf numFmtId="0" fontId="67" fillId="0" borderId="0" xfId="10" applyFont="1"/>
    <xf numFmtId="3" fontId="27" fillId="0" borderId="0" xfId="10" applyNumberFormat="1" applyFont="1"/>
    <xf numFmtId="164" fontId="69" fillId="0" borderId="0" xfId="19" applyNumberFormat="1" applyFont="1" applyAlignment="1">
      <alignment horizontal="right"/>
    </xf>
    <xf numFmtId="164" fontId="0" fillId="0" borderId="0" xfId="19" applyNumberFormat="1" applyFont="1"/>
    <xf numFmtId="0" fontId="22" fillId="0" borderId="0" xfId="10" applyFont="1"/>
    <xf numFmtId="0" fontId="22" fillId="0" borderId="14" xfId="10" applyFont="1" applyBorder="1"/>
    <xf numFmtId="0" fontId="28" fillId="0" borderId="0" xfId="10" applyFont="1"/>
    <xf numFmtId="0" fontId="16" fillId="0" borderId="0" xfId="10" applyFont="1"/>
    <xf numFmtId="0" fontId="17" fillId="0" borderId="0" xfId="10" applyFont="1" applyAlignment="1">
      <alignment horizontal="right"/>
    </xf>
    <xf numFmtId="0" fontId="15" fillId="0" borderId="0" xfId="10" applyFont="1" applyAlignment="1">
      <alignment horizontal="right"/>
    </xf>
    <xf numFmtId="3" fontId="15" fillId="0" borderId="0" xfId="10" applyNumberFormat="1" applyFont="1"/>
    <xf numFmtId="3" fontId="15" fillId="0" borderId="14" xfId="10" applyNumberFormat="1" applyFont="1" applyBorder="1"/>
    <xf numFmtId="3" fontId="22" fillId="0" borderId="0" xfId="27" applyNumberFormat="1" applyFont="1" applyFill="1" applyBorder="1" applyAlignment="1">
      <alignment horizontal="right"/>
    </xf>
    <xf numFmtId="3" fontId="22" fillId="0" borderId="14" xfId="27" applyNumberFormat="1" applyFont="1" applyFill="1" applyBorder="1" applyAlignment="1">
      <alignment horizontal="right"/>
    </xf>
    <xf numFmtId="3" fontId="16" fillId="0" borderId="0" xfId="27" applyNumberFormat="1" applyFont="1" applyFill="1" applyBorder="1" applyAlignment="1">
      <alignment horizontal="right"/>
    </xf>
    <xf numFmtId="3" fontId="16" fillId="0" borderId="14" xfId="27" applyNumberFormat="1" applyFont="1" applyFill="1" applyBorder="1" applyAlignment="1">
      <alignment horizontal="right"/>
    </xf>
    <xf numFmtId="1" fontId="22" fillId="0" borderId="0" xfId="10" applyNumberFormat="1" applyFont="1"/>
    <xf numFmtId="1" fontId="16" fillId="0" borderId="0" xfId="10" applyNumberFormat="1" applyFont="1"/>
    <xf numFmtId="3" fontId="22" fillId="0" borderId="0" xfId="10" applyNumberFormat="1" applyFont="1"/>
    <xf numFmtId="0" fontId="12" fillId="0" borderId="0" xfId="10" applyFont="1" applyAlignment="1">
      <alignment horizontal="right"/>
    </xf>
    <xf numFmtId="0" fontId="18" fillId="0" borderId="14" xfId="10" applyBorder="1"/>
    <xf numFmtId="0" fontId="12" fillId="0" borderId="14" xfId="10" applyFont="1" applyBorder="1"/>
    <xf numFmtId="3" fontId="12" fillId="0" borderId="14" xfId="10" applyNumberFormat="1" applyFont="1" applyBorder="1" applyAlignment="1">
      <alignment horizontal="right"/>
    </xf>
    <xf numFmtId="3" fontId="68" fillId="0" borderId="14" xfId="10" applyNumberFormat="1" applyFont="1" applyBorder="1" applyAlignment="1">
      <alignment horizontal="right"/>
    </xf>
    <xf numFmtId="164" fontId="69" fillId="0" borderId="14" xfId="19" applyNumberFormat="1" applyFont="1" applyBorder="1" applyAlignment="1">
      <alignment horizontal="right"/>
    </xf>
    <xf numFmtId="0" fontId="22" fillId="0" borderId="0" xfId="0" applyFont="1"/>
    <xf numFmtId="164" fontId="14" fillId="0" borderId="0" xfId="2" applyNumberFormat="1" applyFont="1" applyFill="1"/>
    <xf numFmtId="164" fontId="28" fillId="0" borderId="0" xfId="2" applyNumberFormat="1" applyFont="1" applyFill="1"/>
    <xf numFmtId="0" fontId="17" fillId="0" borderId="6" xfId="0" applyFont="1" applyBorder="1"/>
    <xf numFmtId="3" fontId="20" fillId="0" borderId="15" xfId="0" applyNumberFormat="1" applyFont="1" applyBorder="1"/>
    <xf numFmtId="0" fontId="22" fillId="0" borderId="6" xfId="0" applyFont="1" applyBorder="1"/>
    <xf numFmtId="0" fontId="28" fillId="0" borderId="0" xfId="0" applyFont="1" applyAlignment="1">
      <alignment horizontal="right"/>
    </xf>
    <xf numFmtId="3" fontId="16" fillId="0" borderId="0" xfId="11" applyNumberFormat="1" applyFont="1" applyBorder="1"/>
    <xf numFmtId="0" fontId="15" fillId="0" borderId="46" xfId="0" applyFont="1" applyBorder="1"/>
    <xf numFmtId="0" fontId="22" fillId="0" borderId="3" xfId="0" applyFont="1" applyBorder="1"/>
    <xf numFmtId="3" fontId="22" fillId="0" borderId="2" xfId="0" applyNumberFormat="1" applyFont="1" applyBorder="1"/>
    <xf numFmtId="0" fontId="22" fillId="0" borderId="8" xfId="0" applyFont="1" applyBorder="1"/>
    <xf numFmtId="170" fontId="22" fillId="0" borderId="0" xfId="0" applyNumberFormat="1" applyFont="1"/>
    <xf numFmtId="164" fontId="12" fillId="0" borderId="0" xfId="2" applyNumberFormat="1" applyFont="1" applyFill="1"/>
    <xf numFmtId="3" fontId="28" fillId="12" borderId="14" xfId="0" applyNumberFormat="1" applyFont="1" applyFill="1" applyBorder="1"/>
    <xf numFmtId="3" fontId="20" fillId="12" borderId="14" xfId="0" applyNumberFormat="1" applyFont="1" applyFill="1" applyBorder="1"/>
    <xf numFmtId="3" fontId="12" fillId="12" borderId="14" xfId="0" applyNumberFormat="1" applyFont="1" applyFill="1" applyBorder="1"/>
    <xf numFmtId="0" fontId="14" fillId="0" borderId="9" xfId="0" applyFont="1" applyBorder="1"/>
    <xf numFmtId="0" fontId="22" fillId="0" borderId="5" xfId="0" applyFont="1" applyBorder="1"/>
    <xf numFmtId="10" fontId="14" fillId="0" borderId="7" xfId="0" applyNumberFormat="1" applyFont="1" applyBorder="1"/>
    <xf numFmtId="0" fontId="20" fillId="0" borderId="0" xfId="13" applyFont="1" applyAlignment="1" applyProtection="1">
      <alignment horizontal="left"/>
      <protection locked="0"/>
    </xf>
    <xf numFmtId="3" fontId="22" fillId="0" borderId="0" xfId="0" applyNumberFormat="1" applyFont="1" applyAlignment="1">
      <alignment horizontal="right"/>
    </xf>
    <xf numFmtId="9" fontId="16" fillId="0" borderId="0" xfId="2" applyFont="1" applyBorder="1"/>
    <xf numFmtId="4" fontId="12" fillId="0" borderId="0" xfId="0" applyNumberFormat="1" applyFont="1" applyAlignment="1">
      <alignment horizontal="right"/>
    </xf>
    <xf numFmtId="3" fontId="20" fillId="0" borderId="0" xfId="0" applyNumberFormat="1" applyFont="1" applyAlignment="1">
      <alignment horizontal="right"/>
    </xf>
    <xf numFmtId="170" fontId="14" fillId="2" borderId="0" xfId="0" applyNumberFormat="1" applyFont="1" applyFill="1"/>
    <xf numFmtId="164" fontId="14" fillId="5" borderId="21" xfId="2" applyNumberFormat="1" applyFont="1" applyFill="1" applyBorder="1"/>
    <xf numFmtId="164" fontId="14" fillId="5" borderId="24" xfId="2" applyNumberFormat="1" applyFont="1" applyFill="1" applyBorder="1"/>
    <xf numFmtId="164" fontId="14" fillId="5" borderId="27" xfId="2" applyNumberFormat="1" applyFont="1" applyFill="1" applyBorder="1"/>
    <xf numFmtId="0" fontId="5" fillId="0" borderId="3" xfId="0" applyFont="1" applyBorder="1"/>
    <xf numFmtId="14" fontId="5" fillId="0" borderId="4" xfId="0" applyNumberFormat="1" applyFont="1" applyBorder="1"/>
    <xf numFmtId="14" fontId="5" fillId="0" borderId="2" xfId="0" applyNumberFormat="1" applyFont="1" applyBorder="1"/>
    <xf numFmtId="0" fontId="5" fillId="0" borderId="8" xfId="0" applyFont="1" applyBorder="1"/>
    <xf numFmtId="3" fontId="5" fillId="0" borderId="0" xfId="0" applyNumberFormat="1" applyFont="1"/>
    <xf numFmtId="0" fontId="5" fillId="0" borderId="0" xfId="0" applyFont="1"/>
    <xf numFmtId="0" fontId="5" fillId="0" borderId="9" xfId="0" applyFont="1" applyBorder="1"/>
    <xf numFmtId="0" fontId="5" fillId="0" borderId="5" xfId="0" applyFont="1" applyBorder="1"/>
    <xf numFmtId="3" fontId="5" fillId="0" borderId="6" xfId="0" applyNumberFormat="1" applyFont="1" applyBorder="1"/>
    <xf numFmtId="0" fontId="5" fillId="0" borderId="6" xfId="0" applyFont="1" applyBorder="1"/>
    <xf numFmtId="3" fontId="5" fillId="0" borderId="7" xfId="0" applyNumberFormat="1" applyFont="1" applyBorder="1"/>
    <xf numFmtId="170" fontId="22" fillId="0" borderId="0" xfId="0" applyNumberFormat="1" applyFont="1" applyAlignment="1">
      <alignment horizontal="right"/>
    </xf>
    <xf numFmtId="164" fontId="16" fillId="0" borderId="0" xfId="2" applyNumberFormat="1" applyFont="1" applyBorder="1" applyAlignment="1">
      <alignment horizontal="right"/>
    </xf>
    <xf numFmtId="0" fontId="15" fillId="5" borderId="0" xfId="0" applyFont="1" applyFill="1"/>
    <xf numFmtId="14" fontId="15" fillId="5" borderId="0" xfId="0" applyNumberFormat="1" applyFont="1" applyFill="1"/>
    <xf numFmtId="3" fontId="15" fillId="5" borderId="0" xfId="0" applyNumberFormat="1" applyFont="1" applyFill="1"/>
    <xf numFmtId="171" fontId="22" fillId="5" borderId="0" xfId="0" applyNumberFormat="1" applyFont="1" applyFill="1"/>
    <xf numFmtId="171" fontId="22" fillId="5" borderId="0" xfId="0" applyNumberFormat="1" applyFont="1" applyFill="1" applyAlignment="1">
      <alignment horizontal="right"/>
    </xf>
    <xf numFmtId="0" fontId="71" fillId="0" borderId="0" xfId="26" applyFont="1"/>
    <xf numFmtId="0" fontId="72" fillId="0" borderId="0" xfId="26" applyFont="1"/>
    <xf numFmtId="0" fontId="71" fillId="13" borderId="0" xfId="26" applyFont="1" applyFill="1"/>
    <xf numFmtId="0" fontId="71" fillId="0" borderId="0" xfId="26" applyFont="1" applyAlignment="1">
      <alignment horizontal="right"/>
    </xf>
    <xf numFmtId="0" fontId="75" fillId="0" borderId="3" xfId="26" applyFont="1" applyBorder="1" applyAlignment="1">
      <alignment horizontal="left"/>
    </xf>
    <xf numFmtId="180" fontId="71" fillId="13" borderId="4" xfId="26" quotePrefix="1" applyNumberFormat="1" applyFont="1" applyFill="1" applyBorder="1" applyAlignment="1">
      <alignment horizontal="right"/>
    </xf>
    <xf numFmtId="0" fontId="71" fillId="13" borderId="4" xfId="26" applyFont="1" applyFill="1" applyBorder="1" applyAlignment="1">
      <alignment horizontal="right"/>
    </xf>
    <xf numFmtId="0" fontId="71" fillId="13" borderId="2" xfId="26" applyFont="1" applyFill="1" applyBorder="1" applyAlignment="1">
      <alignment horizontal="right"/>
    </xf>
    <xf numFmtId="0" fontId="75" fillId="0" borderId="8" xfId="26" applyFont="1" applyBorder="1" applyAlignment="1">
      <alignment horizontal="left"/>
    </xf>
    <xf numFmtId="180" fontId="71" fillId="13" borderId="0" xfId="26" quotePrefix="1" applyNumberFormat="1" applyFont="1" applyFill="1" applyAlignment="1">
      <alignment horizontal="right"/>
    </xf>
    <xf numFmtId="0" fontId="71" fillId="13" borderId="0" xfId="26" applyFont="1" applyFill="1" applyAlignment="1">
      <alignment horizontal="right"/>
    </xf>
    <xf numFmtId="0" fontId="71" fillId="13" borderId="0" xfId="26" quotePrefix="1" applyFont="1" applyFill="1" applyAlignment="1">
      <alignment horizontal="right"/>
    </xf>
    <xf numFmtId="0" fontId="71" fillId="13" borderId="9" xfId="26" applyFont="1" applyFill="1" applyBorder="1" applyAlignment="1">
      <alignment horizontal="right"/>
    </xf>
    <xf numFmtId="0" fontId="75" fillId="0" borderId="5" xfId="26" applyFont="1" applyBorder="1" applyAlignment="1">
      <alignment horizontal="left"/>
    </xf>
    <xf numFmtId="1" fontId="71" fillId="13" borderId="6" xfId="26" quotePrefix="1" applyNumberFormat="1" applyFont="1" applyFill="1" applyBorder="1" applyAlignment="1">
      <alignment horizontal="right"/>
    </xf>
    <xf numFmtId="1" fontId="71" fillId="13" borderId="6" xfId="26" applyNumberFormat="1" applyFont="1" applyFill="1" applyBorder="1" applyAlignment="1">
      <alignment horizontal="right"/>
    </xf>
    <xf numFmtId="0" fontId="71" fillId="13" borderId="7" xfId="26" applyFont="1" applyFill="1" applyBorder="1" applyAlignment="1">
      <alignment horizontal="right"/>
    </xf>
    <xf numFmtId="0" fontId="71" fillId="0" borderId="21" xfId="26" applyFont="1" applyBorder="1"/>
    <xf numFmtId="3" fontId="71" fillId="0" borderId="3" xfId="26" applyNumberFormat="1" applyFont="1" applyBorder="1" applyAlignment="1">
      <alignment horizontal="right"/>
    </xf>
    <xf numFmtId="3" fontId="71" fillId="0" borderId="4" xfId="26" applyNumberFormat="1" applyFont="1" applyBorder="1" applyAlignment="1">
      <alignment horizontal="right"/>
    </xf>
    <xf numFmtId="3" fontId="71" fillId="0" borderId="2" xfId="26" applyNumberFormat="1" applyFont="1" applyBorder="1" applyAlignment="1">
      <alignment horizontal="right"/>
    </xf>
    <xf numFmtId="166" fontId="71" fillId="0" borderId="0" xfId="26" applyNumberFormat="1" applyFont="1"/>
    <xf numFmtId="165" fontId="71" fillId="0" borderId="0" xfId="26" applyNumberFormat="1" applyFont="1"/>
    <xf numFmtId="0" fontId="71" fillId="0" borderId="24" xfId="26" applyFont="1" applyBorder="1"/>
    <xf numFmtId="3" fontId="71" fillId="0" borderId="8" xfId="26" applyNumberFormat="1" applyFont="1" applyBorder="1" applyAlignment="1">
      <alignment horizontal="right"/>
    </xf>
    <xf numFmtId="3" fontId="71" fillId="0" borderId="0" xfId="26" applyNumberFormat="1" applyFont="1" applyAlignment="1">
      <alignment horizontal="right"/>
    </xf>
    <xf numFmtId="3" fontId="71" fillId="0" borderId="9" xfId="26" applyNumberFormat="1" applyFont="1" applyBorder="1" applyAlignment="1">
      <alignment horizontal="right"/>
    </xf>
    <xf numFmtId="166" fontId="71" fillId="0" borderId="0" xfId="26" applyNumberFormat="1" applyFont="1" applyAlignment="1">
      <alignment horizontal="right"/>
    </xf>
    <xf numFmtId="0" fontId="71" fillId="0" borderId="8" xfId="26" applyFont="1" applyBorder="1"/>
    <xf numFmtId="10" fontId="71" fillId="0" borderId="8" xfId="2" applyNumberFormat="1" applyFont="1" applyBorder="1" applyAlignment="1">
      <alignment horizontal="right"/>
    </xf>
    <xf numFmtId="10" fontId="71" fillId="0" borderId="0" xfId="2" applyNumberFormat="1" applyFont="1" applyBorder="1" applyAlignment="1">
      <alignment horizontal="right"/>
    </xf>
    <xf numFmtId="10" fontId="71" fillId="0" borderId="9" xfId="2" applyNumberFormat="1" applyFont="1" applyBorder="1" applyAlignment="1">
      <alignment horizontal="right"/>
    </xf>
    <xf numFmtId="0" fontId="71" fillId="0" borderId="27" xfId="26" applyFont="1" applyBorder="1"/>
    <xf numFmtId="3" fontId="71" fillId="0" borderId="5" xfId="26" applyNumberFormat="1" applyFont="1" applyBorder="1" applyAlignment="1">
      <alignment horizontal="right"/>
    </xf>
    <xf numFmtId="3" fontId="71" fillId="0" borderId="6" xfId="26" applyNumberFormat="1" applyFont="1" applyBorder="1" applyAlignment="1">
      <alignment horizontal="right"/>
    </xf>
    <xf numFmtId="3" fontId="71" fillId="0" borderId="7" xfId="26" applyNumberFormat="1" applyFont="1" applyBorder="1" applyAlignment="1">
      <alignment horizontal="right"/>
    </xf>
    <xf numFmtId="0" fontId="71" fillId="14" borderId="0" xfId="26" applyFont="1" applyFill="1"/>
    <xf numFmtId="166" fontId="71" fillId="0" borderId="3" xfId="26" applyNumberFormat="1" applyFont="1" applyBorder="1" applyAlignment="1">
      <alignment horizontal="right"/>
    </xf>
    <xf numFmtId="166" fontId="71" fillId="0" borderId="4" xfId="26" applyNumberFormat="1" applyFont="1" applyBorder="1" applyAlignment="1">
      <alignment horizontal="right"/>
    </xf>
    <xf numFmtId="166" fontId="71" fillId="0" borderId="2" xfId="26" applyNumberFormat="1" applyFont="1" applyBorder="1" applyAlignment="1">
      <alignment horizontal="right"/>
    </xf>
    <xf numFmtId="10" fontId="71" fillId="0" borderId="8" xfId="26" applyNumberFormat="1" applyFont="1" applyBorder="1" applyAlignment="1">
      <alignment horizontal="right"/>
    </xf>
    <xf numFmtId="10" fontId="71" fillId="0" borderId="9" xfId="26" applyNumberFormat="1" applyFont="1" applyBorder="1" applyAlignment="1">
      <alignment horizontal="right"/>
    </xf>
    <xf numFmtId="0" fontId="71" fillId="0" borderId="5" xfId="26" applyFont="1" applyBorder="1" applyAlignment="1">
      <alignment horizontal="right"/>
    </xf>
    <xf numFmtId="0" fontId="71" fillId="0" borderId="6" xfId="26" applyFont="1" applyBorder="1" applyAlignment="1">
      <alignment horizontal="right"/>
    </xf>
    <xf numFmtId="0" fontId="71" fillId="0" borderId="7" xfId="26" applyFont="1" applyBorder="1" applyAlignment="1">
      <alignment horizontal="right"/>
    </xf>
    <xf numFmtId="0" fontId="71" fillId="0" borderId="3" xfId="26" applyFont="1" applyBorder="1"/>
    <xf numFmtId="0" fontId="71" fillId="0" borderId="8" xfId="26" applyFont="1" applyBorder="1" applyAlignment="1">
      <alignment horizontal="right"/>
    </xf>
    <xf numFmtId="0" fontId="71" fillId="0" borderId="9" xfId="26" applyFont="1" applyBorder="1" applyAlignment="1">
      <alignment horizontal="right"/>
    </xf>
    <xf numFmtId="3" fontId="71" fillId="0" borderId="5" xfId="26" applyNumberFormat="1" applyFont="1" applyBorder="1"/>
    <xf numFmtId="0" fontId="71" fillId="0" borderId="4" xfId="26" applyFont="1" applyBorder="1"/>
    <xf numFmtId="0" fontId="71" fillId="0" borderId="4" xfId="26" applyFont="1" applyBorder="1" applyAlignment="1">
      <alignment horizontal="center"/>
    </xf>
    <xf numFmtId="164" fontId="71" fillId="0" borderId="0" xfId="2" applyNumberFormat="1" applyFont="1"/>
    <xf numFmtId="0" fontId="71" fillId="0" borderId="0" xfId="26" applyFont="1" applyAlignment="1">
      <alignment horizontal="center"/>
    </xf>
    <xf numFmtId="0" fontId="71" fillId="0" borderId="5" xfId="26" applyFont="1" applyBorder="1"/>
    <xf numFmtId="0" fontId="71" fillId="0" borderId="6" xfId="26" applyFont="1" applyBorder="1" applyAlignment="1">
      <alignment horizontal="center"/>
    </xf>
    <xf numFmtId="0" fontId="71" fillId="0" borderId="6" xfId="26" applyFont="1" applyBorder="1"/>
    <xf numFmtId="0" fontId="71" fillId="15" borderId="0" xfId="26" applyFont="1" applyFill="1"/>
    <xf numFmtId="14" fontId="71" fillId="0" borderId="2" xfId="26" applyNumberFormat="1" applyFont="1" applyBorder="1" applyAlignment="1">
      <alignment horizontal="center"/>
    </xf>
    <xf numFmtId="14" fontId="71" fillId="0" borderId="9" xfId="26" applyNumberFormat="1" applyFont="1" applyBorder="1" applyAlignment="1">
      <alignment horizontal="center"/>
    </xf>
    <xf numFmtId="14" fontId="71" fillId="0" borderId="7" xfId="26" applyNumberFormat="1" applyFont="1" applyBorder="1" applyAlignment="1">
      <alignment horizontal="center"/>
    </xf>
    <xf numFmtId="0" fontId="71" fillId="5" borderId="0" xfId="26" applyFont="1" applyFill="1"/>
    <xf numFmtId="166" fontId="71" fillId="5" borderId="0" xfId="26" applyNumberFormat="1" applyFont="1" applyFill="1"/>
    <xf numFmtId="10" fontId="71" fillId="5" borderId="0" xfId="26" applyNumberFormat="1" applyFont="1" applyFill="1"/>
    <xf numFmtId="10" fontId="71" fillId="0" borderId="0" xfId="26" applyNumberFormat="1" applyFont="1" applyAlignment="1">
      <alignment horizontal="right"/>
    </xf>
    <xf numFmtId="164" fontId="71" fillId="0" borderId="8" xfId="26" applyNumberFormat="1" applyFont="1" applyBorder="1" applyAlignment="1">
      <alignment horizontal="right"/>
    </xf>
    <xf numFmtId="164" fontId="71" fillId="0" borderId="0" xfId="26" applyNumberFormat="1" applyFont="1" applyAlignment="1">
      <alignment horizontal="right"/>
    </xf>
    <xf numFmtId="164" fontId="71" fillId="0" borderId="9" xfId="26" applyNumberFormat="1" applyFont="1" applyBorder="1" applyAlignment="1">
      <alignment horizontal="right"/>
    </xf>
    <xf numFmtId="0" fontId="51" fillId="0" borderId="0" xfId="13" applyFont="1" applyProtection="1">
      <protection locked="0"/>
    </xf>
    <xf numFmtId="164" fontId="71" fillId="0" borderId="8" xfId="2" applyNumberFormat="1" applyFont="1" applyBorder="1" applyAlignment="1">
      <alignment horizontal="right"/>
    </xf>
    <xf numFmtId="164" fontId="71" fillId="0" borderId="0" xfId="2" applyNumberFormat="1" applyFont="1" applyBorder="1" applyAlignment="1">
      <alignment horizontal="right"/>
    </xf>
    <xf numFmtId="164" fontId="71" fillId="0" borderId="9" xfId="2" applyNumberFormat="1" applyFont="1" applyBorder="1" applyAlignment="1">
      <alignment horizontal="right"/>
    </xf>
    <xf numFmtId="165" fontId="71" fillId="0" borderId="0" xfId="26" applyNumberFormat="1" applyFont="1" applyAlignment="1">
      <alignment horizontal="right"/>
    </xf>
    <xf numFmtId="4" fontId="15" fillId="5" borderId="0" xfId="0" applyNumberFormat="1" applyFont="1" applyFill="1"/>
    <xf numFmtId="0" fontId="37" fillId="0" borderId="29" xfId="23" applyBorder="1" applyAlignment="1">
      <alignment horizontal="center"/>
    </xf>
    <xf numFmtId="0" fontId="37" fillId="0" borderId="30" xfId="23" applyBorder="1" applyAlignment="1">
      <alignment horizontal="center"/>
    </xf>
    <xf numFmtId="0" fontId="37" fillId="0" borderId="31" xfId="23" applyBorder="1" applyAlignment="1">
      <alignment horizontal="center"/>
    </xf>
    <xf numFmtId="15" fontId="33" fillId="10" borderId="18" xfId="23" applyNumberFormat="1" applyFont="1" applyFill="1" applyBorder="1" applyAlignment="1">
      <alignment horizontal="left"/>
    </xf>
    <xf numFmtId="15" fontId="33" fillId="10" borderId="19" xfId="23" applyNumberFormat="1" applyFont="1" applyFill="1" applyBorder="1" applyAlignment="1">
      <alignment horizontal="left"/>
    </xf>
    <xf numFmtId="15" fontId="33" fillId="10" borderId="20" xfId="23" applyNumberFormat="1" applyFont="1" applyFill="1" applyBorder="1" applyAlignment="1">
      <alignment horizontal="left"/>
    </xf>
    <xf numFmtId="0" fontId="62" fillId="6" borderId="21" xfId="24" applyFill="1" applyBorder="1" applyAlignment="1">
      <alignment horizontal="left" vertical="top" wrapText="1"/>
    </xf>
    <xf numFmtId="0" fontId="62" fillId="6" borderId="24" xfId="24" applyFill="1" applyBorder="1" applyAlignment="1">
      <alignment horizontal="left" vertical="top" wrapText="1"/>
    </xf>
    <xf numFmtId="0" fontId="62" fillId="6" borderId="27" xfId="24" applyFill="1" applyBorder="1" applyAlignment="1">
      <alignment horizontal="left" vertical="top" wrapText="1"/>
    </xf>
    <xf numFmtId="0" fontId="62" fillId="10" borderId="10" xfId="24" applyFill="1" applyBorder="1" applyAlignment="1">
      <alignment horizontal="left"/>
    </xf>
    <xf numFmtId="0" fontId="62" fillId="10" borderId="11" xfId="24" applyFill="1" applyBorder="1" applyAlignment="1">
      <alignment horizontal="left"/>
    </xf>
    <xf numFmtId="0" fontId="62" fillId="10" borderId="23" xfId="24" applyFill="1" applyBorder="1" applyAlignment="1">
      <alignment horizontal="left"/>
    </xf>
    <xf numFmtId="0" fontId="34" fillId="10" borderId="10" xfId="23" applyFont="1" applyFill="1" applyBorder="1" applyAlignment="1">
      <alignment horizontal="left"/>
    </xf>
    <xf numFmtId="0" fontId="34" fillId="10" borderId="11" xfId="23" applyFont="1" applyFill="1" applyBorder="1" applyAlignment="1">
      <alignment horizontal="left"/>
    </xf>
    <xf numFmtId="0" fontId="34" fillId="10" borderId="12" xfId="23" applyFont="1" applyFill="1" applyBorder="1" applyAlignment="1">
      <alignment horizontal="left"/>
    </xf>
    <xf numFmtId="0" fontId="34" fillId="10" borderId="23" xfId="23" applyFont="1" applyFill="1" applyBorder="1" applyAlignment="1">
      <alignment horizontal="left"/>
    </xf>
    <xf numFmtId="15" fontId="62" fillId="10" borderId="10" xfId="24" applyNumberFormat="1" applyFill="1" applyBorder="1" applyAlignment="1">
      <alignment horizontal="left"/>
    </xf>
    <xf numFmtId="15" fontId="62" fillId="10" borderId="11" xfId="24" applyNumberFormat="1" applyFill="1" applyBorder="1" applyAlignment="1">
      <alignment horizontal="left"/>
    </xf>
    <xf numFmtId="15" fontId="62" fillId="10" borderId="23" xfId="24" applyNumberFormat="1" applyFill="1" applyBorder="1" applyAlignment="1">
      <alignment horizontal="left"/>
    </xf>
    <xf numFmtId="0" fontId="62" fillId="10" borderId="10" xfId="24" applyFill="1" applyBorder="1"/>
    <xf numFmtId="0" fontId="62" fillId="10" borderId="11" xfId="24" applyFill="1" applyBorder="1"/>
    <xf numFmtId="0" fontId="62" fillId="10" borderId="23" xfId="24" applyFill="1" applyBorder="1"/>
    <xf numFmtId="0" fontId="62" fillId="10" borderId="3" xfId="24" applyFill="1" applyBorder="1" applyAlignment="1">
      <alignment horizontal="left"/>
    </xf>
    <xf numFmtId="0" fontId="62" fillId="10" borderId="4" xfId="24" applyFill="1" applyBorder="1" applyAlignment="1">
      <alignment horizontal="left"/>
    </xf>
    <xf numFmtId="0" fontId="62" fillId="10" borderId="26" xfId="24" applyFill="1" applyBorder="1" applyAlignment="1">
      <alignment horizontal="left"/>
    </xf>
    <xf numFmtId="17" fontId="48" fillId="5" borderId="32" xfId="13" applyNumberFormat="1" applyFont="1" applyFill="1" applyBorder="1" applyAlignment="1" applyProtection="1">
      <alignment horizontal="center"/>
      <protection locked="0"/>
    </xf>
    <xf numFmtId="17" fontId="78" fillId="0" borderId="32" xfId="13" applyNumberFormat="1" applyFont="1" applyBorder="1" applyAlignment="1" applyProtection="1">
      <alignment horizontal="center"/>
      <protection locked="0"/>
    </xf>
    <xf numFmtId="0" fontId="44" fillId="16" borderId="0" xfId="16" applyFill="1"/>
    <xf numFmtId="0" fontId="0" fillId="17" borderId="0" xfId="0" applyFill="1"/>
    <xf numFmtId="0" fontId="0" fillId="7" borderId="0" xfId="0" applyFill="1"/>
    <xf numFmtId="0" fontId="44" fillId="18" borderId="0" xfId="16" applyFill="1"/>
    <xf numFmtId="0" fontId="0" fillId="18" borderId="0" xfId="0" applyFill="1"/>
    <xf numFmtId="0" fontId="0" fillId="19" borderId="0" xfId="0" applyFill="1"/>
    <xf numFmtId="0" fontId="44" fillId="20" borderId="0" xfId="16" applyFill="1"/>
    <xf numFmtId="0" fontId="0" fillId="21" borderId="0" xfId="0" applyFill="1"/>
    <xf numFmtId="0" fontId="0" fillId="22" borderId="0" xfId="0" applyFill="1"/>
    <xf numFmtId="0" fontId="44" fillId="23" borderId="0" xfId="16" applyFill="1"/>
    <xf numFmtId="0" fontId="0" fillId="24" borderId="0" xfId="0" applyFill="1"/>
    <xf numFmtId="0" fontId="0" fillId="25" borderId="0" xfId="0" applyFill="1"/>
    <xf numFmtId="0" fontId="79" fillId="0" borderId="0" xfId="3" applyFont="1" applyBorder="1" applyAlignment="1">
      <alignment vertical="top"/>
    </xf>
    <xf numFmtId="0" fontId="80" fillId="0" borderId="47" xfId="0" applyFont="1" applyBorder="1" applyAlignment="1">
      <alignment horizontal="center" vertical="top"/>
    </xf>
    <xf numFmtId="0" fontId="80" fillId="0" borderId="48" xfId="0" applyFont="1" applyBorder="1" applyAlignment="1">
      <alignment horizontal="center" vertical="top"/>
    </xf>
    <xf numFmtId="0" fontId="80" fillId="0" borderId="49" xfId="0" applyFont="1" applyBorder="1" applyAlignment="1">
      <alignment vertical="top"/>
    </xf>
    <xf numFmtId="0" fontId="79" fillId="0" borderId="50" xfId="3" applyFont="1" applyBorder="1" applyAlignment="1">
      <alignment horizontal="center" vertical="top"/>
    </xf>
    <xf numFmtId="0" fontId="79" fillId="0" borderId="51" xfId="3" applyFont="1" applyBorder="1" applyAlignment="1">
      <alignment horizontal="center" vertical="top"/>
    </xf>
    <xf numFmtId="0" fontId="79" fillId="0" borderId="52" xfId="3" applyFont="1" applyBorder="1" applyAlignment="1">
      <alignment horizontal="center" vertical="top"/>
    </xf>
    <xf numFmtId="0" fontId="71" fillId="22" borderId="21" xfId="26" applyFont="1" applyFill="1" applyBorder="1" applyAlignment="1">
      <alignment horizontal="right"/>
    </xf>
    <xf numFmtId="0" fontId="73" fillId="22" borderId="21" xfId="26" applyFont="1" applyFill="1" applyBorder="1" applyAlignment="1">
      <alignment horizontal="left"/>
    </xf>
    <xf numFmtId="0" fontId="74" fillId="22" borderId="3" xfId="26" applyFont="1" applyFill="1" applyBorder="1" applyAlignment="1">
      <alignment horizontal="right"/>
    </xf>
    <xf numFmtId="0" fontId="74" fillId="22" borderId="4" xfId="26" applyFont="1" applyFill="1" applyBorder="1" applyAlignment="1">
      <alignment horizontal="right"/>
    </xf>
    <xf numFmtId="0" fontId="74" fillId="22" borderId="2" xfId="26" applyFont="1" applyFill="1" applyBorder="1" applyAlignment="1">
      <alignment horizontal="right"/>
    </xf>
    <xf numFmtId="0" fontId="71" fillId="22" borderId="24" xfId="26" applyFont="1" applyFill="1" applyBorder="1" applyAlignment="1">
      <alignment horizontal="right"/>
    </xf>
    <xf numFmtId="0" fontId="76" fillId="22" borderId="24" xfId="26" applyFont="1" applyFill="1" applyBorder="1" applyAlignment="1">
      <alignment horizontal="left"/>
    </xf>
    <xf numFmtId="0" fontId="74" fillId="22" borderId="8" xfId="26" applyFont="1" applyFill="1" applyBorder="1" applyAlignment="1">
      <alignment horizontal="right"/>
    </xf>
    <xf numFmtId="0" fontId="74" fillId="22" borderId="0" xfId="26" applyFont="1" applyFill="1" applyAlignment="1">
      <alignment horizontal="right"/>
    </xf>
    <xf numFmtId="0" fontId="74" fillId="22" borderId="9" xfId="26" applyFont="1" applyFill="1" applyBorder="1" applyAlignment="1">
      <alignment horizontal="right"/>
    </xf>
    <xf numFmtId="0" fontId="71" fillId="22" borderId="27" xfId="26" applyFont="1" applyFill="1" applyBorder="1" applyAlignment="1">
      <alignment horizontal="right"/>
    </xf>
    <xf numFmtId="0" fontId="76" fillId="22" borderId="27" xfId="26" applyFont="1" applyFill="1" applyBorder="1" applyAlignment="1">
      <alignment horizontal="right"/>
    </xf>
    <xf numFmtId="0" fontId="74" fillId="22" borderId="5" xfId="26" applyFont="1" applyFill="1" applyBorder="1" applyAlignment="1">
      <alignment horizontal="right"/>
    </xf>
    <xf numFmtId="0" fontId="74" fillId="22" borderId="6" xfId="26" applyFont="1" applyFill="1" applyBorder="1" applyAlignment="1">
      <alignment horizontal="right"/>
    </xf>
    <xf numFmtId="0" fontId="74" fillId="22" borderId="7" xfId="26" applyFont="1" applyFill="1" applyBorder="1" applyAlignment="1">
      <alignment horizontal="right"/>
    </xf>
    <xf numFmtId="0" fontId="81" fillId="22" borderId="53" xfId="16" applyFont="1" applyFill="1" applyBorder="1" applyAlignment="1">
      <alignment vertical="center"/>
    </xf>
    <xf numFmtId="17" fontId="82" fillId="22" borderId="35" xfId="16" applyNumberFormat="1" applyFont="1" applyFill="1" applyBorder="1"/>
    <xf numFmtId="17" fontId="82" fillId="22" borderId="11" xfId="16" applyNumberFormat="1" applyFont="1" applyFill="1" applyBorder="1" applyAlignment="1">
      <alignment horizontal="right"/>
    </xf>
    <xf numFmtId="17" fontId="82" fillId="22" borderId="12" xfId="16" applyNumberFormat="1" applyFont="1" applyFill="1" applyBorder="1" applyAlignment="1">
      <alignment horizontal="right"/>
    </xf>
    <xf numFmtId="0" fontId="84" fillId="22" borderId="35" xfId="16" applyFont="1" applyFill="1" applyBorder="1" applyAlignment="1">
      <alignment horizontal="center"/>
    </xf>
    <xf numFmtId="3" fontId="83" fillId="22" borderId="11" xfId="16" applyNumberFormat="1" applyFont="1" applyFill="1" applyBorder="1"/>
    <xf numFmtId="3" fontId="83" fillId="22" borderId="12" xfId="16" applyNumberFormat="1" applyFont="1" applyFill="1" applyBorder="1"/>
    <xf numFmtId="0" fontId="82" fillId="22" borderId="35" xfId="16" applyFont="1" applyFill="1" applyBorder="1"/>
    <xf numFmtId="17" fontId="82" fillId="22" borderId="28" xfId="16" applyNumberFormat="1" applyFont="1" applyFill="1" applyBorder="1"/>
    <xf numFmtId="17" fontId="82" fillId="22" borderId="11" xfId="16" applyNumberFormat="1" applyFont="1" applyFill="1" applyBorder="1"/>
    <xf numFmtId="17" fontId="82" fillId="22" borderId="12" xfId="16" applyNumberFormat="1" applyFont="1" applyFill="1" applyBorder="1"/>
    <xf numFmtId="0" fontId="82" fillId="22" borderId="28" xfId="16" applyFont="1" applyFill="1" applyBorder="1"/>
    <xf numFmtId="17" fontId="83" fillId="22" borderId="35" xfId="16" applyNumberFormat="1" applyFont="1" applyFill="1" applyBorder="1" applyAlignment="1">
      <alignment horizontal="left"/>
    </xf>
    <xf numFmtId="3" fontId="85" fillId="22" borderId="33" xfId="16" applyNumberFormat="1" applyFont="1" applyFill="1" applyBorder="1" applyAlignment="1">
      <alignment horizontal="left"/>
    </xf>
    <xf numFmtId="3" fontId="85" fillId="22" borderId="0" xfId="16" applyNumberFormat="1" applyFont="1" applyFill="1" applyAlignment="1">
      <alignment horizontal="right"/>
    </xf>
    <xf numFmtId="3" fontId="85" fillId="22" borderId="9" xfId="16" applyNumberFormat="1" applyFont="1" applyFill="1" applyBorder="1" applyAlignment="1">
      <alignment horizontal="right"/>
    </xf>
    <xf numFmtId="0" fontId="83" fillId="22" borderId="32" xfId="16" quotePrefix="1" applyFont="1" applyFill="1" applyBorder="1"/>
    <xf numFmtId="3" fontId="83" fillId="22" borderId="4" xfId="16" applyNumberFormat="1" applyFont="1" applyFill="1" applyBorder="1"/>
    <xf numFmtId="3" fontId="83" fillId="22" borderId="2" xfId="16" applyNumberFormat="1" applyFont="1" applyFill="1" applyBorder="1"/>
    <xf numFmtId="0" fontId="86" fillId="22" borderId="34" xfId="16" applyFont="1" applyFill="1" applyBorder="1"/>
    <xf numFmtId="164" fontId="83" fillId="22" borderId="6" xfId="16" applyNumberFormat="1" applyFont="1" applyFill="1" applyBorder="1"/>
    <xf numFmtId="164" fontId="83" fillId="22" borderId="7" xfId="16" applyNumberFormat="1" applyFont="1" applyFill="1" applyBorder="1"/>
    <xf numFmtId="0" fontId="86" fillId="22" borderId="34" xfId="16" quotePrefix="1" applyFont="1" applyFill="1" applyBorder="1"/>
    <xf numFmtId="0" fontId="83" fillId="22" borderId="35" xfId="16" quotePrefix="1" applyFont="1" applyFill="1" applyBorder="1"/>
    <xf numFmtId="0" fontId="83" fillId="22" borderId="42" xfId="16" quotePrefix="1" applyFont="1" applyFill="1" applyBorder="1"/>
    <xf numFmtId="3" fontId="83" fillId="22" borderId="43" xfId="16" applyNumberFormat="1" applyFont="1" applyFill="1" applyBorder="1"/>
    <xf numFmtId="3" fontId="83" fillId="22" borderId="41" xfId="16" applyNumberFormat="1" applyFont="1" applyFill="1" applyBorder="1"/>
    <xf numFmtId="0" fontId="81" fillId="22" borderId="54" xfId="16" applyFont="1" applyFill="1" applyBorder="1" applyAlignment="1">
      <alignment vertical="center"/>
    </xf>
    <xf numFmtId="0" fontId="81" fillId="22" borderId="55" xfId="16" applyFont="1" applyFill="1" applyBorder="1" applyAlignment="1">
      <alignment vertical="center"/>
    </xf>
    <xf numFmtId="0" fontId="87" fillId="22" borderId="3" xfId="16" applyFont="1" applyFill="1" applyBorder="1"/>
    <xf numFmtId="17" fontId="87" fillId="22" borderId="4" xfId="16" applyNumberFormat="1" applyFont="1" applyFill="1" applyBorder="1"/>
    <xf numFmtId="0" fontId="87" fillId="22" borderId="2" xfId="16" applyFont="1" applyFill="1" applyBorder="1" applyAlignment="1">
      <alignment horizontal="right"/>
    </xf>
    <xf numFmtId="0" fontId="87" fillId="22" borderId="5" xfId="16" applyFont="1" applyFill="1" applyBorder="1" applyAlignment="1">
      <alignment horizontal="left"/>
    </xf>
    <xf numFmtId="3" fontId="87" fillId="22" borderId="6" xfId="16" applyNumberFormat="1" applyFont="1" applyFill="1" applyBorder="1"/>
    <xf numFmtId="0" fontId="87" fillId="22" borderId="7" xfId="16" applyFont="1" applyFill="1" applyBorder="1" applyAlignment="1">
      <alignment horizontal="right"/>
    </xf>
    <xf numFmtId="0" fontId="87" fillId="22" borderId="10" xfId="16" applyFont="1" applyFill="1" applyBorder="1"/>
    <xf numFmtId="17" fontId="87" fillId="22" borderId="11" xfId="16" applyNumberFormat="1" applyFont="1" applyFill="1" applyBorder="1"/>
    <xf numFmtId="17" fontId="87" fillId="22" borderId="11" xfId="16" applyNumberFormat="1" applyFont="1" applyFill="1" applyBorder="1" applyAlignment="1">
      <alignment horizontal="right"/>
    </xf>
    <xf numFmtId="0" fontId="87" fillId="22" borderId="12" xfId="16" applyFont="1" applyFill="1" applyBorder="1" applyAlignment="1">
      <alignment horizontal="right"/>
    </xf>
    <xf numFmtId="0" fontId="19" fillId="22" borderId="0" xfId="10" applyFont="1" applyFill="1" applyAlignment="1">
      <alignment horizontal="left" vertical="center"/>
    </xf>
    <xf numFmtId="17" fontId="19" fillId="22" borderId="0" xfId="10" quotePrefix="1" applyNumberFormat="1" applyFont="1" applyFill="1" applyAlignment="1">
      <alignment horizontal="right" vertical="center"/>
    </xf>
    <xf numFmtId="0" fontId="19" fillId="22" borderId="14" xfId="10" quotePrefix="1" applyFont="1" applyFill="1" applyBorder="1" applyAlignment="1">
      <alignment horizontal="right" vertical="center"/>
    </xf>
    <xf numFmtId="0" fontId="19" fillId="22" borderId="0" xfId="10" applyFont="1" applyFill="1" applyAlignment="1">
      <alignment horizontal="right" vertical="center"/>
    </xf>
    <xf numFmtId="0" fontId="19" fillId="22" borderId="0" xfId="10" quotePrefix="1" applyFont="1" applyFill="1" applyAlignment="1">
      <alignment horizontal="right" vertical="center"/>
    </xf>
    <xf numFmtId="0" fontId="19" fillId="22" borderId="14" xfId="10" applyFont="1" applyFill="1" applyBorder="1" applyAlignment="1">
      <alignment horizontal="right" vertical="center"/>
    </xf>
    <xf numFmtId="0" fontId="21" fillId="22" borderId="0" xfId="10" quotePrefix="1" applyFont="1" applyFill="1" applyAlignment="1">
      <alignment horizontal="left" vertical="center"/>
    </xf>
    <xf numFmtId="164" fontId="21" fillId="22" borderId="0" xfId="2" quotePrefix="1" applyNumberFormat="1" applyFont="1" applyFill="1" applyBorder="1" applyAlignment="1">
      <alignment horizontal="right" vertical="center"/>
    </xf>
    <xf numFmtId="164" fontId="21" fillId="22" borderId="14" xfId="2" quotePrefix="1" applyNumberFormat="1" applyFont="1" applyFill="1" applyBorder="1" applyAlignment="1">
      <alignment horizontal="right" vertical="center"/>
    </xf>
    <xf numFmtId="0" fontId="9" fillId="22" borderId="0" xfId="10" quotePrefix="1" applyFont="1" applyFill="1" applyAlignment="1">
      <alignment horizontal="left" vertical="center"/>
    </xf>
    <xf numFmtId="3" fontId="9" fillId="22" borderId="0" xfId="2" quotePrefix="1" applyNumberFormat="1" applyFont="1" applyFill="1" applyBorder="1" applyAlignment="1">
      <alignment horizontal="right" vertical="center"/>
    </xf>
    <xf numFmtId="3" fontId="9" fillId="22" borderId="14" xfId="2" quotePrefix="1" applyNumberFormat="1" applyFont="1" applyFill="1" applyBorder="1" applyAlignment="1">
      <alignment horizontal="right" vertical="center"/>
    </xf>
    <xf numFmtId="0" fontId="9" fillId="22" borderId="0" xfId="0" applyFont="1" applyFill="1"/>
    <xf numFmtId="17" fontId="19" fillId="22" borderId="0" xfId="10" applyNumberFormat="1" applyFont="1" applyFill="1" applyAlignment="1">
      <alignment horizontal="right" vertical="center"/>
    </xf>
    <xf numFmtId="0" fontId="19" fillId="22" borderId="0" xfId="10" quotePrefix="1" applyFont="1" applyFill="1" applyAlignment="1">
      <alignment horizontal="left" vertical="center"/>
    </xf>
    <xf numFmtId="0" fontId="19" fillId="22" borderId="44" xfId="10" applyFont="1" applyFill="1" applyBorder="1" applyAlignment="1">
      <alignment horizontal="left" vertical="center"/>
    </xf>
    <xf numFmtId="0" fontId="19" fillId="22" borderId="13" xfId="10" applyFont="1" applyFill="1" applyBorder="1" applyAlignment="1">
      <alignment horizontal="right" vertical="center"/>
    </xf>
    <xf numFmtId="0" fontId="19" fillId="22" borderId="45" xfId="10" applyFont="1" applyFill="1" applyBorder="1" applyAlignment="1">
      <alignment horizontal="right" vertical="center"/>
    </xf>
    <xf numFmtId="17" fontId="19" fillId="22" borderId="13" xfId="10" applyNumberFormat="1" applyFont="1" applyFill="1" applyBorder="1" applyAlignment="1">
      <alignment horizontal="right" vertical="center"/>
    </xf>
    <xf numFmtId="17" fontId="19" fillId="22" borderId="44" xfId="10" applyNumberFormat="1" applyFont="1" applyFill="1" applyBorder="1" applyAlignment="1">
      <alignment horizontal="right" vertical="center"/>
    </xf>
    <xf numFmtId="0" fontId="19" fillId="22" borderId="44" xfId="10" applyFont="1" applyFill="1" applyBorder="1" applyAlignment="1">
      <alignment horizontal="right" vertical="center"/>
    </xf>
    <xf numFmtId="0" fontId="19" fillId="22" borderId="0" xfId="10" applyFont="1" applyFill="1" applyAlignment="1">
      <alignment horizontal="left"/>
    </xf>
    <xf numFmtId="3" fontId="19" fillId="22" borderId="0" xfId="10" applyNumberFormat="1" applyFont="1" applyFill="1" applyAlignment="1">
      <alignment horizontal="right"/>
    </xf>
    <xf numFmtId="3" fontId="19" fillId="22" borderId="14" xfId="10" applyNumberFormat="1" applyFont="1" applyFill="1" applyBorder="1" applyAlignment="1">
      <alignment horizontal="right"/>
    </xf>
    <xf numFmtId="0" fontId="21" fillId="22" borderId="0" xfId="10" applyFont="1" applyFill="1" applyAlignment="1">
      <alignment horizontal="left"/>
    </xf>
    <xf numFmtId="164" fontId="21" fillId="22" borderId="0" xfId="2" applyNumberFormat="1" applyFont="1" applyFill="1" applyAlignment="1">
      <alignment horizontal="right"/>
    </xf>
    <xf numFmtId="164" fontId="21" fillId="22" borderId="14" xfId="2" applyNumberFormat="1" applyFont="1" applyFill="1" applyBorder="1" applyAlignment="1">
      <alignment horizontal="right"/>
    </xf>
    <xf numFmtId="0" fontId="19" fillId="2" borderId="0" xfId="10" applyFont="1" applyFill="1" applyAlignment="1">
      <alignment horizontal="right" vertical="center"/>
    </xf>
    <xf numFmtId="0" fontId="19" fillId="22" borderId="0" xfId="10" quotePrefix="1" applyFont="1" applyFill="1" applyAlignment="1">
      <alignment horizontal="left" vertical="center" wrapText="1"/>
    </xf>
    <xf numFmtId="14" fontId="19" fillId="22" borderId="0" xfId="10" quotePrefix="1" applyNumberFormat="1" applyFont="1" applyFill="1" applyAlignment="1">
      <alignment horizontal="right" vertical="center" wrapText="1"/>
    </xf>
    <xf numFmtId="0" fontId="9" fillId="22" borderId="10" xfId="0" applyFont="1" applyFill="1" applyBorder="1"/>
    <xf numFmtId="3" fontId="9" fillId="22" borderId="12" xfId="0" applyNumberFormat="1" applyFont="1" applyFill="1" applyBorder="1"/>
    <xf numFmtId="3" fontId="29" fillId="22" borderId="0" xfId="10" applyNumberFormat="1" applyFont="1" applyFill="1" applyAlignment="1">
      <alignment horizontal="right"/>
    </xf>
    <xf numFmtId="164" fontId="19" fillId="22" borderId="0" xfId="10" applyNumberFormat="1" applyFont="1" applyFill="1" applyAlignment="1">
      <alignment horizontal="center"/>
    </xf>
    <xf numFmtId="164" fontId="14" fillId="22" borderId="0" xfId="2" applyNumberFormat="1" applyFont="1" applyFill="1" applyBorder="1" applyAlignment="1">
      <alignment horizontal="center"/>
    </xf>
    <xf numFmtId="164" fontId="19" fillId="22" borderId="0" xfId="10" applyNumberFormat="1" applyFont="1" applyFill="1" applyAlignment="1">
      <alignment horizontal="right"/>
    </xf>
    <xf numFmtId="164" fontId="14" fillId="22" borderId="0" xfId="10" applyNumberFormat="1" applyFont="1" applyFill="1" applyAlignment="1">
      <alignment horizontal="right"/>
    </xf>
    <xf numFmtId="3" fontId="88" fillId="22" borderId="0" xfId="10" applyNumberFormat="1" applyFont="1" applyFill="1" applyAlignment="1">
      <alignment horizontal="right"/>
    </xf>
    <xf numFmtId="164" fontId="19" fillId="22" borderId="0" xfId="2" applyNumberFormat="1" applyFont="1" applyFill="1" applyBorder="1" applyAlignment="1">
      <alignment horizontal="center"/>
    </xf>
    <xf numFmtId="0" fontId="19" fillId="22" borderId="0" xfId="10" quotePrefix="1" applyFont="1" applyFill="1" applyAlignment="1">
      <alignment horizontal="right" vertical="center" wrapText="1"/>
    </xf>
    <xf numFmtId="164" fontId="28" fillId="22" borderId="0" xfId="10" applyNumberFormat="1" applyFont="1" applyFill="1" applyAlignment="1">
      <alignment horizontal="right"/>
    </xf>
    <xf numFmtId="164" fontId="28" fillId="22" borderId="0" xfId="2" applyNumberFormat="1" applyFont="1" applyFill="1" applyBorder="1" applyAlignment="1">
      <alignment horizontal="center"/>
    </xf>
    <xf numFmtId="164" fontId="9" fillId="22" borderId="0" xfId="10" applyNumberFormat="1" applyFont="1" applyFill="1" applyAlignment="1">
      <alignment horizontal="right"/>
    </xf>
    <xf numFmtId="164" fontId="9" fillId="22" borderId="0" xfId="2" applyNumberFormat="1" applyFont="1" applyFill="1" applyBorder="1" applyAlignment="1">
      <alignment horizontal="center"/>
    </xf>
    <xf numFmtId="164" fontId="9" fillId="22" borderId="0" xfId="10" applyNumberFormat="1" applyFont="1" applyFill="1" applyAlignment="1">
      <alignment horizontal="center"/>
    </xf>
    <xf numFmtId="0" fontId="19" fillId="22" borderId="14" xfId="10" quotePrefix="1" applyFont="1" applyFill="1" applyBorder="1" applyAlignment="1">
      <alignment horizontal="right" vertical="center" wrapText="1"/>
    </xf>
    <xf numFmtId="0" fontId="22" fillId="0" borderId="14" xfId="0" applyFont="1" applyBorder="1"/>
    <xf numFmtId="0" fontId="19" fillId="22" borderId="14" xfId="10" applyFont="1" applyFill="1" applyBorder="1" applyAlignment="1">
      <alignment horizontal="left" vertical="center"/>
    </xf>
    <xf numFmtId="164" fontId="66" fillId="22" borderId="0" xfId="2" quotePrefix="1" applyNumberFormat="1" applyFont="1" applyFill="1" applyBorder="1" applyAlignment="1">
      <alignment horizontal="right" vertical="center"/>
    </xf>
    <xf numFmtId="3" fontId="14" fillId="5" borderId="0" xfId="0" applyNumberFormat="1" applyFont="1" applyFill="1"/>
    <xf numFmtId="3" fontId="12" fillId="5" borderId="0" xfId="0" applyNumberFormat="1" applyFont="1" applyFill="1"/>
    <xf numFmtId="3" fontId="14" fillId="0" borderId="0" xfId="0" applyNumberFormat="1" applyFont="1" applyAlignment="1">
      <alignment horizontal="right"/>
    </xf>
    <xf numFmtId="3" fontId="14" fillId="12" borderId="0" xfId="0" applyNumberFormat="1" applyFont="1" applyFill="1"/>
    <xf numFmtId="170" fontId="26" fillId="0" borderId="0" xfId="0" applyNumberFormat="1" applyFont="1"/>
    <xf numFmtId="9" fontId="22" fillId="0" borderId="0" xfId="2" applyFont="1" applyBorder="1" applyAlignment="1">
      <alignment horizontal="right"/>
    </xf>
    <xf numFmtId="14" fontId="5" fillId="0" borderId="0" xfId="0" applyNumberFormat="1" applyFont="1"/>
    <xf numFmtId="10" fontId="22" fillId="0" borderId="0" xfId="2" applyNumberFormat="1" applyFont="1" applyBorder="1"/>
    <xf numFmtId="0" fontId="20" fillId="0" borderId="0" xfId="10" applyFont="1" applyAlignment="1">
      <alignment horizontal="left"/>
    </xf>
    <xf numFmtId="0" fontId="26" fillId="0" borderId="0" xfId="0" applyFont="1"/>
    <xf numFmtId="170" fontId="14" fillId="0" borderId="0" xfId="0" applyNumberFormat="1" applyFont="1"/>
    <xf numFmtId="9" fontId="22" fillId="0" borderId="0" xfId="2" applyFont="1" applyBorder="1"/>
    <xf numFmtId="14" fontId="70" fillId="0" borderId="0" xfId="0" applyNumberFormat="1" applyFont="1"/>
    <xf numFmtId="170" fontId="28" fillId="0" borderId="14" xfId="0" applyNumberFormat="1" applyFont="1" applyBorder="1"/>
    <xf numFmtId="3" fontId="16" fillId="0" borderId="14" xfId="11" applyNumberFormat="1" applyFont="1" applyBorder="1"/>
    <xf numFmtId="3" fontId="20" fillId="0" borderId="14" xfId="1" applyNumberFormat="1" applyFont="1" applyFill="1" applyBorder="1" applyAlignment="1">
      <alignment horizontal="right"/>
    </xf>
    <xf numFmtId="3" fontId="16" fillId="12" borderId="14" xfId="0" applyNumberFormat="1" applyFont="1" applyFill="1" applyBorder="1"/>
    <xf numFmtId="3" fontId="9" fillId="22" borderId="14" xfId="0" applyNumberFormat="1" applyFont="1" applyFill="1" applyBorder="1"/>
    <xf numFmtId="0" fontId="16" fillId="0" borderId="14" xfId="0" applyFont="1" applyBorder="1"/>
    <xf numFmtId="164" fontId="22" fillId="0" borderId="14" xfId="0" applyNumberFormat="1" applyFont="1" applyBorder="1"/>
    <xf numFmtId="0" fontId="19" fillId="22" borderId="0" xfId="10" applyFont="1" applyFill="1" applyAlignment="1">
      <alignment horizontal="right" vertical="center" wrapText="1"/>
    </xf>
    <xf numFmtId="14" fontId="19" fillId="22" borderId="0" xfId="10" applyNumberFormat="1" applyFont="1" applyFill="1" applyAlignment="1">
      <alignment horizontal="right" vertical="center"/>
    </xf>
    <xf numFmtId="14" fontId="19" fillId="22" borderId="14" xfId="10" applyNumberFormat="1" applyFont="1" applyFill="1" applyBorder="1" applyAlignment="1">
      <alignment horizontal="right" vertical="center"/>
    </xf>
    <xf numFmtId="14" fontId="19" fillId="22" borderId="0" xfId="10" applyNumberFormat="1" applyFont="1" applyFill="1" applyAlignment="1">
      <alignment horizontal="right" vertical="center" wrapText="1"/>
    </xf>
    <xf numFmtId="0" fontId="77" fillId="0" borderId="21" xfId="26" applyFont="1" applyBorder="1" applyAlignment="1">
      <alignment horizontal="center" vertical="center" textRotation="90"/>
    </xf>
    <xf numFmtId="0" fontId="77" fillId="0" borderId="24" xfId="26" applyFont="1" applyBorder="1" applyAlignment="1">
      <alignment horizontal="center" vertical="center" textRotation="90"/>
    </xf>
    <xf numFmtId="0" fontId="77" fillId="0" borderId="27" xfId="26" applyFont="1" applyBorder="1" applyAlignment="1">
      <alignment horizontal="center" vertical="center" textRotation="90"/>
    </xf>
    <xf numFmtId="0" fontId="81" fillId="22" borderId="54" xfId="16" applyFont="1" applyFill="1" applyBorder="1" applyAlignment="1">
      <alignment horizontal="center" vertical="center"/>
    </xf>
    <xf numFmtId="0" fontId="81" fillId="22" borderId="55" xfId="16" applyFont="1" applyFill="1" applyBorder="1" applyAlignment="1">
      <alignment horizontal="center" vertical="center"/>
    </xf>
  </cellXfs>
  <cellStyles count="28">
    <cellStyle name="Comma 10" xfId="6" xr:uid="{15F66EE5-C764-43DD-ABAF-35E50233544F}"/>
    <cellStyle name="Hyperlink 2" xfId="21" xr:uid="{44650790-C43F-48B7-A911-FCC1CF0D3352}"/>
    <cellStyle name="Hyperlink 3" xfId="24" xr:uid="{9F8A57EF-1512-4F97-8961-C1745ABAD6BD}"/>
    <cellStyle name="Komma" xfId="1" builtinId="3"/>
    <cellStyle name="Komma 2" xfId="11" xr:uid="{9B37BAA3-215F-404E-BE9C-34FCCF9FB607}"/>
    <cellStyle name="Komma 3" xfId="17" xr:uid="{CDF79E0C-71D2-4A42-A16D-898B2C02EB19}"/>
    <cellStyle name="Komma 4" xfId="22" xr:uid="{F04E537C-8895-4695-A499-A2E855697D12}"/>
    <cellStyle name="Komma 5" xfId="27" xr:uid="{BD3C3EC2-EBC1-4402-94F7-3E2773CDE48A}"/>
    <cellStyle name="Kop 1" xfId="3" builtinId="16"/>
    <cellStyle name="Kop 4" xfId="4" builtinId="19"/>
    <cellStyle name="Normal 139" xfId="14" xr:uid="{46D7AE9B-3C8B-411F-B013-FAA656DB933C}"/>
    <cellStyle name="Normal 2" xfId="5" xr:uid="{A6A6965A-CF67-4198-833D-47D35FA064DF}"/>
    <cellStyle name="Normal_Historiek" xfId="18" xr:uid="{4F42EA23-A1BC-482C-BC72-30332348F8B7}"/>
    <cellStyle name="Normal_OVPHIST" xfId="13" xr:uid="{1BF2DD02-5404-4843-911D-BFFDA37F2556}"/>
    <cellStyle name="Percent 2" xfId="8" xr:uid="{DF5ECFFA-A86A-42A0-88F3-E2D03920273A}"/>
    <cellStyle name="Percent 3" xfId="7" xr:uid="{94997C9C-72F9-4134-98C7-1A05FBFF92D8}"/>
    <cellStyle name="Procent" xfId="2" builtinId="5"/>
    <cellStyle name="Procent 2" xfId="19" xr:uid="{845EF13F-CFF3-4E06-BA0C-BC6949F2E414}"/>
    <cellStyle name="Procent 3" xfId="25" xr:uid="{F953BADD-770B-432C-A234-A31997269BD1}"/>
    <cellStyle name="Standaard" xfId="0" builtinId="0"/>
    <cellStyle name="Standaard 2" xfId="10" xr:uid="{6E8F7D0A-49FE-4CB2-876D-32CB1B49BBCA}"/>
    <cellStyle name="Standaard 3" xfId="15" xr:uid="{68C67720-EB3B-433C-92A2-82F6004656B3}"/>
    <cellStyle name="Standaard 3 2" xfId="26" xr:uid="{C11B9ECD-1385-4F84-A166-78AB52BD410D}"/>
    <cellStyle name="Standaard 4" xfId="16" xr:uid="{BC4E5997-AD46-471D-9190-1D7A52BC2D58}"/>
    <cellStyle name="Standaard 5" xfId="23" xr:uid="{A6E864E9-490F-4D81-ABF5-4D8DC0803E95}"/>
    <cellStyle name="Standard_MBR S&amp;M D - MAY 2005 " xfId="12" xr:uid="{17C2D386-6D85-4D54-AF87-C80D957613E8}"/>
    <cellStyle name="Valuta 2" xfId="20" xr:uid="{04A5025F-88A4-455D-BF55-9304FA7F5A59}"/>
    <cellStyle name="数字格式" xfId="9" xr:uid="{F071328F-2A32-4883-8E3C-23126D24092F}"/>
  </cellStyles>
  <dxfs count="6"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color rgb="FFFF0000"/>
      </font>
      <fill>
        <patternFill>
          <bgColor theme="9" tint="0.79998168889431442"/>
        </patternFill>
      </fill>
    </dxf>
  </dxfs>
  <tableStyles count="0" defaultTableStyle="TableStyleMedium2" defaultPivotStyle="PivotStyleLight16"/>
  <colors>
    <mruColors>
      <color rgb="FF1E4B46"/>
      <color rgb="FFF9D2B1"/>
      <color rgb="FF00AC8C"/>
      <color rgb="FFABE1FA"/>
      <color rgb="FFF08B38"/>
      <color rgb="FFFFF685"/>
      <color rgb="FF595959"/>
      <color rgb="FF327E75"/>
      <color rgb="FFA4510C"/>
      <color rgb="FFFAB07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customXml" Target="../customXml/item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38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externalLink" Target="externalLinks/externalLink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externalLink" Target="externalLinks/externalLink6.xml"/><Relationship Id="rId37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externalLink" Target="externalLinks/externalLink2.xml"/><Relationship Id="rId36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externalLink" Target="externalLinks/externalLink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externalLink" Target="externalLinks/externalLink1.xml"/><Relationship Id="rId30" Type="http://schemas.openxmlformats.org/officeDocument/2006/relationships/externalLink" Target="externalLinks/externalLink4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BE"/>
              <a:t>Omzet &amp; EBITDA evolutie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BE"/>
        </a:p>
      </c:txPr>
    </c:title>
    <c:autoTitleDeleted val="0"/>
    <c:plotArea>
      <c:layout/>
      <c:barChart>
        <c:barDir val="col"/>
        <c:grouping val="clustered"/>
        <c:varyColors val="0"/>
        <c:ser>
          <c:idx val="3"/>
          <c:order val="1"/>
          <c:tx>
            <c:strRef>
              <c:f>'KPI grafiek'!$C$9</c:f>
              <c:strCache>
                <c:ptCount val="1"/>
                <c:pt idx="0">
                  <c:v>Niet-gekapitaliseerde EBITDA</c:v>
                </c:pt>
              </c:strCache>
            </c:strRef>
          </c:tx>
          <c:spPr>
            <a:solidFill>
              <a:srgbClr val="1E4B46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1E4B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1A54-4621-9B6B-7C4B211FD321}"/>
              </c:ext>
            </c:extLst>
          </c:dPt>
          <c:dPt>
            <c:idx val="1"/>
            <c:invertIfNegative val="0"/>
            <c:bubble3D val="0"/>
            <c:spPr>
              <a:solidFill>
                <a:srgbClr val="1E4B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1A54-4621-9B6B-7C4B211FD321}"/>
              </c:ext>
            </c:extLst>
          </c:dPt>
          <c:dPt>
            <c:idx val="2"/>
            <c:invertIfNegative val="0"/>
            <c:bubble3D val="0"/>
            <c:spPr>
              <a:solidFill>
                <a:srgbClr val="1E4B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1A54-4621-9B6B-7C4B211FD32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nl-B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'KPI grafiek'!$D$5:$J$5</c:f>
              <c:strCache>
                <c:ptCount val="7"/>
                <c:pt idx="0">
                  <c:v>FY21</c:v>
                </c:pt>
                <c:pt idx="1">
                  <c:v>FY22</c:v>
                </c:pt>
                <c:pt idx="2">
                  <c:v>FY23</c:v>
                </c:pt>
                <c:pt idx="3">
                  <c:v>FY24</c:v>
                </c:pt>
                <c:pt idx="4">
                  <c:v>FY25</c:v>
                </c:pt>
                <c:pt idx="5">
                  <c:v>FY26</c:v>
                </c:pt>
                <c:pt idx="6">
                  <c:v>FY27</c:v>
                </c:pt>
              </c:strCache>
            </c:strRef>
          </c:cat>
          <c:val>
            <c:numRef>
              <c:f>'KPI grafiek'!$D$9:$J$9</c:f>
              <c:numCache>
                <c:formatCode>#,##0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1A54-4621-9B6B-7C4B211FD3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61853455"/>
        <c:axId val="761850543"/>
      </c:barChart>
      <c:lineChart>
        <c:grouping val="standard"/>
        <c:varyColors val="0"/>
        <c:ser>
          <c:idx val="0"/>
          <c:order val="0"/>
          <c:tx>
            <c:strRef>
              <c:f>'KPI grafiek'!$C$6</c:f>
              <c:strCache>
                <c:ptCount val="1"/>
                <c:pt idx="0">
                  <c:v>Omzet</c:v>
                </c:pt>
              </c:strCache>
            </c:strRef>
          </c:tx>
          <c:spPr>
            <a:ln w="25400" cap="rnd">
              <a:solidFill>
                <a:srgbClr val="F08B38"/>
              </a:solidFill>
              <a:round/>
            </a:ln>
            <a:effectLst/>
          </c:spPr>
          <c:marker>
            <c:symbol val="none"/>
          </c:marker>
          <c:dPt>
            <c:idx val="2"/>
            <c:marker>
              <c:symbol val="none"/>
            </c:marker>
            <c:bubble3D val="0"/>
            <c:spPr>
              <a:ln w="25400" cap="rnd">
                <a:solidFill>
                  <a:srgbClr val="F08B38"/>
                </a:solidFill>
                <a:prstDash val="solid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4126-4954-8D8C-6807FDCC5A9D}"/>
              </c:ext>
            </c:extLst>
          </c:dPt>
          <c:dPt>
            <c:idx val="3"/>
            <c:marker>
              <c:symbol val="none"/>
            </c:marker>
            <c:bubble3D val="0"/>
            <c:spPr>
              <a:ln w="25400" cap="rnd">
                <a:solidFill>
                  <a:srgbClr val="F08B38"/>
                </a:solidFill>
                <a:prstDash val="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4126-4954-8D8C-6807FDCC5A9D}"/>
              </c:ext>
            </c:extLst>
          </c:dPt>
          <c:dPt>
            <c:idx val="4"/>
            <c:marker>
              <c:symbol val="none"/>
            </c:marker>
            <c:bubble3D val="0"/>
            <c:spPr>
              <a:ln w="25400" cap="rnd">
                <a:solidFill>
                  <a:srgbClr val="F08B38"/>
                </a:solidFill>
                <a:prstDash val="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C-1A54-4621-9B6B-7C4B211FD321}"/>
              </c:ext>
            </c:extLst>
          </c:dPt>
          <c:dPt>
            <c:idx val="5"/>
            <c:marker>
              <c:symbol val="none"/>
            </c:marker>
            <c:bubble3D val="0"/>
            <c:spPr>
              <a:ln w="25400" cap="rnd">
                <a:solidFill>
                  <a:srgbClr val="F08B38"/>
                </a:solidFill>
                <a:prstDash val="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E-1A54-4621-9B6B-7C4B211FD321}"/>
              </c:ext>
            </c:extLst>
          </c:dPt>
          <c:dPt>
            <c:idx val="6"/>
            <c:marker>
              <c:symbol val="none"/>
            </c:marker>
            <c:bubble3D val="0"/>
            <c:spPr>
              <a:ln w="25400" cap="rnd">
                <a:solidFill>
                  <a:srgbClr val="F08B38"/>
                </a:solidFill>
                <a:prstDash val="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0-1A54-4621-9B6B-7C4B211FD321}"/>
              </c:ext>
            </c:extLst>
          </c:dPt>
          <c:dLbls>
            <c:dLbl>
              <c:idx val="5"/>
              <c:layout>
                <c:manualLayout>
                  <c:x val="-5.8678606364201212E-2"/>
                  <c:y val="-4.33768044619422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 xmlns:c15="http://schemas.microsoft.com/office/drawing/2012/chart"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1A54-4621-9B6B-7C4B211FD32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nl-BE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'KPI grafiek'!$D$5:$J$5</c:f>
              <c:strCache>
                <c:ptCount val="7"/>
                <c:pt idx="0">
                  <c:v>FY21</c:v>
                </c:pt>
                <c:pt idx="1">
                  <c:v>FY22</c:v>
                </c:pt>
                <c:pt idx="2">
                  <c:v>FY23</c:v>
                </c:pt>
                <c:pt idx="3">
                  <c:v>FY24</c:v>
                </c:pt>
                <c:pt idx="4">
                  <c:v>FY25</c:v>
                </c:pt>
                <c:pt idx="5">
                  <c:v>FY26</c:v>
                </c:pt>
                <c:pt idx="6">
                  <c:v>FY27</c:v>
                </c:pt>
              </c:strCache>
            </c:strRef>
          </c:cat>
          <c:val>
            <c:numRef>
              <c:f>'KPI grafiek'!$D$6:$J$6</c:f>
              <c:numCache>
                <c:formatCode>#,##0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1A54-4621-9B6B-7C4B211FD3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61853455"/>
        <c:axId val="761850543"/>
      </c:lineChart>
      <c:catAx>
        <c:axId val="7618534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761850543"/>
        <c:crosses val="autoZero"/>
        <c:auto val="1"/>
        <c:lblAlgn val="ctr"/>
        <c:lblOffset val="100"/>
        <c:noMultiLvlLbl val="0"/>
      </c:catAx>
      <c:valAx>
        <c:axId val="761850543"/>
        <c:scaling>
          <c:orientation val="minMax"/>
          <c:min val="-2500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7618534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B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nl-B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BE"/>
              <a:t>Evolutie verkopen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BE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'Inkomsten - detail'!$C$22</c:f>
              <c:strCache>
                <c:ptCount val="1"/>
                <c:pt idx="0">
                  <c:v>Gecumuleerd # eenheden</c:v>
                </c:pt>
              </c:strCache>
            </c:strRef>
          </c:tx>
          <c:spPr>
            <a:solidFill>
              <a:srgbClr val="1E4B46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'Inkomsten - detail'!$D$20:$BN$20</c15:sqref>
                  </c15:fullRef>
                </c:ext>
              </c:extLst>
              <c:f>'Inkomsten - detail'!$G$20:$BN$20</c:f>
              <c:strCache>
                <c:ptCount val="60"/>
                <c:pt idx="0">
                  <c:v>Jan'24</c:v>
                </c:pt>
                <c:pt idx="1">
                  <c:v>Feb'24</c:v>
                </c:pt>
                <c:pt idx="2">
                  <c:v>Mrt'24</c:v>
                </c:pt>
                <c:pt idx="3">
                  <c:v>Apr'24</c:v>
                </c:pt>
                <c:pt idx="4">
                  <c:v>Mei'24</c:v>
                </c:pt>
                <c:pt idx="5">
                  <c:v>Jun'24</c:v>
                </c:pt>
                <c:pt idx="6">
                  <c:v>Jul'24</c:v>
                </c:pt>
                <c:pt idx="7">
                  <c:v>Aug'24</c:v>
                </c:pt>
                <c:pt idx="8">
                  <c:v>Sep'24</c:v>
                </c:pt>
                <c:pt idx="9">
                  <c:v>Okt'24</c:v>
                </c:pt>
                <c:pt idx="10">
                  <c:v>Nov'24</c:v>
                </c:pt>
                <c:pt idx="11">
                  <c:v>Dec'24</c:v>
                </c:pt>
                <c:pt idx="12">
                  <c:v>Jan'25</c:v>
                </c:pt>
                <c:pt idx="13">
                  <c:v>Feb'25</c:v>
                </c:pt>
                <c:pt idx="14">
                  <c:v>Mrt'25</c:v>
                </c:pt>
                <c:pt idx="15">
                  <c:v>Apr'25</c:v>
                </c:pt>
                <c:pt idx="16">
                  <c:v>Mei'25</c:v>
                </c:pt>
                <c:pt idx="17">
                  <c:v>Jun'25</c:v>
                </c:pt>
                <c:pt idx="18">
                  <c:v>Jul'25</c:v>
                </c:pt>
                <c:pt idx="19">
                  <c:v>Aug'25</c:v>
                </c:pt>
                <c:pt idx="20">
                  <c:v>Sep'25</c:v>
                </c:pt>
                <c:pt idx="21">
                  <c:v>Okt'25</c:v>
                </c:pt>
                <c:pt idx="22">
                  <c:v>Nov'25</c:v>
                </c:pt>
                <c:pt idx="23">
                  <c:v>Dec'25</c:v>
                </c:pt>
                <c:pt idx="24">
                  <c:v>Jan'26</c:v>
                </c:pt>
                <c:pt idx="25">
                  <c:v>Feb'26</c:v>
                </c:pt>
                <c:pt idx="26">
                  <c:v>Mrt'26</c:v>
                </c:pt>
                <c:pt idx="27">
                  <c:v>Apr'26</c:v>
                </c:pt>
                <c:pt idx="28">
                  <c:v>Mei'26</c:v>
                </c:pt>
                <c:pt idx="29">
                  <c:v>Jun'26</c:v>
                </c:pt>
                <c:pt idx="30">
                  <c:v>Jul'26</c:v>
                </c:pt>
                <c:pt idx="31">
                  <c:v>Aug'26</c:v>
                </c:pt>
                <c:pt idx="32">
                  <c:v>Sep'26</c:v>
                </c:pt>
                <c:pt idx="33">
                  <c:v>Okt'26</c:v>
                </c:pt>
                <c:pt idx="34">
                  <c:v>Nov'26</c:v>
                </c:pt>
                <c:pt idx="35">
                  <c:v>Dec'26</c:v>
                </c:pt>
                <c:pt idx="36">
                  <c:v>Jan'27</c:v>
                </c:pt>
                <c:pt idx="37">
                  <c:v>Feb'27</c:v>
                </c:pt>
                <c:pt idx="38">
                  <c:v>Mrt'27</c:v>
                </c:pt>
                <c:pt idx="39">
                  <c:v>Apr'27</c:v>
                </c:pt>
                <c:pt idx="40">
                  <c:v>Mei'27</c:v>
                </c:pt>
                <c:pt idx="41">
                  <c:v>Jun'27</c:v>
                </c:pt>
                <c:pt idx="42">
                  <c:v>Jul'27</c:v>
                </c:pt>
                <c:pt idx="43">
                  <c:v>Aug'27</c:v>
                </c:pt>
                <c:pt idx="44">
                  <c:v>Sep'27</c:v>
                </c:pt>
                <c:pt idx="45">
                  <c:v>Okt'27</c:v>
                </c:pt>
                <c:pt idx="46">
                  <c:v>Nov'27</c:v>
                </c:pt>
                <c:pt idx="47">
                  <c:v>Dec'27</c:v>
                </c:pt>
                <c:pt idx="48">
                  <c:v>Jan'28</c:v>
                </c:pt>
                <c:pt idx="49">
                  <c:v>Feb'28</c:v>
                </c:pt>
                <c:pt idx="50">
                  <c:v>Mrt'28</c:v>
                </c:pt>
                <c:pt idx="51">
                  <c:v>Apr'28</c:v>
                </c:pt>
                <c:pt idx="52">
                  <c:v>Mei'28</c:v>
                </c:pt>
                <c:pt idx="53">
                  <c:v>Jun'28</c:v>
                </c:pt>
                <c:pt idx="54">
                  <c:v>Jul'28</c:v>
                </c:pt>
                <c:pt idx="55">
                  <c:v>Aug'28</c:v>
                </c:pt>
                <c:pt idx="56">
                  <c:v>Sep'28</c:v>
                </c:pt>
                <c:pt idx="57">
                  <c:v>Okt'28</c:v>
                </c:pt>
                <c:pt idx="58">
                  <c:v>Nov'28</c:v>
                </c:pt>
                <c:pt idx="59">
                  <c:v>Dec'28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'Inkomsten - detail'!$D$22:$BN$22</c15:sqref>
                  </c15:fullRef>
                </c:ext>
              </c:extLst>
              <c:f>'Inkomsten - detail'!$G$22:$BN$22</c:f>
              <c:numCache>
                <c:formatCode>#,##0</c:formatCode>
                <c:ptCount val="6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FF9-4A39-90A1-E355844D3B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342694591"/>
        <c:axId val="1342699871"/>
      </c:barChart>
      <c:lineChart>
        <c:grouping val="standard"/>
        <c:varyColors val="0"/>
        <c:ser>
          <c:idx val="0"/>
          <c:order val="0"/>
          <c:tx>
            <c:strRef>
              <c:f>'Inkomsten - detail'!$C$21</c:f>
              <c:strCache>
                <c:ptCount val="1"/>
                <c:pt idx="0">
                  <c:v># eenheden</c:v>
                </c:pt>
              </c:strCache>
            </c:strRef>
          </c:tx>
          <c:spPr>
            <a:ln w="28575" cap="rnd">
              <a:solidFill>
                <a:srgbClr val="F08B38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'Inkomsten - detail'!$D$20:$BN$20</c15:sqref>
                  </c15:fullRef>
                </c:ext>
              </c:extLst>
              <c:f>'Inkomsten - detail'!$G$20:$BN$20</c:f>
              <c:strCache>
                <c:ptCount val="60"/>
                <c:pt idx="0">
                  <c:v>Jan'24</c:v>
                </c:pt>
                <c:pt idx="1">
                  <c:v>Feb'24</c:v>
                </c:pt>
                <c:pt idx="2">
                  <c:v>Mrt'24</c:v>
                </c:pt>
                <c:pt idx="3">
                  <c:v>Apr'24</c:v>
                </c:pt>
                <c:pt idx="4">
                  <c:v>Mei'24</c:v>
                </c:pt>
                <c:pt idx="5">
                  <c:v>Jun'24</c:v>
                </c:pt>
                <c:pt idx="6">
                  <c:v>Jul'24</c:v>
                </c:pt>
                <c:pt idx="7">
                  <c:v>Aug'24</c:v>
                </c:pt>
                <c:pt idx="8">
                  <c:v>Sep'24</c:v>
                </c:pt>
                <c:pt idx="9">
                  <c:v>Okt'24</c:v>
                </c:pt>
                <c:pt idx="10">
                  <c:v>Nov'24</c:v>
                </c:pt>
                <c:pt idx="11">
                  <c:v>Dec'24</c:v>
                </c:pt>
                <c:pt idx="12">
                  <c:v>Jan'25</c:v>
                </c:pt>
                <c:pt idx="13">
                  <c:v>Feb'25</c:v>
                </c:pt>
                <c:pt idx="14">
                  <c:v>Mrt'25</c:v>
                </c:pt>
                <c:pt idx="15">
                  <c:v>Apr'25</c:v>
                </c:pt>
                <c:pt idx="16">
                  <c:v>Mei'25</c:v>
                </c:pt>
                <c:pt idx="17">
                  <c:v>Jun'25</c:v>
                </c:pt>
                <c:pt idx="18">
                  <c:v>Jul'25</c:v>
                </c:pt>
                <c:pt idx="19">
                  <c:v>Aug'25</c:v>
                </c:pt>
                <c:pt idx="20">
                  <c:v>Sep'25</c:v>
                </c:pt>
                <c:pt idx="21">
                  <c:v>Okt'25</c:v>
                </c:pt>
                <c:pt idx="22">
                  <c:v>Nov'25</c:v>
                </c:pt>
                <c:pt idx="23">
                  <c:v>Dec'25</c:v>
                </c:pt>
                <c:pt idx="24">
                  <c:v>Jan'26</c:v>
                </c:pt>
                <c:pt idx="25">
                  <c:v>Feb'26</c:v>
                </c:pt>
                <c:pt idx="26">
                  <c:v>Mrt'26</c:v>
                </c:pt>
                <c:pt idx="27">
                  <c:v>Apr'26</c:v>
                </c:pt>
                <c:pt idx="28">
                  <c:v>Mei'26</c:v>
                </c:pt>
                <c:pt idx="29">
                  <c:v>Jun'26</c:v>
                </c:pt>
                <c:pt idx="30">
                  <c:v>Jul'26</c:v>
                </c:pt>
                <c:pt idx="31">
                  <c:v>Aug'26</c:v>
                </c:pt>
                <c:pt idx="32">
                  <c:v>Sep'26</c:v>
                </c:pt>
                <c:pt idx="33">
                  <c:v>Okt'26</c:v>
                </c:pt>
                <c:pt idx="34">
                  <c:v>Nov'26</c:v>
                </c:pt>
                <c:pt idx="35">
                  <c:v>Dec'26</c:v>
                </c:pt>
                <c:pt idx="36">
                  <c:v>Jan'27</c:v>
                </c:pt>
                <c:pt idx="37">
                  <c:v>Feb'27</c:v>
                </c:pt>
                <c:pt idx="38">
                  <c:v>Mrt'27</c:v>
                </c:pt>
                <c:pt idx="39">
                  <c:v>Apr'27</c:v>
                </c:pt>
                <c:pt idx="40">
                  <c:v>Mei'27</c:v>
                </c:pt>
                <c:pt idx="41">
                  <c:v>Jun'27</c:v>
                </c:pt>
                <c:pt idx="42">
                  <c:v>Jul'27</c:v>
                </c:pt>
                <c:pt idx="43">
                  <c:v>Aug'27</c:v>
                </c:pt>
                <c:pt idx="44">
                  <c:v>Sep'27</c:v>
                </c:pt>
                <c:pt idx="45">
                  <c:v>Okt'27</c:v>
                </c:pt>
                <c:pt idx="46">
                  <c:v>Nov'27</c:v>
                </c:pt>
                <c:pt idx="47">
                  <c:v>Dec'27</c:v>
                </c:pt>
                <c:pt idx="48">
                  <c:v>Jan'28</c:v>
                </c:pt>
                <c:pt idx="49">
                  <c:v>Feb'28</c:v>
                </c:pt>
                <c:pt idx="50">
                  <c:v>Mrt'28</c:v>
                </c:pt>
                <c:pt idx="51">
                  <c:v>Apr'28</c:v>
                </c:pt>
                <c:pt idx="52">
                  <c:v>Mei'28</c:v>
                </c:pt>
                <c:pt idx="53">
                  <c:v>Jun'28</c:v>
                </c:pt>
                <c:pt idx="54">
                  <c:v>Jul'28</c:v>
                </c:pt>
                <c:pt idx="55">
                  <c:v>Aug'28</c:v>
                </c:pt>
                <c:pt idx="56">
                  <c:v>Sep'28</c:v>
                </c:pt>
                <c:pt idx="57">
                  <c:v>Okt'28</c:v>
                </c:pt>
                <c:pt idx="58">
                  <c:v>Nov'28</c:v>
                </c:pt>
                <c:pt idx="59">
                  <c:v>Dec'28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'Inkomsten - detail'!$D$21:$BN$21</c15:sqref>
                  </c15:fullRef>
                </c:ext>
              </c:extLst>
              <c:f>'Inkomsten - detail'!$G$21:$BN$21</c:f>
              <c:numCache>
                <c:formatCode>#,##0</c:formatCode>
                <c:ptCount val="6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FF9-4A39-90A1-E355844D3B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37093967"/>
        <c:axId val="2037095887"/>
      </c:lineChart>
      <c:catAx>
        <c:axId val="20370939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2037095887"/>
        <c:crosses val="autoZero"/>
        <c:auto val="1"/>
        <c:lblAlgn val="ctr"/>
        <c:lblOffset val="100"/>
        <c:noMultiLvlLbl val="0"/>
      </c:catAx>
      <c:valAx>
        <c:axId val="2037095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BE"/>
                  <a:t>Maandverkoop</a:t>
                </a:r>
                <a:r>
                  <a:rPr lang="nl-BE" baseline="0"/>
                  <a:t> (lijn)</a:t>
                </a:r>
                <a:endParaRPr lang="nl-B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2037093967"/>
        <c:crosses val="autoZero"/>
        <c:crossBetween val="between"/>
      </c:valAx>
      <c:valAx>
        <c:axId val="1342699871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BE"/>
                  <a:t>Gecumuleerd # eenheden (kolom)</a:t>
                </a:r>
              </a:p>
            </c:rich>
          </c:tx>
          <c:layout>
            <c:manualLayout>
              <c:xMode val="edge"/>
              <c:yMode val="edge"/>
              <c:x val="0.96324034659253266"/>
              <c:y val="7.1383761088565562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</c:title>
        <c:numFmt formatCode="#,##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1342694591"/>
        <c:crosses val="max"/>
        <c:crossBetween val="between"/>
      </c:valAx>
      <c:catAx>
        <c:axId val="1342694591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34269987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B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nl-BE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BE"/>
              <a:t>Evolutie #</a:t>
            </a:r>
            <a:r>
              <a:rPr lang="nl-BE" baseline="0"/>
              <a:t> FTE's</a:t>
            </a:r>
            <a:endParaRPr lang="nl-B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BE"/>
        </a:p>
      </c:txPr>
    </c:title>
    <c:autoTitleDeleted val="0"/>
    <c:plotArea>
      <c:layout>
        <c:manualLayout>
          <c:layoutTarget val="inner"/>
          <c:xMode val="edge"/>
          <c:yMode val="edge"/>
          <c:x val="2.246384947500266E-2"/>
          <c:y val="0.16572505504985816"/>
          <c:w val="0.96480491037644367"/>
          <c:h val="0.5952841842123679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'Bezoldigingen - detail'!$C$5</c:f>
              <c:strCache>
                <c:ptCount val="1"/>
                <c:pt idx="0">
                  <c:v>Management</c:v>
                </c:pt>
              </c:strCache>
            </c:strRef>
          </c:tx>
          <c:spPr>
            <a:solidFill>
              <a:srgbClr val="1E4B46"/>
            </a:solidFill>
            <a:ln>
              <a:noFill/>
            </a:ln>
            <a:effectLst/>
          </c:spPr>
          <c:invertIfNegative val="0"/>
          <c:cat>
            <c:strRef>
              <c:f>'Bezoldigingen - detail'!$G$4:$BN$4</c:f>
              <c:strCache>
                <c:ptCount val="60"/>
                <c:pt idx="0">
                  <c:v>Jan'24</c:v>
                </c:pt>
                <c:pt idx="1">
                  <c:v>Feb'24</c:v>
                </c:pt>
                <c:pt idx="2">
                  <c:v>Mrt'24</c:v>
                </c:pt>
                <c:pt idx="3">
                  <c:v>Apr'24</c:v>
                </c:pt>
                <c:pt idx="4">
                  <c:v>Mei'24</c:v>
                </c:pt>
                <c:pt idx="5">
                  <c:v>Jun'24</c:v>
                </c:pt>
                <c:pt idx="6">
                  <c:v>Jul'24</c:v>
                </c:pt>
                <c:pt idx="7">
                  <c:v>Aug'24</c:v>
                </c:pt>
                <c:pt idx="8">
                  <c:v>Sep'24</c:v>
                </c:pt>
                <c:pt idx="9">
                  <c:v>Okt'24</c:v>
                </c:pt>
                <c:pt idx="10">
                  <c:v>Nov'24</c:v>
                </c:pt>
                <c:pt idx="11">
                  <c:v>Dec'24</c:v>
                </c:pt>
                <c:pt idx="12">
                  <c:v>Jan'25</c:v>
                </c:pt>
                <c:pt idx="13">
                  <c:v>Feb'25</c:v>
                </c:pt>
                <c:pt idx="14">
                  <c:v>Mrt'25</c:v>
                </c:pt>
                <c:pt idx="15">
                  <c:v>Apr'25</c:v>
                </c:pt>
                <c:pt idx="16">
                  <c:v>Mei'25</c:v>
                </c:pt>
                <c:pt idx="17">
                  <c:v>Jun'25</c:v>
                </c:pt>
                <c:pt idx="18">
                  <c:v>Jul'25</c:v>
                </c:pt>
                <c:pt idx="19">
                  <c:v>Aug'25</c:v>
                </c:pt>
                <c:pt idx="20">
                  <c:v>Sep'25</c:v>
                </c:pt>
                <c:pt idx="21">
                  <c:v>Okt'25</c:v>
                </c:pt>
                <c:pt idx="22">
                  <c:v>Nov'25</c:v>
                </c:pt>
                <c:pt idx="23">
                  <c:v>Dec'25</c:v>
                </c:pt>
                <c:pt idx="24">
                  <c:v>Jan'26</c:v>
                </c:pt>
                <c:pt idx="25">
                  <c:v>Feb'26</c:v>
                </c:pt>
                <c:pt idx="26">
                  <c:v>Mrt'26</c:v>
                </c:pt>
                <c:pt idx="27">
                  <c:v>Apr'26</c:v>
                </c:pt>
                <c:pt idx="28">
                  <c:v>Mei'26</c:v>
                </c:pt>
                <c:pt idx="29">
                  <c:v>Jun'26</c:v>
                </c:pt>
                <c:pt idx="30">
                  <c:v>Jul'26</c:v>
                </c:pt>
                <c:pt idx="31">
                  <c:v>Aug'26</c:v>
                </c:pt>
                <c:pt idx="32">
                  <c:v>Sep'26</c:v>
                </c:pt>
                <c:pt idx="33">
                  <c:v>Okt'26</c:v>
                </c:pt>
                <c:pt idx="34">
                  <c:v>Nov'26</c:v>
                </c:pt>
                <c:pt idx="35">
                  <c:v>Dec'26</c:v>
                </c:pt>
                <c:pt idx="36">
                  <c:v>Jan'27</c:v>
                </c:pt>
                <c:pt idx="37">
                  <c:v>Feb'27</c:v>
                </c:pt>
                <c:pt idx="38">
                  <c:v>Mrt'27</c:v>
                </c:pt>
                <c:pt idx="39">
                  <c:v>Apr'27</c:v>
                </c:pt>
                <c:pt idx="40">
                  <c:v>Mei'27</c:v>
                </c:pt>
                <c:pt idx="41">
                  <c:v>Jun'27</c:v>
                </c:pt>
                <c:pt idx="42">
                  <c:v>Jul'27</c:v>
                </c:pt>
                <c:pt idx="43">
                  <c:v>Aug'27</c:v>
                </c:pt>
                <c:pt idx="44">
                  <c:v>Sep'27</c:v>
                </c:pt>
                <c:pt idx="45">
                  <c:v>Okt'27</c:v>
                </c:pt>
                <c:pt idx="46">
                  <c:v>Nov'27</c:v>
                </c:pt>
                <c:pt idx="47">
                  <c:v>Dec'27</c:v>
                </c:pt>
                <c:pt idx="48">
                  <c:v>Jan'28</c:v>
                </c:pt>
                <c:pt idx="49">
                  <c:v>Feb'28</c:v>
                </c:pt>
                <c:pt idx="50">
                  <c:v>Mrt'28</c:v>
                </c:pt>
                <c:pt idx="51">
                  <c:v>Apr'28</c:v>
                </c:pt>
                <c:pt idx="52">
                  <c:v>Mei'28</c:v>
                </c:pt>
                <c:pt idx="53">
                  <c:v>Jun'28</c:v>
                </c:pt>
                <c:pt idx="54">
                  <c:v>Jul'28</c:v>
                </c:pt>
                <c:pt idx="55">
                  <c:v>Aug'28</c:v>
                </c:pt>
                <c:pt idx="56">
                  <c:v>Sep'28</c:v>
                </c:pt>
                <c:pt idx="57">
                  <c:v>Okt'28</c:v>
                </c:pt>
                <c:pt idx="58">
                  <c:v>Nov'28</c:v>
                </c:pt>
                <c:pt idx="59">
                  <c:v>Dec'28</c:v>
                </c:pt>
              </c:strCache>
            </c:strRef>
          </c:cat>
          <c:val>
            <c:numRef>
              <c:f>'Bezoldigingen - detail'!$G$5:$BN$5</c:f>
              <c:numCache>
                <c:formatCode>0</c:formatCode>
                <c:ptCount val="60"/>
              </c:numCache>
            </c:numRef>
          </c:val>
          <c:extLst>
            <c:ext xmlns:c16="http://schemas.microsoft.com/office/drawing/2014/chart" uri="{C3380CC4-5D6E-409C-BE32-E72D297353CC}">
              <c16:uniqueId val="{00000000-809D-4787-AF8D-C524F1D65C60}"/>
            </c:ext>
          </c:extLst>
        </c:ser>
        <c:ser>
          <c:idx val="1"/>
          <c:order val="1"/>
          <c:tx>
            <c:strRef>
              <c:f>'Bezoldigingen - detail'!$C$6</c:f>
              <c:strCache>
                <c:ptCount val="1"/>
                <c:pt idx="0">
                  <c:v>Sales</c:v>
                </c:pt>
              </c:strCache>
            </c:strRef>
          </c:tx>
          <c:spPr>
            <a:solidFill>
              <a:srgbClr val="F08B38"/>
            </a:solidFill>
            <a:ln>
              <a:noFill/>
            </a:ln>
            <a:effectLst/>
          </c:spPr>
          <c:invertIfNegative val="0"/>
          <c:cat>
            <c:strRef>
              <c:f>'Bezoldigingen - detail'!$G$4:$BN$4</c:f>
              <c:strCache>
                <c:ptCount val="60"/>
                <c:pt idx="0">
                  <c:v>Jan'24</c:v>
                </c:pt>
                <c:pt idx="1">
                  <c:v>Feb'24</c:v>
                </c:pt>
                <c:pt idx="2">
                  <c:v>Mrt'24</c:v>
                </c:pt>
                <c:pt idx="3">
                  <c:v>Apr'24</c:v>
                </c:pt>
                <c:pt idx="4">
                  <c:v>Mei'24</c:v>
                </c:pt>
                <c:pt idx="5">
                  <c:v>Jun'24</c:v>
                </c:pt>
                <c:pt idx="6">
                  <c:v>Jul'24</c:v>
                </c:pt>
                <c:pt idx="7">
                  <c:v>Aug'24</c:v>
                </c:pt>
                <c:pt idx="8">
                  <c:v>Sep'24</c:v>
                </c:pt>
                <c:pt idx="9">
                  <c:v>Okt'24</c:v>
                </c:pt>
                <c:pt idx="10">
                  <c:v>Nov'24</c:v>
                </c:pt>
                <c:pt idx="11">
                  <c:v>Dec'24</c:v>
                </c:pt>
                <c:pt idx="12">
                  <c:v>Jan'25</c:v>
                </c:pt>
                <c:pt idx="13">
                  <c:v>Feb'25</c:v>
                </c:pt>
                <c:pt idx="14">
                  <c:v>Mrt'25</c:v>
                </c:pt>
                <c:pt idx="15">
                  <c:v>Apr'25</c:v>
                </c:pt>
                <c:pt idx="16">
                  <c:v>Mei'25</c:v>
                </c:pt>
                <c:pt idx="17">
                  <c:v>Jun'25</c:v>
                </c:pt>
                <c:pt idx="18">
                  <c:v>Jul'25</c:v>
                </c:pt>
                <c:pt idx="19">
                  <c:v>Aug'25</c:v>
                </c:pt>
                <c:pt idx="20">
                  <c:v>Sep'25</c:v>
                </c:pt>
                <c:pt idx="21">
                  <c:v>Okt'25</c:v>
                </c:pt>
                <c:pt idx="22">
                  <c:v>Nov'25</c:v>
                </c:pt>
                <c:pt idx="23">
                  <c:v>Dec'25</c:v>
                </c:pt>
                <c:pt idx="24">
                  <c:v>Jan'26</c:v>
                </c:pt>
                <c:pt idx="25">
                  <c:v>Feb'26</c:v>
                </c:pt>
                <c:pt idx="26">
                  <c:v>Mrt'26</c:v>
                </c:pt>
                <c:pt idx="27">
                  <c:v>Apr'26</c:v>
                </c:pt>
                <c:pt idx="28">
                  <c:v>Mei'26</c:v>
                </c:pt>
                <c:pt idx="29">
                  <c:v>Jun'26</c:v>
                </c:pt>
                <c:pt idx="30">
                  <c:v>Jul'26</c:v>
                </c:pt>
                <c:pt idx="31">
                  <c:v>Aug'26</c:v>
                </c:pt>
                <c:pt idx="32">
                  <c:v>Sep'26</c:v>
                </c:pt>
                <c:pt idx="33">
                  <c:v>Okt'26</c:v>
                </c:pt>
                <c:pt idx="34">
                  <c:v>Nov'26</c:v>
                </c:pt>
                <c:pt idx="35">
                  <c:v>Dec'26</c:v>
                </c:pt>
                <c:pt idx="36">
                  <c:v>Jan'27</c:v>
                </c:pt>
                <c:pt idx="37">
                  <c:v>Feb'27</c:v>
                </c:pt>
                <c:pt idx="38">
                  <c:v>Mrt'27</c:v>
                </c:pt>
                <c:pt idx="39">
                  <c:v>Apr'27</c:v>
                </c:pt>
                <c:pt idx="40">
                  <c:v>Mei'27</c:v>
                </c:pt>
                <c:pt idx="41">
                  <c:v>Jun'27</c:v>
                </c:pt>
                <c:pt idx="42">
                  <c:v>Jul'27</c:v>
                </c:pt>
                <c:pt idx="43">
                  <c:v>Aug'27</c:v>
                </c:pt>
                <c:pt idx="44">
                  <c:v>Sep'27</c:v>
                </c:pt>
                <c:pt idx="45">
                  <c:v>Okt'27</c:v>
                </c:pt>
                <c:pt idx="46">
                  <c:v>Nov'27</c:v>
                </c:pt>
                <c:pt idx="47">
                  <c:v>Dec'27</c:v>
                </c:pt>
                <c:pt idx="48">
                  <c:v>Jan'28</c:v>
                </c:pt>
                <c:pt idx="49">
                  <c:v>Feb'28</c:v>
                </c:pt>
                <c:pt idx="50">
                  <c:v>Mrt'28</c:v>
                </c:pt>
                <c:pt idx="51">
                  <c:v>Apr'28</c:v>
                </c:pt>
                <c:pt idx="52">
                  <c:v>Mei'28</c:v>
                </c:pt>
                <c:pt idx="53">
                  <c:v>Jun'28</c:v>
                </c:pt>
                <c:pt idx="54">
                  <c:v>Jul'28</c:v>
                </c:pt>
                <c:pt idx="55">
                  <c:v>Aug'28</c:v>
                </c:pt>
                <c:pt idx="56">
                  <c:v>Sep'28</c:v>
                </c:pt>
                <c:pt idx="57">
                  <c:v>Okt'28</c:v>
                </c:pt>
                <c:pt idx="58">
                  <c:v>Nov'28</c:v>
                </c:pt>
                <c:pt idx="59">
                  <c:v>Dec'28</c:v>
                </c:pt>
              </c:strCache>
            </c:strRef>
          </c:cat>
          <c:val>
            <c:numRef>
              <c:f>'Bezoldigingen - detail'!$G$6:$BN$6</c:f>
              <c:numCache>
                <c:formatCode>0</c:formatCode>
                <c:ptCount val="60"/>
              </c:numCache>
            </c:numRef>
          </c:val>
          <c:extLst>
            <c:ext xmlns:c16="http://schemas.microsoft.com/office/drawing/2014/chart" uri="{C3380CC4-5D6E-409C-BE32-E72D297353CC}">
              <c16:uniqueId val="{00000001-809D-4787-AF8D-C524F1D65C60}"/>
            </c:ext>
          </c:extLst>
        </c:ser>
        <c:ser>
          <c:idx val="2"/>
          <c:order val="2"/>
          <c:tx>
            <c:strRef>
              <c:f>'Bezoldigingen - detail'!$C$7</c:f>
              <c:strCache>
                <c:ptCount val="1"/>
                <c:pt idx="0">
                  <c:v>R&amp;D</c:v>
                </c:pt>
              </c:strCache>
            </c:strRef>
          </c:tx>
          <c:spPr>
            <a:solidFill>
              <a:srgbClr val="ABE1FA"/>
            </a:solidFill>
            <a:ln>
              <a:noFill/>
            </a:ln>
            <a:effectLst/>
          </c:spPr>
          <c:invertIfNegative val="0"/>
          <c:cat>
            <c:strRef>
              <c:f>'Bezoldigingen - detail'!$G$4:$BN$4</c:f>
              <c:strCache>
                <c:ptCount val="60"/>
                <c:pt idx="0">
                  <c:v>Jan'24</c:v>
                </c:pt>
                <c:pt idx="1">
                  <c:v>Feb'24</c:v>
                </c:pt>
                <c:pt idx="2">
                  <c:v>Mrt'24</c:v>
                </c:pt>
                <c:pt idx="3">
                  <c:v>Apr'24</c:v>
                </c:pt>
                <c:pt idx="4">
                  <c:v>Mei'24</c:v>
                </c:pt>
                <c:pt idx="5">
                  <c:v>Jun'24</c:v>
                </c:pt>
                <c:pt idx="6">
                  <c:v>Jul'24</c:v>
                </c:pt>
                <c:pt idx="7">
                  <c:v>Aug'24</c:v>
                </c:pt>
                <c:pt idx="8">
                  <c:v>Sep'24</c:v>
                </c:pt>
                <c:pt idx="9">
                  <c:v>Okt'24</c:v>
                </c:pt>
                <c:pt idx="10">
                  <c:v>Nov'24</c:v>
                </c:pt>
                <c:pt idx="11">
                  <c:v>Dec'24</c:v>
                </c:pt>
                <c:pt idx="12">
                  <c:v>Jan'25</c:v>
                </c:pt>
                <c:pt idx="13">
                  <c:v>Feb'25</c:v>
                </c:pt>
                <c:pt idx="14">
                  <c:v>Mrt'25</c:v>
                </c:pt>
                <c:pt idx="15">
                  <c:v>Apr'25</c:v>
                </c:pt>
                <c:pt idx="16">
                  <c:v>Mei'25</c:v>
                </c:pt>
                <c:pt idx="17">
                  <c:v>Jun'25</c:v>
                </c:pt>
                <c:pt idx="18">
                  <c:v>Jul'25</c:v>
                </c:pt>
                <c:pt idx="19">
                  <c:v>Aug'25</c:v>
                </c:pt>
                <c:pt idx="20">
                  <c:v>Sep'25</c:v>
                </c:pt>
                <c:pt idx="21">
                  <c:v>Okt'25</c:v>
                </c:pt>
                <c:pt idx="22">
                  <c:v>Nov'25</c:v>
                </c:pt>
                <c:pt idx="23">
                  <c:v>Dec'25</c:v>
                </c:pt>
                <c:pt idx="24">
                  <c:v>Jan'26</c:v>
                </c:pt>
                <c:pt idx="25">
                  <c:v>Feb'26</c:v>
                </c:pt>
                <c:pt idx="26">
                  <c:v>Mrt'26</c:v>
                </c:pt>
                <c:pt idx="27">
                  <c:v>Apr'26</c:v>
                </c:pt>
                <c:pt idx="28">
                  <c:v>Mei'26</c:v>
                </c:pt>
                <c:pt idx="29">
                  <c:v>Jun'26</c:v>
                </c:pt>
                <c:pt idx="30">
                  <c:v>Jul'26</c:v>
                </c:pt>
                <c:pt idx="31">
                  <c:v>Aug'26</c:v>
                </c:pt>
                <c:pt idx="32">
                  <c:v>Sep'26</c:v>
                </c:pt>
                <c:pt idx="33">
                  <c:v>Okt'26</c:v>
                </c:pt>
                <c:pt idx="34">
                  <c:v>Nov'26</c:v>
                </c:pt>
                <c:pt idx="35">
                  <c:v>Dec'26</c:v>
                </c:pt>
                <c:pt idx="36">
                  <c:v>Jan'27</c:v>
                </c:pt>
                <c:pt idx="37">
                  <c:v>Feb'27</c:v>
                </c:pt>
                <c:pt idx="38">
                  <c:v>Mrt'27</c:v>
                </c:pt>
                <c:pt idx="39">
                  <c:v>Apr'27</c:v>
                </c:pt>
                <c:pt idx="40">
                  <c:v>Mei'27</c:v>
                </c:pt>
                <c:pt idx="41">
                  <c:v>Jun'27</c:v>
                </c:pt>
                <c:pt idx="42">
                  <c:v>Jul'27</c:v>
                </c:pt>
                <c:pt idx="43">
                  <c:v>Aug'27</c:v>
                </c:pt>
                <c:pt idx="44">
                  <c:v>Sep'27</c:v>
                </c:pt>
                <c:pt idx="45">
                  <c:v>Okt'27</c:v>
                </c:pt>
                <c:pt idx="46">
                  <c:v>Nov'27</c:v>
                </c:pt>
                <c:pt idx="47">
                  <c:v>Dec'27</c:v>
                </c:pt>
                <c:pt idx="48">
                  <c:v>Jan'28</c:v>
                </c:pt>
                <c:pt idx="49">
                  <c:v>Feb'28</c:v>
                </c:pt>
                <c:pt idx="50">
                  <c:v>Mrt'28</c:v>
                </c:pt>
                <c:pt idx="51">
                  <c:v>Apr'28</c:v>
                </c:pt>
                <c:pt idx="52">
                  <c:v>Mei'28</c:v>
                </c:pt>
                <c:pt idx="53">
                  <c:v>Jun'28</c:v>
                </c:pt>
                <c:pt idx="54">
                  <c:v>Jul'28</c:v>
                </c:pt>
                <c:pt idx="55">
                  <c:v>Aug'28</c:v>
                </c:pt>
                <c:pt idx="56">
                  <c:v>Sep'28</c:v>
                </c:pt>
                <c:pt idx="57">
                  <c:v>Okt'28</c:v>
                </c:pt>
                <c:pt idx="58">
                  <c:v>Nov'28</c:v>
                </c:pt>
                <c:pt idx="59">
                  <c:v>Dec'28</c:v>
                </c:pt>
              </c:strCache>
            </c:strRef>
          </c:cat>
          <c:val>
            <c:numRef>
              <c:f>'Bezoldigingen - detail'!$G$7:$BN$7</c:f>
              <c:numCache>
                <c:formatCode>0</c:formatCode>
                <c:ptCount val="60"/>
              </c:numCache>
            </c:numRef>
          </c:val>
          <c:extLst>
            <c:ext xmlns:c16="http://schemas.microsoft.com/office/drawing/2014/chart" uri="{C3380CC4-5D6E-409C-BE32-E72D297353CC}">
              <c16:uniqueId val="{00000002-809D-4787-AF8D-C524F1D65C60}"/>
            </c:ext>
          </c:extLst>
        </c:ser>
        <c:ser>
          <c:idx val="4"/>
          <c:order val="3"/>
          <c:tx>
            <c:strRef>
              <c:f>'Bezoldigingen - detail'!$C$8</c:f>
              <c:strCache>
                <c:ptCount val="1"/>
                <c:pt idx="0">
                  <c:v>Finance</c:v>
                </c:pt>
              </c:strCache>
            </c:strRef>
          </c:tx>
          <c:spPr>
            <a:solidFill>
              <a:srgbClr val="00AC8C"/>
            </a:solidFill>
            <a:ln>
              <a:noFill/>
            </a:ln>
            <a:effectLst/>
          </c:spPr>
          <c:invertIfNegative val="0"/>
          <c:cat>
            <c:strRef>
              <c:f>'Bezoldigingen - detail'!$G$4:$BN$4</c:f>
              <c:strCache>
                <c:ptCount val="60"/>
                <c:pt idx="0">
                  <c:v>Jan'24</c:v>
                </c:pt>
                <c:pt idx="1">
                  <c:v>Feb'24</c:v>
                </c:pt>
                <c:pt idx="2">
                  <c:v>Mrt'24</c:v>
                </c:pt>
                <c:pt idx="3">
                  <c:v>Apr'24</c:v>
                </c:pt>
                <c:pt idx="4">
                  <c:v>Mei'24</c:v>
                </c:pt>
                <c:pt idx="5">
                  <c:v>Jun'24</c:v>
                </c:pt>
                <c:pt idx="6">
                  <c:v>Jul'24</c:v>
                </c:pt>
                <c:pt idx="7">
                  <c:v>Aug'24</c:v>
                </c:pt>
                <c:pt idx="8">
                  <c:v>Sep'24</c:v>
                </c:pt>
                <c:pt idx="9">
                  <c:v>Okt'24</c:v>
                </c:pt>
                <c:pt idx="10">
                  <c:v>Nov'24</c:v>
                </c:pt>
                <c:pt idx="11">
                  <c:v>Dec'24</c:v>
                </c:pt>
                <c:pt idx="12">
                  <c:v>Jan'25</c:v>
                </c:pt>
                <c:pt idx="13">
                  <c:v>Feb'25</c:v>
                </c:pt>
                <c:pt idx="14">
                  <c:v>Mrt'25</c:v>
                </c:pt>
                <c:pt idx="15">
                  <c:v>Apr'25</c:v>
                </c:pt>
                <c:pt idx="16">
                  <c:v>Mei'25</c:v>
                </c:pt>
                <c:pt idx="17">
                  <c:v>Jun'25</c:v>
                </c:pt>
                <c:pt idx="18">
                  <c:v>Jul'25</c:v>
                </c:pt>
                <c:pt idx="19">
                  <c:v>Aug'25</c:v>
                </c:pt>
                <c:pt idx="20">
                  <c:v>Sep'25</c:v>
                </c:pt>
                <c:pt idx="21">
                  <c:v>Okt'25</c:v>
                </c:pt>
                <c:pt idx="22">
                  <c:v>Nov'25</c:v>
                </c:pt>
                <c:pt idx="23">
                  <c:v>Dec'25</c:v>
                </c:pt>
                <c:pt idx="24">
                  <c:v>Jan'26</c:v>
                </c:pt>
                <c:pt idx="25">
                  <c:v>Feb'26</c:v>
                </c:pt>
                <c:pt idx="26">
                  <c:v>Mrt'26</c:v>
                </c:pt>
                <c:pt idx="27">
                  <c:v>Apr'26</c:v>
                </c:pt>
                <c:pt idx="28">
                  <c:v>Mei'26</c:v>
                </c:pt>
                <c:pt idx="29">
                  <c:v>Jun'26</c:v>
                </c:pt>
                <c:pt idx="30">
                  <c:v>Jul'26</c:v>
                </c:pt>
                <c:pt idx="31">
                  <c:v>Aug'26</c:v>
                </c:pt>
                <c:pt idx="32">
                  <c:v>Sep'26</c:v>
                </c:pt>
                <c:pt idx="33">
                  <c:v>Okt'26</c:v>
                </c:pt>
                <c:pt idx="34">
                  <c:v>Nov'26</c:v>
                </c:pt>
                <c:pt idx="35">
                  <c:v>Dec'26</c:v>
                </c:pt>
                <c:pt idx="36">
                  <c:v>Jan'27</c:v>
                </c:pt>
                <c:pt idx="37">
                  <c:v>Feb'27</c:v>
                </c:pt>
                <c:pt idx="38">
                  <c:v>Mrt'27</c:v>
                </c:pt>
                <c:pt idx="39">
                  <c:v>Apr'27</c:v>
                </c:pt>
                <c:pt idx="40">
                  <c:v>Mei'27</c:v>
                </c:pt>
                <c:pt idx="41">
                  <c:v>Jun'27</c:v>
                </c:pt>
                <c:pt idx="42">
                  <c:v>Jul'27</c:v>
                </c:pt>
                <c:pt idx="43">
                  <c:v>Aug'27</c:v>
                </c:pt>
                <c:pt idx="44">
                  <c:v>Sep'27</c:v>
                </c:pt>
                <c:pt idx="45">
                  <c:v>Okt'27</c:v>
                </c:pt>
                <c:pt idx="46">
                  <c:v>Nov'27</c:v>
                </c:pt>
                <c:pt idx="47">
                  <c:v>Dec'27</c:v>
                </c:pt>
                <c:pt idx="48">
                  <c:v>Jan'28</c:v>
                </c:pt>
                <c:pt idx="49">
                  <c:v>Feb'28</c:v>
                </c:pt>
                <c:pt idx="50">
                  <c:v>Mrt'28</c:v>
                </c:pt>
                <c:pt idx="51">
                  <c:v>Apr'28</c:v>
                </c:pt>
                <c:pt idx="52">
                  <c:v>Mei'28</c:v>
                </c:pt>
                <c:pt idx="53">
                  <c:v>Jun'28</c:v>
                </c:pt>
                <c:pt idx="54">
                  <c:v>Jul'28</c:v>
                </c:pt>
                <c:pt idx="55">
                  <c:v>Aug'28</c:v>
                </c:pt>
                <c:pt idx="56">
                  <c:v>Sep'28</c:v>
                </c:pt>
                <c:pt idx="57">
                  <c:v>Okt'28</c:v>
                </c:pt>
                <c:pt idx="58">
                  <c:v>Nov'28</c:v>
                </c:pt>
                <c:pt idx="59">
                  <c:v>Dec'28</c:v>
                </c:pt>
              </c:strCache>
            </c:strRef>
          </c:cat>
          <c:val>
            <c:numRef>
              <c:f>'Bezoldigingen - detail'!$G$8:$BN$8</c:f>
              <c:numCache>
                <c:formatCode>0</c:formatCode>
                <c:ptCount val="60"/>
              </c:numCache>
            </c:numRef>
          </c:val>
          <c:extLst>
            <c:ext xmlns:c16="http://schemas.microsoft.com/office/drawing/2014/chart" uri="{C3380CC4-5D6E-409C-BE32-E72D297353CC}">
              <c16:uniqueId val="{00000034-809D-4787-AF8D-C524F1D65C60}"/>
            </c:ext>
          </c:extLst>
        </c:ser>
        <c:ser>
          <c:idx val="5"/>
          <c:order val="4"/>
          <c:tx>
            <c:strRef>
              <c:f>'Bezoldigingen - detail'!$C$9</c:f>
              <c:strCache>
                <c:ptCount val="1"/>
                <c:pt idx="0">
                  <c:v>Admin</c:v>
                </c:pt>
              </c:strCache>
            </c:strRef>
          </c:tx>
          <c:spPr>
            <a:solidFill>
              <a:srgbClr val="F9D2B1"/>
            </a:solidFill>
            <a:ln>
              <a:noFill/>
            </a:ln>
            <a:effectLst/>
          </c:spPr>
          <c:invertIfNegative val="0"/>
          <c:cat>
            <c:strRef>
              <c:f>'Bezoldigingen - detail'!$G$4:$BN$4</c:f>
              <c:strCache>
                <c:ptCount val="60"/>
                <c:pt idx="0">
                  <c:v>Jan'24</c:v>
                </c:pt>
                <c:pt idx="1">
                  <c:v>Feb'24</c:v>
                </c:pt>
                <c:pt idx="2">
                  <c:v>Mrt'24</c:v>
                </c:pt>
                <c:pt idx="3">
                  <c:v>Apr'24</c:v>
                </c:pt>
                <c:pt idx="4">
                  <c:v>Mei'24</c:v>
                </c:pt>
                <c:pt idx="5">
                  <c:v>Jun'24</c:v>
                </c:pt>
                <c:pt idx="6">
                  <c:v>Jul'24</c:v>
                </c:pt>
                <c:pt idx="7">
                  <c:v>Aug'24</c:v>
                </c:pt>
                <c:pt idx="8">
                  <c:v>Sep'24</c:v>
                </c:pt>
                <c:pt idx="9">
                  <c:v>Okt'24</c:v>
                </c:pt>
                <c:pt idx="10">
                  <c:v>Nov'24</c:v>
                </c:pt>
                <c:pt idx="11">
                  <c:v>Dec'24</c:v>
                </c:pt>
                <c:pt idx="12">
                  <c:v>Jan'25</c:v>
                </c:pt>
                <c:pt idx="13">
                  <c:v>Feb'25</c:v>
                </c:pt>
                <c:pt idx="14">
                  <c:v>Mrt'25</c:v>
                </c:pt>
                <c:pt idx="15">
                  <c:v>Apr'25</c:v>
                </c:pt>
                <c:pt idx="16">
                  <c:v>Mei'25</c:v>
                </c:pt>
                <c:pt idx="17">
                  <c:v>Jun'25</c:v>
                </c:pt>
                <c:pt idx="18">
                  <c:v>Jul'25</c:v>
                </c:pt>
                <c:pt idx="19">
                  <c:v>Aug'25</c:v>
                </c:pt>
                <c:pt idx="20">
                  <c:v>Sep'25</c:v>
                </c:pt>
                <c:pt idx="21">
                  <c:v>Okt'25</c:v>
                </c:pt>
                <c:pt idx="22">
                  <c:v>Nov'25</c:v>
                </c:pt>
                <c:pt idx="23">
                  <c:v>Dec'25</c:v>
                </c:pt>
                <c:pt idx="24">
                  <c:v>Jan'26</c:v>
                </c:pt>
                <c:pt idx="25">
                  <c:v>Feb'26</c:v>
                </c:pt>
                <c:pt idx="26">
                  <c:v>Mrt'26</c:v>
                </c:pt>
                <c:pt idx="27">
                  <c:v>Apr'26</c:v>
                </c:pt>
                <c:pt idx="28">
                  <c:v>Mei'26</c:v>
                </c:pt>
                <c:pt idx="29">
                  <c:v>Jun'26</c:v>
                </c:pt>
                <c:pt idx="30">
                  <c:v>Jul'26</c:v>
                </c:pt>
                <c:pt idx="31">
                  <c:v>Aug'26</c:v>
                </c:pt>
                <c:pt idx="32">
                  <c:v>Sep'26</c:v>
                </c:pt>
                <c:pt idx="33">
                  <c:v>Okt'26</c:v>
                </c:pt>
                <c:pt idx="34">
                  <c:v>Nov'26</c:v>
                </c:pt>
                <c:pt idx="35">
                  <c:v>Dec'26</c:v>
                </c:pt>
                <c:pt idx="36">
                  <c:v>Jan'27</c:v>
                </c:pt>
                <c:pt idx="37">
                  <c:v>Feb'27</c:v>
                </c:pt>
                <c:pt idx="38">
                  <c:v>Mrt'27</c:v>
                </c:pt>
                <c:pt idx="39">
                  <c:v>Apr'27</c:v>
                </c:pt>
                <c:pt idx="40">
                  <c:v>Mei'27</c:v>
                </c:pt>
                <c:pt idx="41">
                  <c:v>Jun'27</c:v>
                </c:pt>
                <c:pt idx="42">
                  <c:v>Jul'27</c:v>
                </c:pt>
                <c:pt idx="43">
                  <c:v>Aug'27</c:v>
                </c:pt>
                <c:pt idx="44">
                  <c:v>Sep'27</c:v>
                </c:pt>
                <c:pt idx="45">
                  <c:v>Okt'27</c:v>
                </c:pt>
                <c:pt idx="46">
                  <c:v>Nov'27</c:v>
                </c:pt>
                <c:pt idx="47">
                  <c:v>Dec'27</c:v>
                </c:pt>
                <c:pt idx="48">
                  <c:v>Jan'28</c:v>
                </c:pt>
                <c:pt idx="49">
                  <c:v>Feb'28</c:v>
                </c:pt>
                <c:pt idx="50">
                  <c:v>Mrt'28</c:v>
                </c:pt>
                <c:pt idx="51">
                  <c:v>Apr'28</c:v>
                </c:pt>
                <c:pt idx="52">
                  <c:v>Mei'28</c:v>
                </c:pt>
                <c:pt idx="53">
                  <c:v>Jun'28</c:v>
                </c:pt>
                <c:pt idx="54">
                  <c:v>Jul'28</c:v>
                </c:pt>
                <c:pt idx="55">
                  <c:v>Aug'28</c:v>
                </c:pt>
                <c:pt idx="56">
                  <c:v>Sep'28</c:v>
                </c:pt>
                <c:pt idx="57">
                  <c:v>Okt'28</c:v>
                </c:pt>
                <c:pt idx="58">
                  <c:v>Nov'28</c:v>
                </c:pt>
                <c:pt idx="59">
                  <c:v>Dec'28</c:v>
                </c:pt>
              </c:strCache>
            </c:strRef>
          </c:cat>
          <c:val>
            <c:numRef>
              <c:f>'Bezoldigingen - detail'!$G$9:$BN$9</c:f>
              <c:numCache>
                <c:formatCode>0</c:formatCode>
                <c:ptCount val="60"/>
              </c:numCache>
            </c:numRef>
          </c:val>
          <c:extLst>
            <c:ext xmlns:c16="http://schemas.microsoft.com/office/drawing/2014/chart" uri="{C3380CC4-5D6E-409C-BE32-E72D297353CC}">
              <c16:uniqueId val="{00000035-809D-4787-AF8D-C524F1D65C60}"/>
            </c:ext>
          </c:extLst>
        </c:ser>
        <c:ser>
          <c:idx val="3"/>
          <c:order val="5"/>
          <c:tx>
            <c:strRef>
              <c:f>'Bezoldigingen - detail'!$C$10</c:f>
              <c:strCache>
                <c:ptCount val="1"/>
                <c:pt idx="0">
                  <c:v>Overige</c:v>
                </c:pt>
              </c:strCache>
            </c:strRef>
          </c:tx>
          <c:spPr>
            <a:solidFill>
              <a:srgbClr val="FFF685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1.8217406555919084E-2"/>
                  <c:y val="-0.20975523409682276"/>
                </c:manualLayout>
              </c:layout>
              <c:tx>
                <c:rich>
                  <a:bodyPr/>
                  <a:lstStyle/>
                  <a:p>
                    <a:endParaRPr lang="en-US" baseline="0"/>
                  </a:p>
                </c:rich>
              </c:tx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1"/>
                </c:ext>
                <c:ext xmlns:c16="http://schemas.microsoft.com/office/drawing/2014/chart" uri="{C3380CC4-5D6E-409C-BE32-E72D297353CC}">
                  <c16:uniqueId val="{00000003-809D-4787-AF8D-C524F1D65C60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809D-4787-AF8D-C524F1D65C60}"/>
                </c:ext>
              </c:extLst>
            </c:dLbl>
            <c:dLbl>
              <c:idx val="2"/>
              <c:layout>
                <c:manualLayout>
                  <c:x val="1.324902294975934E-2"/>
                  <c:y val="-0.10943751344182065"/>
                </c:manualLayout>
              </c:layout>
              <c:tx>
                <c:rich>
                  <a:bodyPr/>
                  <a:lstStyle/>
                  <a:p>
                    <a:endParaRPr lang="en-US" baseline="0"/>
                  </a:p>
                </c:rich>
              </c:tx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1"/>
                </c:ext>
                <c:ext xmlns:c16="http://schemas.microsoft.com/office/drawing/2014/chart" uri="{C3380CC4-5D6E-409C-BE32-E72D297353CC}">
                  <c16:uniqueId val="{00000005-809D-4787-AF8D-C524F1D65C60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809D-4787-AF8D-C524F1D65C60}"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809D-4787-AF8D-C524F1D65C60}"/>
                </c:ext>
              </c:extLst>
            </c:dLbl>
            <c:dLbl>
              <c:idx val="5"/>
              <c:layout>
                <c:manualLayout>
                  <c:x val="1.1592895081039422E-2"/>
                  <c:y val="-0.1550364773759125"/>
                </c:manualLayout>
              </c:layout>
              <c:tx>
                <c:rich>
                  <a:bodyPr/>
                  <a:lstStyle/>
                  <a:p>
                    <a:endParaRPr lang="en-US" baseline="0"/>
                  </a:p>
                </c:rich>
              </c:tx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1"/>
                </c:ext>
                <c:ext xmlns:c16="http://schemas.microsoft.com/office/drawing/2014/chart" uri="{C3380CC4-5D6E-409C-BE32-E72D297353CC}">
                  <c16:uniqueId val="{00000008-809D-4787-AF8D-C524F1D65C60}"/>
                </c:ext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809D-4787-AF8D-C524F1D65C60}"/>
                </c:ext>
              </c:extLst>
            </c:dLbl>
            <c:dLbl>
              <c:idx val="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809D-4787-AF8D-C524F1D65C60}"/>
                </c:ext>
              </c:extLst>
            </c:dLbl>
            <c:dLbl>
              <c:idx val="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809D-4787-AF8D-C524F1D65C60}"/>
                </c:ext>
              </c:extLst>
            </c:dLbl>
            <c:dLbl>
              <c:idx val="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809D-4787-AF8D-C524F1D65C60}"/>
                </c:ext>
              </c:extLst>
            </c:dLbl>
            <c:dLbl>
              <c:idx val="1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809D-4787-AF8D-C524F1D65C60}"/>
                </c:ext>
              </c:extLst>
            </c:dLbl>
            <c:dLbl>
              <c:idx val="1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809D-4787-AF8D-C524F1D65C60}"/>
                </c:ext>
              </c:extLst>
            </c:dLbl>
            <c:dLbl>
              <c:idx val="1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809D-4787-AF8D-C524F1D65C60}"/>
                </c:ext>
              </c:extLst>
            </c:dLbl>
            <c:dLbl>
              <c:idx val="1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809D-4787-AF8D-C524F1D65C60}"/>
                </c:ext>
              </c:extLst>
            </c:dLbl>
            <c:dLbl>
              <c:idx val="1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809D-4787-AF8D-C524F1D65C60}"/>
                </c:ext>
              </c:extLst>
            </c:dLbl>
            <c:dLbl>
              <c:idx val="15"/>
              <c:layout>
                <c:manualLayout>
                  <c:x val="1.6561278687199175E-3"/>
                  <c:y val="-0.13679689180227575"/>
                </c:manualLayout>
              </c:layout>
              <c:tx>
                <c:rich>
                  <a:bodyPr/>
                  <a:lstStyle/>
                  <a:p>
                    <a:endParaRPr lang="en-US" baseline="0"/>
                  </a:p>
                </c:rich>
              </c:tx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1"/>
                </c:ext>
                <c:ext xmlns:c16="http://schemas.microsoft.com/office/drawing/2014/chart" uri="{C3380CC4-5D6E-409C-BE32-E72D297353CC}">
                  <c16:uniqueId val="{00000012-809D-4787-AF8D-C524F1D65C60}"/>
                </c:ext>
              </c:extLst>
            </c:dLbl>
            <c:dLbl>
              <c:idx val="1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809D-4787-AF8D-C524F1D65C60}"/>
                </c:ext>
              </c:extLst>
            </c:dLbl>
            <c:dLbl>
              <c:idx val="1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4-809D-4787-AF8D-C524F1D65C60}"/>
                </c:ext>
              </c:extLst>
            </c:dLbl>
            <c:dLbl>
              <c:idx val="1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809D-4787-AF8D-C524F1D65C60}"/>
                </c:ext>
              </c:extLst>
            </c:dLbl>
            <c:dLbl>
              <c:idx val="1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6-809D-4787-AF8D-C524F1D65C60}"/>
                </c:ext>
              </c:extLst>
            </c:dLbl>
            <c:dLbl>
              <c:idx val="2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809D-4787-AF8D-C524F1D65C60}"/>
                </c:ext>
              </c:extLst>
            </c:dLbl>
            <c:dLbl>
              <c:idx val="2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8-809D-4787-AF8D-C524F1D65C60}"/>
                </c:ext>
              </c:extLst>
            </c:dLbl>
            <c:dLbl>
              <c:idx val="2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9-809D-4787-AF8D-C524F1D65C60}"/>
                </c:ext>
              </c:extLst>
            </c:dLbl>
            <c:dLbl>
              <c:idx val="2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A-809D-4787-AF8D-C524F1D65C60}"/>
                </c:ext>
              </c:extLst>
            </c:dLbl>
            <c:dLbl>
              <c:idx val="2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B-809D-4787-AF8D-C524F1D65C60}"/>
                </c:ext>
              </c:extLst>
            </c:dLbl>
            <c:dLbl>
              <c:idx val="25"/>
              <c:layout>
                <c:manualLayout>
                  <c:x val="8.2806393435995874E-3"/>
                  <c:y val="-0.1413567881956849"/>
                </c:manualLayout>
              </c:layout>
              <c:tx>
                <c:rich>
                  <a:bodyPr/>
                  <a:lstStyle/>
                  <a:p>
                    <a:endParaRPr lang="en-US" baseline="0"/>
                  </a:p>
                </c:rich>
              </c:tx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1"/>
                </c:ext>
                <c:ext xmlns:c16="http://schemas.microsoft.com/office/drawing/2014/chart" uri="{C3380CC4-5D6E-409C-BE32-E72D297353CC}">
                  <c16:uniqueId val="{0000001C-809D-4787-AF8D-C524F1D65C60}"/>
                </c:ext>
              </c:extLst>
            </c:dLbl>
            <c:dLbl>
              <c:idx val="2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D-809D-4787-AF8D-C524F1D65C60}"/>
                </c:ext>
              </c:extLst>
            </c:dLbl>
            <c:dLbl>
              <c:idx val="2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E-809D-4787-AF8D-C524F1D65C60}"/>
                </c:ext>
              </c:extLst>
            </c:dLbl>
            <c:dLbl>
              <c:idx val="28"/>
              <c:layout>
                <c:manualLayout>
                  <c:x val="1.6561278687199175E-3"/>
                  <c:y val="-0.19607554491659518"/>
                </c:manualLayout>
              </c:layout>
              <c:tx>
                <c:rich>
                  <a:bodyPr/>
                  <a:lstStyle/>
                  <a:p>
                    <a:endParaRPr lang="en-US" baseline="0"/>
                  </a:p>
                </c:rich>
              </c:tx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1"/>
                </c:ext>
                <c:ext xmlns:c16="http://schemas.microsoft.com/office/drawing/2014/chart" uri="{C3380CC4-5D6E-409C-BE32-E72D297353CC}">
                  <c16:uniqueId val="{0000001F-809D-4787-AF8D-C524F1D65C60}"/>
                </c:ext>
              </c:extLst>
            </c:dLbl>
            <c:dLbl>
              <c:idx val="2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0-809D-4787-AF8D-C524F1D65C60}"/>
                </c:ext>
              </c:extLst>
            </c:dLbl>
            <c:dLbl>
              <c:idx val="3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1-809D-4787-AF8D-C524F1D65C60}"/>
                </c:ext>
              </c:extLst>
            </c:dLbl>
            <c:dLbl>
              <c:idx val="3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2-809D-4787-AF8D-C524F1D65C60}"/>
                </c:ext>
              </c:extLst>
            </c:dLbl>
            <c:dLbl>
              <c:idx val="32"/>
              <c:layout>
                <c:manualLayout>
                  <c:x val="6.6245114748795485E-3"/>
                  <c:y val="-0.1550364773759125"/>
                </c:manualLayout>
              </c:layout>
              <c:tx>
                <c:rich>
                  <a:bodyPr/>
                  <a:lstStyle/>
                  <a:p>
                    <a:endParaRPr lang="en-US" baseline="0"/>
                  </a:p>
                </c:rich>
              </c:tx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1"/>
                </c:ext>
                <c:ext xmlns:c16="http://schemas.microsoft.com/office/drawing/2014/chart" uri="{C3380CC4-5D6E-409C-BE32-E72D297353CC}">
                  <c16:uniqueId val="{00000023-809D-4787-AF8D-C524F1D65C60}"/>
                </c:ext>
              </c:extLst>
            </c:dLbl>
            <c:dLbl>
              <c:idx val="3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4-809D-4787-AF8D-C524F1D65C60}"/>
                </c:ext>
              </c:extLst>
            </c:dLbl>
            <c:dLbl>
              <c:idx val="3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5-809D-4787-AF8D-C524F1D65C60}"/>
                </c:ext>
              </c:extLst>
            </c:dLbl>
            <c:dLbl>
              <c:idx val="3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6-809D-4787-AF8D-C524F1D65C60}"/>
                </c:ext>
              </c:extLst>
            </c:dLbl>
            <c:dLbl>
              <c:idx val="36"/>
              <c:layout>
                <c:manualLayout>
                  <c:x val="-9.9367672123195049E-3"/>
                  <c:y val="-0.20063544131000438"/>
                </c:manualLayout>
              </c:layout>
              <c:tx>
                <c:rich>
                  <a:bodyPr/>
                  <a:lstStyle/>
                  <a:p>
                    <a:endParaRPr lang="en-US" baseline="0"/>
                  </a:p>
                </c:rich>
              </c:tx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1"/>
                </c:ext>
                <c:ext xmlns:c16="http://schemas.microsoft.com/office/drawing/2014/chart" uri="{C3380CC4-5D6E-409C-BE32-E72D297353CC}">
                  <c16:uniqueId val="{00000027-809D-4787-AF8D-C524F1D65C60}"/>
                </c:ext>
              </c:extLst>
            </c:dLbl>
            <c:dLbl>
              <c:idx val="37"/>
              <c:layout>
                <c:manualLayout>
                  <c:x val="4.6371580324157689E-2"/>
                  <c:y val="-0.1869557521297768"/>
                </c:manualLayout>
              </c:layout>
              <c:tx>
                <c:rich>
                  <a:bodyPr/>
                  <a:lstStyle/>
                  <a:p>
                    <a:endParaRPr lang="en-US" baseline="0"/>
                  </a:p>
                </c:rich>
              </c:tx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1"/>
                </c:ext>
                <c:ext xmlns:c16="http://schemas.microsoft.com/office/drawing/2014/chart" uri="{C3380CC4-5D6E-409C-BE32-E72D297353CC}">
                  <c16:uniqueId val="{00000028-809D-4787-AF8D-C524F1D65C60}"/>
                </c:ext>
              </c:extLst>
            </c:dLbl>
            <c:dLbl>
              <c:idx val="3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9-809D-4787-AF8D-C524F1D65C60}"/>
                </c:ext>
              </c:extLst>
            </c:dLbl>
            <c:dLbl>
              <c:idx val="3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A-809D-4787-AF8D-C524F1D65C60}"/>
                </c:ext>
              </c:extLst>
            </c:dLbl>
            <c:dLbl>
              <c:idx val="4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B-809D-4787-AF8D-C524F1D65C60}"/>
                </c:ext>
              </c:extLst>
            </c:dLbl>
            <c:dLbl>
              <c:idx val="4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C-809D-4787-AF8D-C524F1D65C60}"/>
                </c:ext>
              </c:extLst>
            </c:dLbl>
            <c:dLbl>
              <c:idx val="4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D-809D-4787-AF8D-C524F1D65C60}"/>
                </c:ext>
              </c:extLst>
            </c:dLbl>
            <c:dLbl>
              <c:idx val="4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E-809D-4787-AF8D-C524F1D65C60}"/>
                </c:ext>
              </c:extLst>
            </c:dLbl>
            <c:dLbl>
              <c:idx val="4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F-809D-4787-AF8D-C524F1D65C60}"/>
                </c:ext>
              </c:extLst>
            </c:dLbl>
            <c:dLbl>
              <c:idx val="4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0-809D-4787-AF8D-C524F1D65C60}"/>
                </c:ext>
              </c:extLst>
            </c:dLbl>
            <c:dLbl>
              <c:idx val="4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1-809D-4787-AF8D-C524F1D65C60}"/>
                </c:ext>
              </c:extLst>
            </c:dLbl>
            <c:dLbl>
              <c:idx val="4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2-809D-4787-AF8D-C524F1D65C60}"/>
                </c:ext>
              </c:extLst>
            </c:dLbl>
            <c:dLbl>
              <c:idx val="48"/>
              <c:tx>
                <c:rich>
                  <a:bodyPr/>
                  <a:lstStyle/>
                  <a:p>
                    <a:endParaRPr lang="nl-BE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6-809D-4787-AF8D-C524F1D65C60}"/>
                </c:ext>
              </c:extLst>
            </c:dLbl>
            <c:dLbl>
              <c:idx val="49"/>
              <c:tx>
                <c:rich>
                  <a:bodyPr/>
                  <a:lstStyle/>
                  <a:p>
                    <a:endParaRPr lang="nl-BE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7-809D-4787-AF8D-C524F1D65C60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endParaRPr lang="nl-BE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8-809D-4787-AF8D-C524F1D65C60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endParaRPr lang="nl-BE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9-809D-4787-AF8D-C524F1D65C60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endParaRPr lang="nl-BE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A-809D-4787-AF8D-C524F1D65C60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endParaRPr lang="nl-BE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B-809D-4787-AF8D-C524F1D65C60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endParaRPr lang="nl-BE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C-809D-4787-AF8D-C524F1D65C60}"/>
                </c:ext>
              </c:extLst>
            </c:dLbl>
            <c:dLbl>
              <c:idx val="55"/>
              <c:tx>
                <c:rich>
                  <a:bodyPr/>
                  <a:lstStyle/>
                  <a:p>
                    <a:endParaRPr lang="nl-BE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D-809D-4787-AF8D-C524F1D65C60}"/>
                </c:ext>
              </c:extLst>
            </c:dLbl>
            <c:dLbl>
              <c:idx val="56"/>
              <c:tx>
                <c:rich>
                  <a:bodyPr/>
                  <a:lstStyle/>
                  <a:p>
                    <a:endParaRPr lang="nl-BE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E-809D-4787-AF8D-C524F1D65C60}"/>
                </c:ext>
              </c:extLst>
            </c:dLbl>
            <c:dLbl>
              <c:idx val="57"/>
              <c:tx>
                <c:rich>
                  <a:bodyPr/>
                  <a:lstStyle/>
                  <a:p>
                    <a:endParaRPr lang="nl-BE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F-809D-4787-AF8D-C524F1D65C60}"/>
                </c:ext>
              </c:extLst>
            </c:dLbl>
            <c:dLbl>
              <c:idx val="58"/>
              <c:tx>
                <c:rich>
                  <a:bodyPr/>
                  <a:lstStyle/>
                  <a:p>
                    <a:endParaRPr lang="nl-BE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0-809D-4787-AF8D-C524F1D65C60}"/>
                </c:ext>
              </c:extLst>
            </c:dLbl>
            <c:dLbl>
              <c:idx val="59"/>
              <c:tx>
                <c:rich>
                  <a:bodyPr/>
                  <a:lstStyle/>
                  <a:p>
                    <a:endParaRPr lang="nl-BE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1-809D-4787-AF8D-C524F1D65C6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nl-BE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DataLabelsRange val="1"/>
                <c15:showLeaderLines val="0"/>
              </c:ext>
            </c:extLst>
          </c:dLbls>
          <c:cat>
            <c:strRef>
              <c:f>'Bezoldigingen - detail'!$G$4:$BN$4</c:f>
              <c:strCache>
                <c:ptCount val="60"/>
                <c:pt idx="0">
                  <c:v>Jan'24</c:v>
                </c:pt>
                <c:pt idx="1">
                  <c:v>Feb'24</c:v>
                </c:pt>
                <c:pt idx="2">
                  <c:v>Mrt'24</c:v>
                </c:pt>
                <c:pt idx="3">
                  <c:v>Apr'24</c:v>
                </c:pt>
                <c:pt idx="4">
                  <c:v>Mei'24</c:v>
                </c:pt>
                <c:pt idx="5">
                  <c:v>Jun'24</c:v>
                </c:pt>
                <c:pt idx="6">
                  <c:v>Jul'24</c:v>
                </c:pt>
                <c:pt idx="7">
                  <c:v>Aug'24</c:v>
                </c:pt>
                <c:pt idx="8">
                  <c:v>Sep'24</c:v>
                </c:pt>
                <c:pt idx="9">
                  <c:v>Okt'24</c:v>
                </c:pt>
                <c:pt idx="10">
                  <c:v>Nov'24</c:v>
                </c:pt>
                <c:pt idx="11">
                  <c:v>Dec'24</c:v>
                </c:pt>
                <c:pt idx="12">
                  <c:v>Jan'25</c:v>
                </c:pt>
                <c:pt idx="13">
                  <c:v>Feb'25</c:v>
                </c:pt>
                <c:pt idx="14">
                  <c:v>Mrt'25</c:v>
                </c:pt>
                <c:pt idx="15">
                  <c:v>Apr'25</c:v>
                </c:pt>
                <c:pt idx="16">
                  <c:v>Mei'25</c:v>
                </c:pt>
                <c:pt idx="17">
                  <c:v>Jun'25</c:v>
                </c:pt>
                <c:pt idx="18">
                  <c:v>Jul'25</c:v>
                </c:pt>
                <c:pt idx="19">
                  <c:v>Aug'25</c:v>
                </c:pt>
                <c:pt idx="20">
                  <c:v>Sep'25</c:v>
                </c:pt>
                <c:pt idx="21">
                  <c:v>Okt'25</c:v>
                </c:pt>
                <c:pt idx="22">
                  <c:v>Nov'25</c:v>
                </c:pt>
                <c:pt idx="23">
                  <c:v>Dec'25</c:v>
                </c:pt>
                <c:pt idx="24">
                  <c:v>Jan'26</c:v>
                </c:pt>
                <c:pt idx="25">
                  <c:v>Feb'26</c:v>
                </c:pt>
                <c:pt idx="26">
                  <c:v>Mrt'26</c:v>
                </c:pt>
                <c:pt idx="27">
                  <c:v>Apr'26</c:v>
                </c:pt>
                <c:pt idx="28">
                  <c:v>Mei'26</c:v>
                </c:pt>
                <c:pt idx="29">
                  <c:v>Jun'26</c:v>
                </c:pt>
                <c:pt idx="30">
                  <c:v>Jul'26</c:v>
                </c:pt>
                <c:pt idx="31">
                  <c:v>Aug'26</c:v>
                </c:pt>
                <c:pt idx="32">
                  <c:v>Sep'26</c:v>
                </c:pt>
                <c:pt idx="33">
                  <c:v>Okt'26</c:v>
                </c:pt>
                <c:pt idx="34">
                  <c:v>Nov'26</c:v>
                </c:pt>
                <c:pt idx="35">
                  <c:v>Dec'26</c:v>
                </c:pt>
                <c:pt idx="36">
                  <c:v>Jan'27</c:v>
                </c:pt>
                <c:pt idx="37">
                  <c:v>Feb'27</c:v>
                </c:pt>
                <c:pt idx="38">
                  <c:v>Mrt'27</c:v>
                </c:pt>
                <c:pt idx="39">
                  <c:v>Apr'27</c:v>
                </c:pt>
                <c:pt idx="40">
                  <c:v>Mei'27</c:v>
                </c:pt>
                <c:pt idx="41">
                  <c:v>Jun'27</c:v>
                </c:pt>
                <c:pt idx="42">
                  <c:v>Jul'27</c:v>
                </c:pt>
                <c:pt idx="43">
                  <c:v>Aug'27</c:v>
                </c:pt>
                <c:pt idx="44">
                  <c:v>Sep'27</c:v>
                </c:pt>
                <c:pt idx="45">
                  <c:v>Okt'27</c:v>
                </c:pt>
                <c:pt idx="46">
                  <c:v>Nov'27</c:v>
                </c:pt>
                <c:pt idx="47">
                  <c:v>Dec'27</c:v>
                </c:pt>
                <c:pt idx="48">
                  <c:v>Jan'28</c:v>
                </c:pt>
                <c:pt idx="49">
                  <c:v>Feb'28</c:v>
                </c:pt>
                <c:pt idx="50">
                  <c:v>Mrt'28</c:v>
                </c:pt>
                <c:pt idx="51">
                  <c:v>Apr'28</c:v>
                </c:pt>
                <c:pt idx="52">
                  <c:v>Mei'28</c:v>
                </c:pt>
                <c:pt idx="53">
                  <c:v>Jun'28</c:v>
                </c:pt>
                <c:pt idx="54">
                  <c:v>Jul'28</c:v>
                </c:pt>
                <c:pt idx="55">
                  <c:v>Aug'28</c:v>
                </c:pt>
                <c:pt idx="56">
                  <c:v>Sep'28</c:v>
                </c:pt>
                <c:pt idx="57">
                  <c:v>Okt'28</c:v>
                </c:pt>
                <c:pt idx="58">
                  <c:v>Nov'28</c:v>
                </c:pt>
                <c:pt idx="59">
                  <c:v>Dec'28</c:v>
                </c:pt>
              </c:strCache>
            </c:strRef>
          </c:cat>
          <c:val>
            <c:numRef>
              <c:f>'Bezoldigingen - detail'!$G$10:$BN$10</c:f>
              <c:numCache>
                <c:formatCode>0</c:formatCode>
                <c:ptCount val="60"/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'Bezoldigingen - detail'!$G$11:$BB$11</c15:f>
                <c15:dlblRangeCache>
                  <c:ptCount val="48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33-809D-4787-AF8D-C524F1D65C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124074079"/>
        <c:axId val="1124085727"/>
      </c:barChart>
      <c:catAx>
        <c:axId val="112407407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1124085727"/>
        <c:crosses val="autoZero"/>
        <c:auto val="1"/>
        <c:lblAlgn val="ctr"/>
        <c:lblOffset val="100"/>
        <c:noMultiLvlLbl val="0"/>
      </c:catAx>
      <c:valAx>
        <c:axId val="1124085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11240740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B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nl-BE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BE"/>
              <a:t>Vergelijking </a:t>
            </a:r>
            <a:r>
              <a:rPr lang="nl-BE" baseline="0"/>
              <a:t>omzetevolutie in k€</a:t>
            </a:r>
            <a:endParaRPr lang="nl-B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BE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'Vergelijking BPs'!$B$6</c:f>
              <c:strCache>
                <c:ptCount val="1"/>
                <c:pt idx="0">
                  <c:v>Omzet 2019</c:v>
                </c:pt>
              </c:strCache>
            </c:strRef>
          </c:tx>
          <c:spPr>
            <a:ln w="28575" cap="rnd">
              <a:solidFill>
                <a:srgbClr val="F9D2B1"/>
              </a:solidFill>
              <a:round/>
            </a:ln>
            <a:effectLst/>
          </c:spPr>
          <c:marker>
            <c:symbol val="none"/>
          </c:marker>
          <c:cat>
            <c:strRef>
              <c:f>'Vergelijking BPs'!$C$4:$L$4</c:f>
              <c:strCache>
                <c:ptCount val="10"/>
                <c:pt idx="0">
                  <c:v>FY19</c:v>
                </c:pt>
                <c:pt idx="1">
                  <c:v>FY20</c:v>
                </c:pt>
                <c:pt idx="2">
                  <c:v>FY21</c:v>
                </c:pt>
                <c:pt idx="3">
                  <c:v>FY22</c:v>
                </c:pt>
                <c:pt idx="4">
                  <c:v>FY23</c:v>
                </c:pt>
                <c:pt idx="5">
                  <c:v>FY24</c:v>
                </c:pt>
                <c:pt idx="6">
                  <c:v>FY25</c:v>
                </c:pt>
                <c:pt idx="7">
                  <c:v>FY26</c:v>
                </c:pt>
                <c:pt idx="8">
                  <c:v>FY27</c:v>
                </c:pt>
                <c:pt idx="9">
                  <c:v>FY28</c:v>
                </c:pt>
              </c:strCache>
            </c:strRef>
          </c:cat>
          <c:val>
            <c:numRef>
              <c:f>'Vergelijking BPs'!$C$6:$L$6</c:f>
              <c:numCache>
                <c:formatCode>#,##0</c:formatCode>
                <c:ptCount val="1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D32-448D-B82D-98907DA3B126}"/>
            </c:ext>
          </c:extLst>
        </c:ser>
        <c:ser>
          <c:idx val="2"/>
          <c:order val="2"/>
          <c:tx>
            <c:strRef>
              <c:f>'Vergelijking BPs'!$B$7</c:f>
              <c:strCache>
                <c:ptCount val="1"/>
                <c:pt idx="0">
                  <c:v>Omzet 2020</c:v>
                </c:pt>
              </c:strCache>
            </c:strRef>
          </c:tx>
          <c:spPr>
            <a:ln w="28575" cap="rnd">
              <a:solidFill>
                <a:srgbClr val="00AC8C"/>
              </a:solidFill>
              <a:round/>
            </a:ln>
            <a:effectLst/>
          </c:spPr>
          <c:marker>
            <c:symbol val="none"/>
          </c:marker>
          <c:cat>
            <c:strRef>
              <c:f>'Vergelijking BPs'!$C$4:$L$4</c:f>
              <c:strCache>
                <c:ptCount val="10"/>
                <c:pt idx="0">
                  <c:v>FY19</c:v>
                </c:pt>
                <c:pt idx="1">
                  <c:v>FY20</c:v>
                </c:pt>
                <c:pt idx="2">
                  <c:v>FY21</c:v>
                </c:pt>
                <c:pt idx="3">
                  <c:v>FY22</c:v>
                </c:pt>
                <c:pt idx="4">
                  <c:v>FY23</c:v>
                </c:pt>
                <c:pt idx="5">
                  <c:v>FY24</c:v>
                </c:pt>
                <c:pt idx="6">
                  <c:v>FY25</c:v>
                </c:pt>
                <c:pt idx="7">
                  <c:v>FY26</c:v>
                </c:pt>
                <c:pt idx="8">
                  <c:v>FY27</c:v>
                </c:pt>
                <c:pt idx="9">
                  <c:v>FY28</c:v>
                </c:pt>
              </c:strCache>
            </c:strRef>
          </c:cat>
          <c:val>
            <c:numRef>
              <c:f>'Vergelijking BPs'!$C$7:$L$7</c:f>
              <c:numCache>
                <c:formatCode>#,##0</c:formatCode>
                <c:ptCount val="1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D32-448D-B82D-98907DA3B126}"/>
            </c:ext>
          </c:extLst>
        </c:ser>
        <c:ser>
          <c:idx val="3"/>
          <c:order val="3"/>
          <c:tx>
            <c:strRef>
              <c:f>'Vergelijking BPs'!$B$8</c:f>
              <c:strCache>
                <c:ptCount val="1"/>
                <c:pt idx="0">
                  <c:v>Omzet 2021</c:v>
                </c:pt>
              </c:strCache>
            </c:strRef>
          </c:tx>
          <c:spPr>
            <a:ln w="28575" cap="rnd">
              <a:solidFill>
                <a:srgbClr val="ABE1FA"/>
              </a:solidFill>
              <a:round/>
            </a:ln>
            <a:effectLst/>
          </c:spPr>
          <c:marker>
            <c:symbol val="none"/>
          </c:marker>
          <c:cat>
            <c:strRef>
              <c:f>'Vergelijking BPs'!$C$4:$L$4</c:f>
              <c:strCache>
                <c:ptCount val="10"/>
                <c:pt idx="0">
                  <c:v>FY19</c:v>
                </c:pt>
                <c:pt idx="1">
                  <c:v>FY20</c:v>
                </c:pt>
                <c:pt idx="2">
                  <c:v>FY21</c:v>
                </c:pt>
                <c:pt idx="3">
                  <c:v>FY22</c:v>
                </c:pt>
                <c:pt idx="4">
                  <c:v>FY23</c:v>
                </c:pt>
                <c:pt idx="5">
                  <c:v>FY24</c:v>
                </c:pt>
                <c:pt idx="6">
                  <c:v>FY25</c:v>
                </c:pt>
                <c:pt idx="7">
                  <c:v>FY26</c:v>
                </c:pt>
                <c:pt idx="8">
                  <c:v>FY27</c:v>
                </c:pt>
                <c:pt idx="9">
                  <c:v>FY28</c:v>
                </c:pt>
              </c:strCache>
            </c:strRef>
          </c:cat>
          <c:val>
            <c:numRef>
              <c:f>'Vergelijking BPs'!$C$8:$L$8</c:f>
              <c:numCache>
                <c:formatCode>#,##0</c:formatCode>
                <c:ptCount val="1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D32-448D-B82D-98907DA3B126}"/>
            </c:ext>
          </c:extLst>
        </c:ser>
        <c:ser>
          <c:idx val="4"/>
          <c:order val="4"/>
          <c:tx>
            <c:strRef>
              <c:f>'Vergelijking BPs'!$B$9</c:f>
              <c:strCache>
                <c:ptCount val="1"/>
                <c:pt idx="0">
                  <c:v>Omzet 2022</c:v>
                </c:pt>
              </c:strCache>
            </c:strRef>
          </c:tx>
          <c:spPr>
            <a:ln w="28575" cap="rnd">
              <a:solidFill>
                <a:srgbClr val="F08B38"/>
              </a:solidFill>
              <a:round/>
            </a:ln>
            <a:effectLst/>
          </c:spPr>
          <c:marker>
            <c:symbol val="none"/>
          </c:marker>
          <c:cat>
            <c:strRef>
              <c:f>'Vergelijking BPs'!$C$4:$L$4</c:f>
              <c:strCache>
                <c:ptCount val="10"/>
                <c:pt idx="0">
                  <c:v>FY19</c:v>
                </c:pt>
                <c:pt idx="1">
                  <c:v>FY20</c:v>
                </c:pt>
                <c:pt idx="2">
                  <c:v>FY21</c:v>
                </c:pt>
                <c:pt idx="3">
                  <c:v>FY22</c:v>
                </c:pt>
                <c:pt idx="4">
                  <c:v>FY23</c:v>
                </c:pt>
                <c:pt idx="5">
                  <c:v>FY24</c:v>
                </c:pt>
                <c:pt idx="6">
                  <c:v>FY25</c:v>
                </c:pt>
                <c:pt idx="7">
                  <c:v>FY26</c:v>
                </c:pt>
                <c:pt idx="8">
                  <c:v>FY27</c:v>
                </c:pt>
                <c:pt idx="9">
                  <c:v>FY28</c:v>
                </c:pt>
              </c:strCache>
            </c:strRef>
          </c:cat>
          <c:val>
            <c:numRef>
              <c:f>'Vergelijking BPs'!$C$9:$L$9</c:f>
              <c:numCache>
                <c:formatCode>#,##0</c:formatCode>
                <c:ptCount val="1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D32-448D-B82D-98907DA3B126}"/>
            </c:ext>
          </c:extLst>
        </c:ser>
        <c:ser>
          <c:idx val="5"/>
          <c:order val="5"/>
          <c:tx>
            <c:strRef>
              <c:f>'Vergelijking BPs'!$B$10</c:f>
              <c:strCache>
                <c:ptCount val="1"/>
                <c:pt idx="0">
                  <c:v>Omzet 2023</c:v>
                </c:pt>
              </c:strCache>
            </c:strRef>
          </c:tx>
          <c:spPr>
            <a:ln w="28575" cap="rnd">
              <a:solidFill>
                <a:srgbClr val="1E4B46"/>
              </a:solidFill>
              <a:round/>
            </a:ln>
            <a:effectLst/>
          </c:spPr>
          <c:marker>
            <c:symbol val="none"/>
          </c:marker>
          <c:cat>
            <c:strRef>
              <c:f>'Vergelijking BPs'!$C$4:$L$4</c:f>
              <c:strCache>
                <c:ptCount val="10"/>
                <c:pt idx="0">
                  <c:v>FY19</c:v>
                </c:pt>
                <c:pt idx="1">
                  <c:v>FY20</c:v>
                </c:pt>
                <c:pt idx="2">
                  <c:v>FY21</c:v>
                </c:pt>
                <c:pt idx="3">
                  <c:v>FY22</c:v>
                </c:pt>
                <c:pt idx="4">
                  <c:v>FY23</c:v>
                </c:pt>
                <c:pt idx="5">
                  <c:v>FY24</c:v>
                </c:pt>
                <c:pt idx="6">
                  <c:v>FY25</c:v>
                </c:pt>
                <c:pt idx="7">
                  <c:v>FY26</c:v>
                </c:pt>
                <c:pt idx="8">
                  <c:v>FY27</c:v>
                </c:pt>
                <c:pt idx="9">
                  <c:v>FY28</c:v>
                </c:pt>
              </c:strCache>
            </c:strRef>
          </c:cat>
          <c:val>
            <c:numRef>
              <c:f>'Vergelijking BPs'!$C$10:$L$10</c:f>
              <c:numCache>
                <c:formatCode>#,##0</c:formatCode>
                <c:ptCount val="1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D32-448D-B82D-98907DA3B1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24145487"/>
        <c:axId val="1124133839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'Vergelijking BPs'!$B$5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'Vergelijking BPs'!$C$4:$L$4</c15:sqref>
                        </c15:formulaRef>
                      </c:ext>
                    </c:extLst>
                    <c:strCache>
                      <c:ptCount val="10"/>
                      <c:pt idx="0">
                        <c:v>FY19</c:v>
                      </c:pt>
                      <c:pt idx="1">
                        <c:v>FY20</c:v>
                      </c:pt>
                      <c:pt idx="2">
                        <c:v>FY21</c:v>
                      </c:pt>
                      <c:pt idx="3">
                        <c:v>FY22</c:v>
                      </c:pt>
                      <c:pt idx="4">
                        <c:v>FY23</c:v>
                      </c:pt>
                      <c:pt idx="5">
                        <c:v>FY24</c:v>
                      </c:pt>
                      <c:pt idx="6">
                        <c:v>FY25</c:v>
                      </c:pt>
                      <c:pt idx="7">
                        <c:v>FY26</c:v>
                      </c:pt>
                      <c:pt idx="8">
                        <c:v>FY27</c:v>
                      </c:pt>
                      <c:pt idx="9">
                        <c:v>FY28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'Vergelijking BPs'!$C$5:$L$5</c15:sqref>
                        </c15:formulaRef>
                      </c:ext>
                    </c:extLst>
                    <c:numCache>
                      <c:formatCode>General</c:formatCode>
                      <c:ptCount val="10"/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2D32-448D-B82D-98907DA3B126}"/>
                  </c:ext>
                </c:extLst>
              </c15:ser>
            </c15:filteredLineSeries>
          </c:ext>
        </c:extLst>
      </c:lineChart>
      <c:catAx>
        <c:axId val="11241454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1124133839"/>
        <c:crosses val="autoZero"/>
        <c:auto val="1"/>
        <c:lblAlgn val="ctr"/>
        <c:lblOffset val="100"/>
        <c:noMultiLvlLbl val="0"/>
      </c:catAx>
      <c:valAx>
        <c:axId val="11241338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11241454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B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nl-BE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BE"/>
              <a:t>Vergelijking </a:t>
            </a:r>
            <a:r>
              <a:rPr lang="nl-BE" baseline="0"/>
              <a:t>EBITDA evolutie in k€</a:t>
            </a:r>
            <a:endParaRPr lang="nl-B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B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'Vergelijking BPs'!$B$25</c:f>
              <c:strCache>
                <c:ptCount val="1"/>
                <c:pt idx="0">
                  <c:v>EBITDA 2019</c:v>
                </c:pt>
              </c:strCache>
            </c:strRef>
          </c:tx>
          <c:spPr>
            <a:ln w="28575" cap="rnd">
              <a:solidFill>
                <a:srgbClr val="F9D2B1"/>
              </a:solidFill>
              <a:round/>
            </a:ln>
            <a:effectLst/>
          </c:spPr>
          <c:marker>
            <c:symbol val="none"/>
          </c:marker>
          <c:cat>
            <c:strRef>
              <c:f>'Vergelijking BPs'!$C$4:$L$4</c:f>
              <c:strCache>
                <c:ptCount val="10"/>
                <c:pt idx="0">
                  <c:v>FY19</c:v>
                </c:pt>
                <c:pt idx="1">
                  <c:v>FY20</c:v>
                </c:pt>
                <c:pt idx="2">
                  <c:v>FY21</c:v>
                </c:pt>
                <c:pt idx="3">
                  <c:v>FY22</c:v>
                </c:pt>
                <c:pt idx="4">
                  <c:v>FY23</c:v>
                </c:pt>
                <c:pt idx="5">
                  <c:v>FY24</c:v>
                </c:pt>
                <c:pt idx="6">
                  <c:v>FY25</c:v>
                </c:pt>
                <c:pt idx="7">
                  <c:v>FY26</c:v>
                </c:pt>
                <c:pt idx="8">
                  <c:v>FY27</c:v>
                </c:pt>
                <c:pt idx="9">
                  <c:v>FY28</c:v>
                </c:pt>
              </c:strCache>
            </c:strRef>
          </c:cat>
          <c:val>
            <c:numRef>
              <c:f>'Vergelijking BPs'!$C$25:$L$25</c:f>
              <c:numCache>
                <c:formatCode>#,##0</c:formatCode>
                <c:ptCount val="1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FDA-4215-B165-3E75639B84EE}"/>
            </c:ext>
          </c:extLst>
        </c:ser>
        <c:ser>
          <c:idx val="2"/>
          <c:order val="1"/>
          <c:tx>
            <c:strRef>
              <c:f>'Vergelijking BPs'!$B$27</c:f>
              <c:strCache>
                <c:ptCount val="1"/>
                <c:pt idx="0">
                  <c:v>EBITDA 2020</c:v>
                </c:pt>
              </c:strCache>
            </c:strRef>
          </c:tx>
          <c:spPr>
            <a:ln w="28575" cap="rnd">
              <a:solidFill>
                <a:srgbClr val="00AC8C"/>
              </a:solidFill>
              <a:round/>
            </a:ln>
            <a:effectLst/>
          </c:spPr>
          <c:marker>
            <c:symbol val="none"/>
          </c:marker>
          <c:cat>
            <c:strRef>
              <c:f>'Vergelijking BPs'!$C$4:$L$4</c:f>
              <c:strCache>
                <c:ptCount val="10"/>
                <c:pt idx="0">
                  <c:v>FY19</c:v>
                </c:pt>
                <c:pt idx="1">
                  <c:v>FY20</c:v>
                </c:pt>
                <c:pt idx="2">
                  <c:v>FY21</c:v>
                </c:pt>
                <c:pt idx="3">
                  <c:v>FY22</c:v>
                </c:pt>
                <c:pt idx="4">
                  <c:v>FY23</c:v>
                </c:pt>
                <c:pt idx="5">
                  <c:v>FY24</c:v>
                </c:pt>
                <c:pt idx="6">
                  <c:v>FY25</c:v>
                </c:pt>
                <c:pt idx="7">
                  <c:v>FY26</c:v>
                </c:pt>
                <c:pt idx="8">
                  <c:v>FY27</c:v>
                </c:pt>
                <c:pt idx="9">
                  <c:v>FY28</c:v>
                </c:pt>
              </c:strCache>
            </c:strRef>
          </c:cat>
          <c:val>
            <c:numRef>
              <c:f>'Vergelijking BPs'!$C$27:$L$27</c:f>
              <c:numCache>
                <c:formatCode>#,##0</c:formatCode>
                <c:ptCount val="1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FDA-4215-B165-3E75639B84EE}"/>
            </c:ext>
          </c:extLst>
        </c:ser>
        <c:ser>
          <c:idx val="4"/>
          <c:order val="2"/>
          <c:tx>
            <c:strRef>
              <c:f>'Vergelijking BPs'!$B$29</c:f>
              <c:strCache>
                <c:ptCount val="1"/>
                <c:pt idx="0">
                  <c:v>EBITDA 2021</c:v>
                </c:pt>
              </c:strCache>
            </c:strRef>
          </c:tx>
          <c:spPr>
            <a:ln w="28575" cap="rnd">
              <a:solidFill>
                <a:srgbClr val="ABE1FA"/>
              </a:solidFill>
              <a:round/>
            </a:ln>
            <a:effectLst/>
          </c:spPr>
          <c:marker>
            <c:symbol val="none"/>
          </c:marker>
          <c:cat>
            <c:strRef>
              <c:f>'Vergelijking BPs'!$C$4:$L$4</c:f>
              <c:strCache>
                <c:ptCount val="10"/>
                <c:pt idx="0">
                  <c:v>FY19</c:v>
                </c:pt>
                <c:pt idx="1">
                  <c:v>FY20</c:v>
                </c:pt>
                <c:pt idx="2">
                  <c:v>FY21</c:v>
                </c:pt>
                <c:pt idx="3">
                  <c:v>FY22</c:v>
                </c:pt>
                <c:pt idx="4">
                  <c:v>FY23</c:v>
                </c:pt>
                <c:pt idx="5">
                  <c:v>FY24</c:v>
                </c:pt>
                <c:pt idx="6">
                  <c:v>FY25</c:v>
                </c:pt>
                <c:pt idx="7">
                  <c:v>FY26</c:v>
                </c:pt>
                <c:pt idx="8">
                  <c:v>FY27</c:v>
                </c:pt>
                <c:pt idx="9">
                  <c:v>FY28</c:v>
                </c:pt>
              </c:strCache>
            </c:strRef>
          </c:cat>
          <c:val>
            <c:numRef>
              <c:f>'Vergelijking BPs'!$C$29:$L$29</c:f>
              <c:numCache>
                <c:formatCode>#,##0</c:formatCode>
                <c:ptCount val="1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FDA-4215-B165-3E75639B84EE}"/>
            </c:ext>
          </c:extLst>
        </c:ser>
        <c:ser>
          <c:idx val="6"/>
          <c:order val="3"/>
          <c:tx>
            <c:strRef>
              <c:f>'Vergelijking BPs'!$B$31</c:f>
              <c:strCache>
                <c:ptCount val="1"/>
                <c:pt idx="0">
                  <c:v>EBITDA 2022</c:v>
                </c:pt>
              </c:strCache>
            </c:strRef>
          </c:tx>
          <c:spPr>
            <a:ln w="28575" cap="rnd">
              <a:solidFill>
                <a:srgbClr val="F08B38"/>
              </a:solidFill>
              <a:round/>
            </a:ln>
            <a:effectLst/>
          </c:spPr>
          <c:marker>
            <c:symbol val="none"/>
          </c:marker>
          <c:cat>
            <c:strRef>
              <c:f>'Vergelijking BPs'!$C$4:$L$4</c:f>
              <c:strCache>
                <c:ptCount val="10"/>
                <c:pt idx="0">
                  <c:v>FY19</c:v>
                </c:pt>
                <c:pt idx="1">
                  <c:v>FY20</c:v>
                </c:pt>
                <c:pt idx="2">
                  <c:v>FY21</c:v>
                </c:pt>
                <c:pt idx="3">
                  <c:v>FY22</c:v>
                </c:pt>
                <c:pt idx="4">
                  <c:v>FY23</c:v>
                </c:pt>
                <c:pt idx="5">
                  <c:v>FY24</c:v>
                </c:pt>
                <c:pt idx="6">
                  <c:v>FY25</c:v>
                </c:pt>
                <c:pt idx="7">
                  <c:v>FY26</c:v>
                </c:pt>
                <c:pt idx="8">
                  <c:v>FY27</c:v>
                </c:pt>
                <c:pt idx="9">
                  <c:v>FY28</c:v>
                </c:pt>
              </c:strCache>
            </c:strRef>
          </c:cat>
          <c:val>
            <c:numRef>
              <c:f>'Vergelijking BPs'!$C$31:$L$31</c:f>
              <c:numCache>
                <c:formatCode>#,##0</c:formatCode>
                <c:ptCount val="1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FDA-4215-B165-3E75639B84EE}"/>
            </c:ext>
          </c:extLst>
        </c:ser>
        <c:ser>
          <c:idx val="8"/>
          <c:order val="4"/>
          <c:tx>
            <c:strRef>
              <c:f>'Vergelijking BPs'!$B$33</c:f>
              <c:strCache>
                <c:ptCount val="1"/>
                <c:pt idx="0">
                  <c:v>EBITDA 2023</c:v>
                </c:pt>
              </c:strCache>
            </c:strRef>
          </c:tx>
          <c:spPr>
            <a:ln w="28575" cap="rnd">
              <a:solidFill>
                <a:srgbClr val="1E4B46"/>
              </a:solidFill>
              <a:round/>
            </a:ln>
            <a:effectLst/>
          </c:spPr>
          <c:marker>
            <c:symbol val="none"/>
          </c:marker>
          <c:cat>
            <c:strRef>
              <c:f>'Vergelijking BPs'!$C$4:$L$4</c:f>
              <c:strCache>
                <c:ptCount val="10"/>
                <c:pt idx="0">
                  <c:v>FY19</c:v>
                </c:pt>
                <c:pt idx="1">
                  <c:v>FY20</c:v>
                </c:pt>
                <c:pt idx="2">
                  <c:v>FY21</c:v>
                </c:pt>
                <c:pt idx="3">
                  <c:v>FY22</c:v>
                </c:pt>
                <c:pt idx="4">
                  <c:v>FY23</c:v>
                </c:pt>
                <c:pt idx="5">
                  <c:v>FY24</c:v>
                </c:pt>
                <c:pt idx="6">
                  <c:v>FY25</c:v>
                </c:pt>
                <c:pt idx="7">
                  <c:v>FY26</c:v>
                </c:pt>
                <c:pt idx="8">
                  <c:v>FY27</c:v>
                </c:pt>
                <c:pt idx="9">
                  <c:v>FY28</c:v>
                </c:pt>
              </c:strCache>
            </c:strRef>
          </c:cat>
          <c:val>
            <c:numRef>
              <c:f>'Vergelijking BPs'!$C$33:$L$33</c:f>
              <c:numCache>
                <c:formatCode>#,##0</c:formatCode>
                <c:ptCount val="1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FDA-4215-B165-3E75639B84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24145487"/>
        <c:axId val="1124133839"/>
        <c:extLst/>
      </c:lineChart>
      <c:catAx>
        <c:axId val="11241454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1124133839"/>
        <c:crosses val="autoZero"/>
        <c:auto val="1"/>
        <c:lblAlgn val="ctr"/>
        <c:lblOffset val="100"/>
        <c:noMultiLvlLbl val="0"/>
      </c:catAx>
      <c:valAx>
        <c:axId val="11241338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11241454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05"/>
          <c:y val="0.90335593467483233"/>
          <c:w val="0.90248775153105854"/>
          <c:h val="9.664398431677521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B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nl-BE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BE"/>
              <a:t>Waarderingsranges</a:t>
            </a:r>
            <a:r>
              <a:rPr lang="nl-BE" baseline="0"/>
              <a:t> - Enterprise Value</a:t>
            </a:r>
            <a:endParaRPr lang="nl-B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BE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'Waardering summary'!$H$3</c:f>
              <c:strCache>
                <c:ptCount val="1"/>
                <c:pt idx="0">
                  <c:v>Min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7.4999999999999956E-2"/>
                  <c:y val="-1.6975112544026657E-16"/>
                </c:manualLayout>
              </c:layout>
              <c:tx>
                <c:rich>
                  <a:bodyPr/>
                  <a:lstStyle/>
                  <a:p>
                    <a:fld id="{382CF05B-7BB0-4284-B60A-C91EDA35C05A}" type="CELLRANGE">
                      <a:rPr lang="en-US"/>
                      <a:pPr/>
                      <a:t>[CELLRANGE]</a:t>
                    </a:fld>
                    <a:endParaRPr lang="nl-BE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7-5CDD-4E4F-8316-D1203E414510}"/>
                </c:ext>
              </c:extLst>
            </c:dLbl>
            <c:dLbl>
              <c:idx val="1"/>
              <c:layout>
                <c:manualLayout>
                  <c:x val="2.5000000000000001E-2"/>
                  <c:y val="0"/>
                </c:manualLayout>
              </c:layout>
              <c:tx>
                <c:rich>
                  <a:bodyPr/>
                  <a:lstStyle/>
                  <a:p>
                    <a:fld id="{FBE8068D-588A-400D-895B-21413FC91C81}" type="CELLRANGE">
                      <a:rPr lang="en-US"/>
                      <a:pPr/>
                      <a:t>[CELLRANGE]</a:t>
                    </a:fld>
                    <a:endParaRPr lang="nl-BE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9-5CDD-4E4F-8316-D1203E414510}"/>
                </c:ext>
              </c:extLst>
            </c:dLbl>
            <c:dLbl>
              <c:idx val="2"/>
              <c:layout>
                <c:manualLayout>
                  <c:x val="0.2"/>
                  <c:y val="-4.2437781360066642E-17"/>
                </c:manualLayout>
              </c:layout>
              <c:tx>
                <c:rich>
                  <a:bodyPr/>
                  <a:lstStyle/>
                  <a:p>
                    <a:fld id="{AED85E04-64E2-4FC6-A4CE-D05D9DFA994F}" type="CELLRANGE">
                      <a:rPr lang="en-US"/>
                      <a:pPr/>
                      <a:t>[CELLRANGE]</a:t>
                    </a:fld>
                    <a:endParaRPr lang="nl-BE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A-5CDD-4E4F-8316-D1203E41451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nl-BE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DataLabelsRange val="1"/>
                <c15:showLeaderLines val="0"/>
              </c:ext>
            </c:extLst>
          </c:dLbls>
          <c:cat>
            <c:strRef>
              <c:f>'Waardering summary'!$B$4:$B$6</c:f>
              <c:strCache>
                <c:ptCount val="3"/>
                <c:pt idx="0">
                  <c:v>TM</c:v>
                </c:pt>
                <c:pt idx="1">
                  <c:v>MM</c:v>
                </c:pt>
                <c:pt idx="2">
                  <c:v>DCF</c:v>
                </c:pt>
              </c:strCache>
            </c:strRef>
          </c:cat>
          <c:val>
            <c:numRef>
              <c:f>'Waardering summary'!$H$4:$H$6</c:f>
              <c:numCache>
                <c:formatCode>#,##0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'Waardering summary'!$H$4:$H$6</c15:f>
                <c15:dlblRangeCache>
                  <c:ptCount val="3"/>
                  <c:pt idx="0">
                    <c:v>0</c:v>
                  </c:pt>
                  <c:pt idx="1">
                    <c:v>0</c:v>
                  </c:pt>
                  <c:pt idx="2">
                    <c:v>#WAARDE!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5CDD-4E4F-8316-D1203E414510}"/>
            </c:ext>
          </c:extLst>
        </c:ser>
        <c:ser>
          <c:idx val="1"/>
          <c:order val="1"/>
          <c:tx>
            <c:strRef>
              <c:f>'Waardering summary'!$I$3</c:f>
              <c:strCache>
                <c:ptCount val="1"/>
                <c:pt idx="0">
                  <c:v>Mid</c:v>
                </c:pt>
              </c:strCache>
            </c:strRef>
          </c:tx>
          <c:spPr>
            <a:solidFill>
              <a:srgbClr val="00AC8C"/>
            </a:solidFill>
            <a:ln>
              <a:solidFill>
                <a:schemeClr val="bg1"/>
              </a:solidFill>
            </a:ln>
            <a:effectLst/>
          </c:spPr>
          <c:invertIfNegative val="0"/>
          <c:dLbls>
            <c:dLbl>
              <c:idx val="0"/>
              <c:layout>
                <c:manualLayout>
                  <c:x val="5.8333333333333334E-2"/>
                  <c:y val="-8.3333333333333412E-2"/>
                </c:manualLayout>
              </c:layout>
              <c:tx>
                <c:rich>
                  <a:bodyPr/>
                  <a:lstStyle/>
                  <a:p>
                    <a:fld id="{C580F5FF-9DD3-4750-A0E8-2348C91EA809}" type="CELLRANGE">
                      <a:rPr lang="en-US"/>
                      <a:pPr/>
                      <a:t>[CELLRANGE]</a:t>
                    </a:fld>
                    <a:endParaRPr lang="nl-BE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5CDD-4E4F-8316-D1203E414510}"/>
                </c:ext>
              </c:extLst>
            </c:dLbl>
            <c:dLbl>
              <c:idx val="1"/>
              <c:layout>
                <c:manualLayout>
                  <c:x val="5.8333333333333334E-2"/>
                  <c:y val="-8.3333333333333329E-2"/>
                </c:manualLayout>
              </c:layout>
              <c:tx>
                <c:rich>
                  <a:bodyPr/>
                  <a:lstStyle/>
                  <a:p>
                    <a:fld id="{77A09C51-2587-4E28-AC9A-0C6740CA57B3}" type="CELLRANGE">
                      <a:rPr lang="en-US"/>
                      <a:pPr/>
                      <a:t>[CELLRANGE]</a:t>
                    </a:fld>
                    <a:endParaRPr lang="nl-BE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5CDD-4E4F-8316-D1203E414510}"/>
                </c:ext>
              </c:extLst>
            </c:dLbl>
            <c:dLbl>
              <c:idx val="2"/>
              <c:layout>
                <c:manualLayout>
                  <c:x val="5.8333333333333334E-2"/>
                  <c:y val="-8.7962962962962965E-2"/>
                </c:manualLayout>
              </c:layout>
              <c:tx>
                <c:rich>
                  <a:bodyPr/>
                  <a:lstStyle/>
                  <a:p>
                    <a:fld id="{7943A70D-E254-4598-9FFA-2FB488FA9D58}" type="CELLRANGE">
                      <a:rPr lang="en-US"/>
                      <a:pPr/>
                      <a:t>[CELLRANGE]</a:t>
                    </a:fld>
                    <a:endParaRPr lang="nl-BE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5CDD-4E4F-8316-D1203E414510}"/>
                </c:ext>
              </c:extLst>
            </c:dLbl>
            <c:spPr>
              <a:noFill/>
              <a:ln w="6350"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nl-BE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DataLabelsRange val="1"/>
                <c15:showLeaderLines val="0"/>
              </c:ext>
            </c:extLst>
          </c:dLbls>
          <c:cat>
            <c:strRef>
              <c:f>'Waardering summary'!$B$4:$B$6</c:f>
              <c:strCache>
                <c:ptCount val="3"/>
                <c:pt idx="0">
                  <c:v>TM</c:v>
                </c:pt>
                <c:pt idx="1">
                  <c:v>MM</c:v>
                </c:pt>
                <c:pt idx="2">
                  <c:v>DCF</c:v>
                </c:pt>
              </c:strCache>
            </c:strRef>
          </c:cat>
          <c:val>
            <c:numRef>
              <c:f>'Waardering summary'!$I$4:$I$6</c:f>
              <c:numCache>
                <c:formatCode>#,##0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'Waardering summary'!$K$4:$K$6</c15:f>
                <c15:dlblRangeCache>
                  <c:ptCount val="3"/>
                  <c:pt idx="0">
                    <c:v>0</c:v>
                  </c:pt>
                  <c:pt idx="1">
                    <c:v>0</c:v>
                  </c:pt>
                  <c:pt idx="2">
                    <c:v>#WAARDE!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1-5CDD-4E4F-8316-D1203E414510}"/>
            </c:ext>
          </c:extLst>
        </c:ser>
        <c:ser>
          <c:idx val="2"/>
          <c:order val="2"/>
          <c:tx>
            <c:strRef>
              <c:f>'Waardering summary'!$J$3</c:f>
              <c:strCache>
                <c:ptCount val="1"/>
                <c:pt idx="0">
                  <c:v>Max</c:v>
                </c:pt>
              </c:strCache>
            </c:strRef>
          </c:tx>
          <c:spPr>
            <a:solidFill>
              <a:srgbClr val="00AC8C"/>
            </a:solidFill>
            <a:ln>
              <a:solidFill>
                <a:schemeClr val="bg1"/>
              </a:solidFill>
            </a:ln>
            <a:effectLst/>
          </c:spPr>
          <c:invertIfNegative val="0"/>
          <c:dLbls>
            <c:dLbl>
              <c:idx val="0"/>
              <c:layout>
                <c:manualLayout>
                  <c:x val="0.1"/>
                  <c:y val="-1.6975112544026657E-16"/>
                </c:manualLayout>
              </c:layout>
              <c:tx>
                <c:rich>
                  <a:bodyPr/>
                  <a:lstStyle/>
                  <a:p>
                    <a:fld id="{4EAA5250-2550-4DD9-B1A3-03C7BE7CD7F3}" type="CELLRANGE">
                      <a:rPr lang="en-US"/>
                      <a:pPr/>
                      <a:t>[CELLRANGE]</a:t>
                    </a:fld>
                    <a:endParaRPr lang="nl-BE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6-5CDD-4E4F-8316-D1203E414510}"/>
                </c:ext>
              </c:extLst>
            </c:dLbl>
            <c:dLbl>
              <c:idx val="1"/>
              <c:layout>
                <c:manualLayout>
                  <c:x val="0.10277777777777777"/>
                  <c:y val="0"/>
                </c:manualLayout>
              </c:layout>
              <c:tx>
                <c:rich>
                  <a:bodyPr/>
                  <a:lstStyle/>
                  <a:p>
                    <a:fld id="{AC9868DE-C0DE-438A-8247-8BC89A33CB68}" type="CELLRANGE">
                      <a:rPr lang="en-US"/>
                      <a:pPr/>
                      <a:t>[CELLRANGE]</a:t>
                    </a:fld>
                    <a:endParaRPr lang="nl-BE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8-5CDD-4E4F-8316-D1203E414510}"/>
                </c:ext>
              </c:extLst>
            </c:dLbl>
            <c:dLbl>
              <c:idx val="2"/>
              <c:layout>
                <c:manualLayout>
                  <c:x val="9.9999999999999797E-2"/>
                  <c:y val="-4.2437781360066642E-17"/>
                </c:manualLayout>
              </c:layout>
              <c:tx>
                <c:rich>
                  <a:bodyPr/>
                  <a:lstStyle/>
                  <a:p>
                    <a:fld id="{62402F2B-F5C8-4925-B742-C04273579281}" type="CELLRANGE">
                      <a:rPr lang="en-US"/>
                      <a:pPr/>
                      <a:t>[CELLRANGE]</a:t>
                    </a:fld>
                    <a:endParaRPr lang="nl-BE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B-5CDD-4E4F-8316-D1203E41451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nl-BE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DataLabelsRange val="1"/>
                <c15:showLeaderLines val="0"/>
              </c:ext>
            </c:extLst>
          </c:dLbls>
          <c:cat>
            <c:strRef>
              <c:f>'Waardering summary'!$B$4:$B$6</c:f>
              <c:strCache>
                <c:ptCount val="3"/>
                <c:pt idx="0">
                  <c:v>TM</c:v>
                </c:pt>
                <c:pt idx="1">
                  <c:v>MM</c:v>
                </c:pt>
                <c:pt idx="2">
                  <c:v>DCF</c:v>
                </c:pt>
              </c:strCache>
            </c:strRef>
          </c:cat>
          <c:val>
            <c:numRef>
              <c:f>'Waardering summary'!$J$4:$J$6</c:f>
              <c:numCache>
                <c:formatCode>#,##0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'Waardering summary'!$L$4:$L$6</c15:f>
                <c15:dlblRangeCache>
                  <c:ptCount val="3"/>
                  <c:pt idx="0">
                    <c:v>0</c:v>
                  </c:pt>
                  <c:pt idx="1">
                    <c:v>0</c:v>
                  </c:pt>
                  <c:pt idx="2">
                    <c:v>#WAARDE!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2-5CDD-4E4F-8316-D1203E4145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4603280"/>
        <c:axId val="94600880"/>
      </c:barChart>
      <c:catAx>
        <c:axId val="9460328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94600880"/>
        <c:crosses val="autoZero"/>
        <c:auto val="1"/>
        <c:lblAlgn val="ctr"/>
        <c:lblOffset val="100"/>
        <c:noMultiLvlLbl val="0"/>
      </c:catAx>
      <c:valAx>
        <c:axId val="94600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946032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nl-BE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BE"/>
              <a:t>Waarderingsranges</a:t>
            </a:r>
            <a:r>
              <a:rPr lang="nl-BE" baseline="0"/>
              <a:t> - Equity Value</a:t>
            </a:r>
            <a:endParaRPr lang="nl-B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BE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'Waardering summary'!$T$3</c:f>
              <c:strCache>
                <c:ptCount val="1"/>
                <c:pt idx="0">
                  <c:v>Min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7.4999999999999956E-2"/>
                  <c:y val="-1.6975112544026657E-16"/>
                </c:manualLayout>
              </c:layout>
              <c:tx>
                <c:rich>
                  <a:bodyPr/>
                  <a:lstStyle/>
                  <a:p>
                    <a:fld id="{7860CCE6-1A24-4688-9913-8DB2AC02EEDB}" type="CELLRANGE">
                      <a:rPr lang="en-US"/>
                      <a:pPr/>
                      <a:t>[CELLRANGE]</a:t>
                    </a:fld>
                    <a:endParaRPr lang="nl-BE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CF29-4280-B773-4D112116F816}"/>
                </c:ext>
              </c:extLst>
            </c:dLbl>
            <c:dLbl>
              <c:idx val="1"/>
              <c:layout>
                <c:manualLayout>
                  <c:x val="2.5000000000000001E-2"/>
                  <c:y val="0"/>
                </c:manualLayout>
              </c:layout>
              <c:tx>
                <c:rich>
                  <a:bodyPr/>
                  <a:lstStyle/>
                  <a:p>
                    <a:fld id="{87F2D533-1E3A-414B-B8D3-E8A288FA549C}" type="CELLRANGE">
                      <a:rPr lang="en-US"/>
                      <a:pPr/>
                      <a:t>[CELLRANGE]</a:t>
                    </a:fld>
                    <a:endParaRPr lang="nl-BE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CF29-4280-B773-4D112116F816}"/>
                </c:ext>
              </c:extLst>
            </c:dLbl>
            <c:dLbl>
              <c:idx val="2"/>
              <c:layout>
                <c:manualLayout>
                  <c:x val="0.19444444444444445"/>
                  <c:y val="-4.2437781360066642E-17"/>
                </c:manualLayout>
              </c:layout>
              <c:tx>
                <c:rich>
                  <a:bodyPr/>
                  <a:lstStyle/>
                  <a:p>
                    <a:fld id="{1937975D-4099-4C2F-BA50-AEEAF7DE154A}" type="CELLRANGE">
                      <a:rPr lang="en-US"/>
                      <a:pPr/>
                      <a:t>[CELLRANGE]</a:t>
                    </a:fld>
                    <a:endParaRPr lang="nl-BE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CF29-4280-B773-4D112116F81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nl-BE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DataLabelsRange val="1"/>
                <c15:showLeaderLines val="0"/>
              </c:ext>
            </c:extLst>
          </c:dLbls>
          <c:cat>
            <c:strRef>
              <c:f>'Waardering summary'!$B$4:$B$6</c:f>
              <c:strCache>
                <c:ptCount val="3"/>
                <c:pt idx="0">
                  <c:v>TM</c:v>
                </c:pt>
                <c:pt idx="1">
                  <c:v>MM</c:v>
                </c:pt>
                <c:pt idx="2">
                  <c:v>DCF</c:v>
                </c:pt>
              </c:strCache>
            </c:strRef>
          </c:cat>
          <c:val>
            <c:numRef>
              <c:f>'Waardering summary'!$T$4:$T$6</c:f>
              <c:numCache>
                <c:formatCode>#,##0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'Waardering summary'!$H$4:$H$6</c15:f>
                <c15:dlblRangeCache>
                  <c:ptCount val="3"/>
                  <c:pt idx="0">
                    <c:v>0</c:v>
                  </c:pt>
                  <c:pt idx="1">
                    <c:v>0</c:v>
                  </c:pt>
                  <c:pt idx="2">
                    <c:v>#WAARDE!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3-CF29-4280-B773-4D112116F816}"/>
            </c:ext>
          </c:extLst>
        </c:ser>
        <c:ser>
          <c:idx val="1"/>
          <c:order val="1"/>
          <c:tx>
            <c:strRef>
              <c:f>'Waardering summary'!$U$3</c:f>
              <c:strCache>
                <c:ptCount val="1"/>
                <c:pt idx="0">
                  <c:v>Mid</c:v>
                </c:pt>
              </c:strCache>
            </c:strRef>
          </c:tx>
          <c:spPr>
            <a:solidFill>
              <a:srgbClr val="00AC8C"/>
            </a:solidFill>
            <a:ln>
              <a:solidFill>
                <a:schemeClr val="bg1"/>
              </a:solidFill>
            </a:ln>
            <a:effectLst/>
          </c:spPr>
          <c:invertIfNegative val="0"/>
          <c:dLbls>
            <c:dLbl>
              <c:idx val="0"/>
              <c:layout>
                <c:manualLayout>
                  <c:x val="5.8333333333333334E-2"/>
                  <c:y val="-8.3333333333333412E-2"/>
                </c:manualLayout>
              </c:layout>
              <c:tx>
                <c:rich>
                  <a:bodyPr/>
                  <a:lstStyle/>
                  <a:p>
                    <a:fld id="{A3332A44-E5A0-4A4D-97E4-DCEDF9D11222}" type="CELLRANGE">
                      <a:rPr lang="en-US"/>
                      <a:pPr/>
                      <a:t>[CELLRANGE]</a:t>
                    </a:fld>
                    <a:endParaRPr lang="nl-BE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CF29-4280-B773-4D112116F816}"/>
                </c:ext>
              </c:extLst>
            </c:dLbl>
            <c:dLbl>
              <c:idx val="1"/>
              <c:layout>
                <c:manualLayout>
                  <c:x val="5.2777777777777778E-2"/>
                  <c:y val="-9.2592592592592671E-2"/>
                </c:manualLayout>
              </c:layout>
              <c:tx>
                <c:rich>
                  <a:bodyPr/>
                  <a:lstStyle/>
                  <a:p>
                    <a:fld id="{021FE395-7E0F-4217-ADF3-2F81244DF296}" type="CELLRANGE">
                      <a:rPr lang="en-US"/>
                      <a:pPr/>
                      <a:t>[CELLRANGE]</a:t>
                    </a:fld>
                    <a:endParaRPr lang="nl-BE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CF29-4280-B773-4D112116F816}"/>
                </c:ext>
              </c:extLst>
            </c:dLbl>
            <c:dLbl>
              <c:idx val="2"/>
              <c:layout>
                <c:manualLayout>
                  <c:x val="5.833333333333323E-2"/>
                  <c:y val="-8.3333333333333356E-2"/>
                </c:manualLayout>
              </c:layout>
              <c:tx>
                <c:rich>
                  <a:bodyPr/>
                  <a:lstStyle/>
                  <a:p>
                    <a:fld id="{89FD79E7-0D8D-4C0B-8ECE-8ED0D1DD0E93}" type="CELLRANGE">
                      <a:rPr lang="en-US"/>
                      <a:pPr/>
                      <a:t>[CELLRANGE]</a:t>
                    </a:fld>
                    <a:endParaRPr lang="nl-BE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6-CF29-4280-B773-4D112116F81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nl-BE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DataLabelsRange val="1"/>
                <c15:showLeaderLines val="0"/>
              </c:ext>
            </c:extLst>
          </c:dLbls>
          <c:cat>
            <c:strRef>
              <c:f>'Waardering summary'!$B$4:$B$6</c:f>
              <c:strCache>
                <c:ptCount val="3"/>
                <c:pt idx="0">
                  <c:v>TM</c:v>
                </c:pt>
                <c:pt idx="1">
                  <c:v>MM</c:v>
                </c:pt>
                <c:pt idx="2">
                  <c:v>DCF</c:v>
                </c:pt>
              </c:strCache>
            </c:strRef>
          </c:cat>
          <c:val>
            <c:numRef>
              <c:f>'Waardering summary'!$U$4:$U$6</c:f>
              <c:numCache>
                <c:formatCode>#,##0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'Waardering summary'!$W$4:$W$6</c15:f>
                <c15:dlblRangeCache>
                  <c:ptCount val="3"/>
                  <c:pt idx="0">
                    <c:v>0</c:v>
                  </c:pt>
                  <c:pt idx="1">
                    <c:v>0</c:v>
                  </c:pt>
                  <c:pt idx="2">
                    <c:v>#WAARDE!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7-CF29-4280-B773-4D112116F816}"/>
            </c:ext>
          </c:extLst>
        </c:ser>
        <c:ser>
          <c:idx val="2"/>
          <c:order val="2"/>
          <c:tx>
            <c:strRef>
              <c:f>'Waardering summary'!$V$3</c:f>
              <c:strCache>
                <c:ptCount val="1"/>
                <c:pt idx="0">
                  <c:v>Max</c:v>
                </c:pt>
              </c:strCache>
            </c:strRef>
          </c:tx>
          <c:spPr>
            <a:solidFill>
              <a:srgbClr val="00AC8C"/>
            </a:solidFill>
            <a:ln>
              <a:solidFill>
                <a:schemeClr val="bg1"/>
              </a:solidFill>
            </a:ln>
            <a:effectLst/>
          </c:spPr>
          <c:invertIfNegative val="0"/>
          <c:dLbls>
            <c:dLbl>
              <c:idx val="0"/>
              <c:layout>
                <c:manualLayout>
                  <c:x val="0.10277777777777777"/>
                  <c:y val="-1.6975112544026657E-16"/>
                </c:manualLayout>
              </c:layout>
              <c:tx>
                <c:rich>
                  <a:bodyPr/>
                  <a:lstStyle/>
                  <a:p>
                    <a:fld id="{AA83F3F6-CADE-411C-A5EC-2A7A2ABA978B}" type="CELLRANGE">
                      <a:rPr lang="en-US"/>
                      <a:pPr/>
                      <a:t>[CELLRANGE]</a:t>
                    </a:fld>
                    <a:endParaRPr lang="nl-BE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8-CF29-4280-B773-4D112116F816}"/>
                </c:ext>
              </c:extLst>
            </c:dLbl>
            <c:dLbl>
              <c:idx val="1"/>
              <c:layout>
                <c:manualLayout>
                  <c:x val="0.10555555555555556"/>
                  <c:y val="-4.6296296296296294E-3"/>
                </c:manualLayout>
              </c:layout>
              <c:tx>
                <c:rich>
                  <a:bodyPr/>
                  <a:lstStyle/>
                  <a:p>
                    <a:fld id="{153E1878-C781-4562-8434-3623BAEC2AD9}" type="CELLRANGE">
                      <a:rPr lang="en-US"/>
                      <a:pPr/>
                      <a:t>[CELLRANGE]</a:t>
                    </a:fld>
                    <a:endParaRPr lang="nl-BE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9-CF29-4280-B773-4D112116F816}"/>
                </c:ext>
              </c:extLst>
            </c:dLbl>
            <c:dLbl>
              <c:idx val="2"/>
              <c:layout>
                <c:manualLayout>
                  <c:x val="0.10555555555555535"/>
                  <c:y val="-4.2437781360066642E-17"/>
                </c:manualLayout>
              </c:layout>
              <c:tx>
                <c:rich>
                  <a:bodyPr/>
                  <a:lstStyle/>
                  <a:p>
                    <a:fld id="{34F468FF-3F72-4069-B9A8-3F6036ACAE83}" type="CELLRANGE">
                      <a:rPr lang="en-US"/>
                      <a:pPr/>
                      <a:t>[CELLRANGE]</a:t>
                    </a:fld>
                    <a:endParaRPr lang="nl-BE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A-CF29-4280-B773-4D112116F81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nl-BE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DataLabelsRange val="1"/>
                <c15:showLeaderLines val="0"/>
              </c:ext>
            </c:extLst>
          </c:dLbls>
          <c:cat>
            <c:strRef>
              <c:f>'Waardering summary'!$B$4:$B$6</c:f>
              <c:strCache>
                <c:ptCount val="3"/>
                <c:pt idx="0">
                  <c:v>TM</c:v>
                </c:pt>
                <c:pt idx="1">
                  <c:v>MM</c:v>
                </c:pt>
                <c:pt idx="2">
                  <c:v>DCF</c:v>
                </c:pt>
              </c:strCache>
            </c:strRef>
          </c:cat>
          <c:val>
            <c:numRef>
              <c:f>'Waardering summary'!$V$4:$V$6</c:f>
              <c:numCache>
                <c:formatCode>#,##0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'Waardering summary'!$L$4:$L$6</c15:f>
                <c15:dlblRangeCache>
                  <c:ptCount val="3"/>
                  <c:pt idx="0">
                    <c:v>0</c:v>
                  </c:pt>
                  <c:pt idx="1">
                    <c:v>0</c:v>
                  </c:pt>
                  <c:pt idx="2">
                    <c:v>#WAARDE!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B-CF29-4280-B773-4D112116F8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4603280"/>
        <c:axId val="94600880"/>
      </c:barChart>
      <c:catAx>
        <c:axId val="9460328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94600880"/>
        <c:crosses val="autoZero"/>
        <c:auto val="1"/>
        <c:lblAlgn val="ctr"/>
        <c:lblOffset val="100"/>
        <c:noMultiLvlLbl val="0"/>
      </c:catAx>
      <c:valAx>
        <c:axId val="94600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946032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nl-BE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BE"/>
              <a:t>Waarderingsranges</a:t>
            </a:r>
            <a:r>
              <a:rPr lang="nl-BE" baseline="0"/>
              <a:t> - Implied multiples</a:t>
            </a:r>
            <a:endParaRPr lang="nl-B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BE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'Waardering summary'!$H$9</c:f>
              <c:strCache>
                <c:ptCount val="1"/>
                <c:pt idx="0">
                  <c:v>Min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noFill/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0-BC59-4890-BAD3-BDFEB4FA125A}"/>
              </c:ext>
            </c:extLst>
          </c:dPt>
          <c:dPt>
            <c:idx val="1"/>
            <c:invertIfNegative val="0"/>
            <c:bubble3D val="0"/>
            <c:spPr>
              <a:noFill/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BC59-4890-BAD3-BDFEB4FA125A}"/>
              </c:ext>
            </c:extLst>
          </c:dPt>
          <c:dPt>
            <c:idx val="2"/>
            <c:invertIfNegative val="0"/>
            <c:bubble3D val="0"/>
            <c:spPr>
              <a:noFill/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BC59-4890-BAD3-BDFEB4FA125A}"/>
              </c:ext>
            </c:extLst>
          </c:dPt>
          <c:dLbls>
            <c:dLbl>
              <c:idx val="0"/>
              <c:layout>
                <c:manualLayout>
                  <c:x val="8.0555555555555561E-2"/>
                  <c:y val="-1.6975112544026657E-16"/>
                </c:manualLayout>
              </c:layout>
              <c:tx>
                <c:rich>
                  <a:bodyPr/>
                  <a:lstStyle/>
                  <a:p>
                    <a:fld id="{48F230B9-0E15-444B-B9B3-CFD2E24A1310}" type="CELLRANGE">
                      <a:rPr lang="en-US"/>
                      <a:pPr/>
                      <a:t>[CELLRANGE]</a:t>
                    </a:fld>
                    <a:endParaRPr lang="nl-BE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BC59-4890-BAD3-BDFEB4FA125A}"/>
                </c:ext>
              </c:extLst>
            </c:dLbl>
            <c:dLbl>
              <c:idx val="1"/>
              <c:layout>
                <c:manualLayout>
                  <c:x val="1.6666666666666666E-2"/>
                  <c:y val="-4.6296296296296294E-3"/>
                </c:manualLayout>
              </c:layout>
              <c:tx>
                <c:rich>
                  <a:bodyPr/>
                  <a:lstStyle/>
                  <a:p>
                    <a:fld id="{6912465B-34DF-4605-A489-F2289A862E5C}" type="CELLRANGE">
                      <a:rPr lang="en-US"/>
                      <a:pPr/>
                      <a:t>[CELLRANGE]</a:t>
                    </a:fld>
                    <a:endParaRPr lang="nl-BE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BC59-4890-BAD3-BDFEB4FA125A}"/>
                </c:ext>
              </c:extLst>
            </c:dLbl>
            <c:dLbl>
              <c:idx val="2"/>
              <c:layout>
                <c:manualLayout>
                  <c:x val="0.20000000000000009"/>
                  <c:y val="-4.2437781360066642E-17"/>
                </c:manualLayout>
              </c:layout>
              <c:tx>
                <c:rich>
                  <a:bodyPr/>
                  <a:lstStyle/>
                  <a:p>
                    <a:fld id="{1F83C7BB-B9CD-439D-8BDC-EC9A28F693AD}" type="CELLRANGE">
                      <a:rPr lang="en-US"/>
                      <a:pPr/>
                      <a:t>[CELLRANGE]</a:t>
                    </a:fld>
                    <a:endParaRPr lang="nl-BE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BC59-4890-BAD3-BDFEB4FA125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nl-BE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DataLabelsRange val="1"/>
                <c15:showLeaderLines val="0"/>
              </c:ext>
            </c:extLst>
          </c:dLbls>
          <c:cat>
            <c:strRef>
              <c:f>'Waardering summary'!$B$10:$B$12</c:f>
              <c:strCache>
                <c:ptCount val="3"/>
                <c:pt idx="0">
                  <c:v>TM</c:v>
                </c:pt>
                <c:pt idx="1">
                  <c:v>MM</c:v>
                </c:pt>
                <c:pt idx="2">
                  <c:v>DCF</c:v>
                </c:pt>
              </c:strCache>
            </c:strRef>
          </c:cat>
          <c:val>
            <c:numRef>
              <c:f>'Waardering summary'!$H$10:$H$12</c:f>
              <c:numCache>
                <c:formatCode>0.0\x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'Waardering summary'!$H$10:$H$12</c15:f>
                <c15:dlblRangeCache>
                  <c:ptCount val="3"/>
                  <c:pt idx="0">
                    <c:v>n/a</c:v>
                  </c:pt>
                  <c:pt idx="1">
                    <c:v>n/a</c:v>
                  </c:pt>
                  <c:pt idx="2">
                    <c:v>n/a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3-BC59-4890-BAD3-BDFEB4FA125A}"/>
            </c:ext>
          </c:extLst>
        </c:ser>
        <c:ser>
          <c:idx val="1"/>
          <c:order val="1"/>
          <c:tx>
            <c:strRef>
              <c:f>'Waardering summary'!$I$9</c:f>
              <c:strCache>
                <c:ptCount val="1"/>
                <c:pt idx="0">
                  <c:v>Mid</c:v>
                </c:pt>
              </c:strCache>
            </c:strRef>
          </c:tx>
          <c:spPr>
            <a:solidFill>
              <a:srgbClr val="00AC8C"/>
            </a:solidFill>
            <a:ln>
              <a:solidFill>
                <a:schemeClr val="bg1"/>
              </a:solidFill>
            </a:ln>
            <a:effectLst/>
          </c:spPr>
          <c:invertIfNegative val="0"/>
          <c:dLbls>
            <c:dLbl>
              <c:idx val="0"/>
              <c:layout>
                <c:manualLayout>
                  <c:x val="5.5555555555555552E-2"/>
                  <c:y val="-8.7962962962963048E-2"/>
                </c:manualLayout>
              </c:layout>
              <c:tx>
                <c:rich>
                  <a:bodyPr/>
                  <a:lstStyle/>
                  <a:p>
                    <a:fld id="{5DF5B794-7538-4746-A791-4C882DA41D63}" type="CELLRANGE">
                      <a:rPr lang="en-US"/>
                      <a:pPr/>
                      <a:t>[CELLRANGE]</a:t>
                    </a:fld>
                    <a:endParaRPr lang="nl-BE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BC59-4890-BAD3-BDFEB4FA125A}"/>
                </c:ext>
              </c:extLst>
            </c:dLbl>
            <c:dLbl>
              <c:idx val="1"/>
              <c:layout>
                <c:manualLayout>
                  <c:x val="5.8333333333333334E-2"/>
                  <c:y val="-8.7962962962962965E-2"/>
                </c:manualLayout>
              </c:layout>
              <c:tx>
                <c:rich>
                  <a:bodyPr/>
                  <a:lstStyle/>
                  <a:p>
                    <a:fld id="{4E8D9EE9-7974-4AA7-A169-B5DC168846A9}" type="CELLRANGE">
                      <a:rPr lang="en-US"/>
                      <a:pPr/>
                      <a:t>[CELLRANGE]</a:t>
                    </a:fld>
                    <a:endParaRPr lang="nl-BE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BC59-4890-BAD3-BDFEB4FA125A}"/>
                </c:ext>
              </c:extLst>
            </c:dLbl>
            <c:dLbl>
              <c:idx val="2"/>
              <c:layout>
                <c:manualLayout>
                  <c:x val="6.1111111111111012E-2"/>
                  <c:y val="-8.3333333333333356E-2"/>
                </c:manualLayout>
              </c:layout>
              <c:tx>
                <c:rich>
                  <a:bodyPr/>
                  <a:lstStyle/>
                  <a:p>
                    <a:fld id="{70973E94-1A74-4C9D-B541-B0366F29C6ED}" type="CELLRANGE">
                      <a:rPr lang="en-US"/>
                      <a:pPr/>
                      <a:t>[CELLRANGE]</a:t>
                    </a:fld>
                    <a:endParaRPr lang="nl-BE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6-BC59-4890-BAD3-BDFEB4FA125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nl-BE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DataLabelsRange val="1"/>
                <c15:showLeaderLines val="0"/>
              </c:ext>
            </c:extLst>
          </c:dLbls>
          <c:cat>
            <c:strRef>
              <c:f>'Waardering summary'!$B$10:$B$12</c:f>
              <c:strCache>
                <c:ptCount val="3"/>
                <c:pt idx="0">
                  <c:v>TM</c:v>
                </c:pt>
                <c:pt idx="1">
                  <c:v>MM</c:v>
                </c:pt>
                <c:pt idx="2">
                  <c:v>DCF</c:v>
                </c:pt>
              </c:strCache>
            </c:strRef>
          </c:cat>
          <c:val>
            <c:numRef>
              <c:f>'Waardering summary'!$I$10:$I$12</c:f>
              <c:numCache>
                <c:formatCode>0.0\x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'Waardering summary'!$K$10:$K$12</c15:f>
                <c15:dlblRangeCache>
                  <c:ptCount val="3"/>
                  <c:pt idx="0">
                    <c:v>n/a</c:v>
                  </c:pt>
                  <c:pt idx="1">
                    <c:v>n/a</c:v>
                  </c:pt>
                  <c:pt idx="2">
                    <c:v>n/a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7-BC59-4890-BAD3-BDFEB4FA125A}"/>
            </c:ext>
          </c:extLst>
        </c:ser>
        <c:ser>
          <c:idx val="2"/>
          <c:order val="2"/>
          <c:tx>
            <c:strRef>
              <c:f>'Waardering summary'!$J$9</c:f>
              <c:strCache>
                <c:ptCount val="1"/>
                <c:pt idx="0">
                  <c:v>Max</c:v>
                </c:pt>
              </c:strCache>
            </c:strRef>
          </c:tx>
          <c:spPr>
            <a:solidFill>
              <a:srgbClr val="00AC8C"/>
            </a:solidFill>
            <a:ln>
              <a:solidFill>
                <a:schemeClr val="bg1"/>
              </a:solidFill>
            </a:ln>
            <a:effectLst/>
          </c:spPr>
          <c:invertIfNegative val="0"/>
          <c:dLbls>
            <c:dLbl>
              <c:idx val="0"/>
              <c:layout>
                <c:manualLayout>
                  <c:x val="9.4444444444444442E-2"/>
                  <c:y val="4.6296296296296294E-3"/>
                </c:manualLayout>
              </c:layout>
              <c:tx>
                <c:rich>
                  <a:bodyPr/>
                  <a:lstStyle/>
                  <a:p>
                    <a:fld id="{437A4120-9620-4F9A-BF49-A2DF8A2A132B}" type="CELLRANGE">
                      <a:rPr lang="en-US"/>
                      <a:pPr/>
                      <a:t>[CELLRANGE]</a:t>
                    </a:fld>
                    <a:endParaRPr lang="nl-BE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8-BC59-4890-BAD3-BDFEB4FA125A}"/>
                </c:ext>
              </c:extLst>
            </c:dLbl>
            <c:dLbl>
              <c:idx val="1"/>
              <c:layout>
                <c:manualLayout>
                  <c:x val="9.1666666666666619E-2"/>
                  <c:y val="0"/>
                </c:manualLayout>
              </c:layout>
              <c:tx>
                <c:rich>
                  <a:bodyPr/>
                  <a:lstStyle/>
                  <a:p>
                    <a:fld id="{CA79B5D3-31FF-41E1-B6D2-F621AA123B3C}" type="CELLRANGE">
                      <a:rPr lang="en-US"/>
                      <a:pPr/>
                      <a:t>[CELLRANGE]</a:t>
                    </a:fld>
                    <a:endParaRPr lang="nl-BE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9-BC59-4890-BAD3-BDFEB4FA125A}"/>
                </c:ext>
              </c:extLst>
            </c:dLbl>
            <c:dLbl>
              <c:idx val="2"/>
              <c:layout>
                <c:manualLayout>
                  <c:x val="9.9999999999999895E-2"/>
                  <c:y val="-4.2437781360066642E-17"/>
                </c:manualLayout>
              </c:layout>
              <c:tx>
                <c:rich>
                  <a:bodyPr/>
                  <a:lstStyle/>
                  <a:p>
                    <a:fld id="{61AA184B-A5D1-4D41-9A55-80405BFD25FA}" type="CELLRANGE">
                      <a:rPr lang="en-US"/>
                      <a:pPr/>
                      <a:t>[CELLRANGE]</a:t>
                    </a:fld>
                    <a:endParaRPr lang="nl-BE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A-BC59-4890-BAD3-BDFEB4FA125A}"/>
                </c:ext>
              </c:extLst>
            </c:dLbl>
            <c:spPr>
              <a:noFill/>
              <a:ln w="6350"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nl-BE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DataLabelsRange val="1"/>
                <c15:showLeaderLines val="0"/>
              </c:ext>
            </c:extLst>
          </c:dLbls>
          <c:cat>
            <c:strRef>
              <c:f>'Waardering summary'!$B$10:$B$12</c:f>
              <c:strCache>
                <c:ptCount val="3"/>
                <c:pt idx="0">
                  <c:v>TM</c:v>
                </c:pt>
                <c:pt idx="1">
                  <c:v>MM</c:v>
                </c:pt>
                <c:pt idx="2">
                  <c:v>DCF</c:v>
                </c:pt>
              </c:strCache>
            </c:strRef>
          </c:cat>
          <c:val>
            <c:numRef>
              <c:f>'Waardering summary'!$J$10:$J$12</c:f>
              <c:numCache>
                <c:formatCode>0.0\x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'Waardering summary'!$L$10:$L$12</c15:f>
                <c15:dlblRangeCache>
                  <c:ptCount val="3"/>
                  <c:pt idx="0">
                    <c:v>n/a</c:v>
                  </c:pt>
                  <c:pt idx="1">
                    <c:v>n/a</c:v>
                  </c:pt>
                  <c:pt idx="2">
                    <c:v>n/a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B-BC59-4890-BAD3-BDFEB4FA12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4603280"/>
        <c:axId val="94600880"/>
      </c:barChart>
      <c:catAx>
        <c:axId val="9460328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94600880"/>
        <c:crosses val="autoZero"/>
        <c:auto val="1"/>
        <c:lblAlgn val="ctr"/>
        <c:lblOffset val="100"/>
        <c:noMultiLvlLbl val="0"/>
      </c:catAx>
      <c:valAx>
        <c:axId val="94600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numFmt formatCode="0.0\x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946032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nl-B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12</xdr:row>
      <xdr:rowOff>142875</xdr:rowOff>
    </xdr:from>
    <xdr:to>
      <xdr:col>11</xdr:col>
      <xdr:colOff>114299</xdr:colOff>
      <xdr:row>35</xdr:row>
      <xdr:rowOff>76200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D12667E4-DACD-4BFA-8025-C202D011C73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566736</xdr:colOff>
      <xdr:row>31</xdr:row>
      <xdr:rowOff>90487</xdr:rowOff>
    </xdr:from>
    <xdr:to>
      <xdr:col>13</xdr:col>
      <xdr:colOff>238124</xdr:colOff>
      <xdr:row>45</xdr:row>
      <xdr:rowOff>19050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80F50CD9-D8D1-9C63-6D31-4292B67F65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529050</xdr:colOff>
      <xdr:row>13</xdr:row>
      <xdr:rowOff>105189</xdr:rowOff>
    </xdr:from>
    <xdr:to>
      <xdr:col>17</xdr:col>
      <xdr:colOff>567358</xdr:colOff>
      <xdr:row>32</xdr:row>
      <xdr:rowOff>100829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E820D6AA-658B-40D0-A8A0-B8D3ED7C4A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290512</xdr:colOff>
      <xdr:row>2</xdr:row>
      <xdr:rowOff>19050</xdr:rowOff>
    </xdr:from>
    <xdr:to>
      <xdr:col>22</xdr:col>
      <xdr:colOff>61912</xdr:colOff>
      <xdr:row>20</xdr:row>
      <xdr:rowOff>0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C60F494E-80AE-4F4B-A66D-3C3A81FB2BA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285750</xdr:colOff>
      <xdr:row>22</xdr:row>
      <xdr:rowOff>161925</xdr:rowOff>
    </xdr:from>
    <xdr:to>
      <xdr:col>22</xdr:col>
      <xdr:colOff>57150</xdr:colOff>
      <xdr:row>41</xdr:row>
      <xdr:rowOff>142875</xdr:rowOff>
    </xdr:to>
    <xdr:graphicFrame macro="">
      <xdr:nvGraphicFramePr>
        <xdr:cNvPr id="3" name="Grafiek 2">
          <a:extLst>
            <a:ext uri="{FF2B5EF4-FFF2-40B4-BE49-F238E27FC236}">
              <a16:creationId xmlns:a16="http://schemas.microsoft.com/office/drawing/2014/main" id="{AD626D6A-78CC-40F1-9200-27FFF6A48C4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133350</xdr:colOff>
      <xdr:row>15</xdr:row>
      <xdr:rowOff>80962</xdr:rowOff>
    </xdr:from>
    <xdr:to>
      <xdr:col>7</xdr:col>
      <xdr:colOff>485775</xdr:colOff>
      <xdr:row>30</xdr:row>
      <xdr:rowOff>109537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EA71B3BD-2B22-8149-9544-E2CBB7E03B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381000</xdr:colOff>
      <xdr:row>15</xdr:row>
      <xdr:rowOff>66675</xdr:rowOff>
    </xdr:from>
    <xdr:to>
      <xdr:col>15</xdr:col>
      <xdr:colOff>581025</xdr:colOff>
      <xdr:row>30</xdr:row>
      <xdr:rowOff>95250</xdr:rowOff>
    </xdr:to>
    <xdr:graphicFrame macro="">
      <xdr:nvGraphicFramePr>
        <xdr:cNvPr id="3" name="Grafiek 2">
          <a:extLst>
            <a:ext uri="{FF2B5EF4-FFF2-40B4-BE49-F238E27FC236}">
              <a16:creationId xmlns:a16="http://schemas.microsoft.com/office/drawing/2014/main" id="{3BD430F7-3D10-4FCC-AA9E-BDE1FF52101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552450</xdr:colOff>
      <xdr:row>15</xdr:row>
      <xdr:rowOff>57150</xdr:rowOff>
    </xdr:from>
    <xdr:to>
      <xdr:col>24</xdr:col>
      <xdr:colOff>276225</xdr:colOff>
      <xdr:row>30</xdr:row>
      <xdr:rowOff>85725</xdr:rowOff>
    </xdr:to>
    <xdr:graphicFrame macro="">
      <xdr:nvGraphicFramePr>
        <xdr:cNvPr id="4" name="Grafiek 3">
          <a:extLst>
            <a:ext uri="{FF2B5EF4-FFF2-40B4-BE49-F238E27FC236}">
              <a16:creationId xmlns:a16="http://schemas.microsoft.com/office/drawing/2014/main" id="{B7873AF7-99CC-474A-A636-A144C20FF4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U:\Documenten\corda%20incubator\RvB%20LRM%20okt%2014\20141016%20Corda%20Incubator%20kapverhoging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Users/mr/AppData/Local/Microsoft/Windows/INetCache/Content.Outlook/1PSRT23M/PL-CF%2020160906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trlrm.sharepoint.com/Platformen/BackOffice/Modellen/Budget%202016%20Sept%20Mid%20Term%20modified%20mg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Users/Ives/Downloads/NIEUWE%20CASHFLOW%20%2020160601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Developing%20Store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trlrm.sharepoint.com/Corda%20Incubator/Financile%20opvolging/20150815%20Q2%202015%20Corda%20Inc%20kwartaalrapportering%20bi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lad1"/>
      <sheetName val="(input) Basisgegevens"/>
      <sheetName val="investeringsbehoefte"/>
      <sheetName val="Investeringsanal projectbasis"/>
      <sheetName val="Balans overzicht"/>
      <sheetName val="Resultaten overzicht"/>
      <sheetName val="CF"/>
      <sheetName val="(input) Verhuur m²"/>
      <sheetName val="(input) Verhuur €"/>
      <sheetName val="bezetting voorkeurscenario "/>
      <sheetName val="bezetting kleine verhuis"/>
      <sheetName val="bezetting blijven scenario "/>
      <sheetName val="opp"/>
      <sheetName val="uitrusting DC"/>
      <sheetName val="(input) Algemene Kosten"/>
      <sheetName val="werkingssubsidies"/>
      <sheetName val="Balansoverzicht MVA"/>
      <sheetName val="(input) Investeringen MVA"/>
      <sheetName val="(input) Afschrijvingen MVA"/>
      <sheetName val="(input) Subsidietabel MVA"/>
      <sheetName val="(input) Financieringen"/>
      <sheetName val="(input) Recht van Opstal"/>
      <sheetName val="Balansoverzicht gronden"/>
      <sheetName val="Kostenposten input grondaankoop"/>
      <sheetName val="(input) Grondaankopen € (1)"/>
      <sheetName val="(input) Grondaankopen m² (1)"/>
      <sheetName val="(input) Verkopen € (1)"/>
      <sheetName val="(input) Grondaankopen € (2)"/>
      <sheetName val="(input) Grondaankopen m² (2)"/>
      <sheetName val="(input) Verkopen € (2)"/>
      <sheetName val="(input) Grondaankopen € (3)"/>
      <sheetName val="(input) Grondaankopen m² (3)"/>
      <sheetName val="(input) Verkopen € (3)"/>
      <sheetName val="(input) Grondaankopen € (4)"/>
      <sheetName val="(input) Grondaankopen m² (4)"/>
      <sheetName val="(input) Verkopen € (4)"/>
      <sheetName val="(input) Grondaankopen € (5)"/>
      <sheetName val="(input) Grondaankopen m² (5)"/>
      <sheetName val="(input) Verkopen € (5)"/>
      <sheetName val="(input) Grondaankopen € (6)"/>
      <sheetName val="(input) Grondaankopen m² (6)"/>
      <sheetName val="(input) Verkopen € (6)"/>
      <sheetName val="(input) Grondaankopen € (7)"/>
      <sheetName val="(input) Grondaankopen m² (7)"/>
      <sheetName val="(input) Verkopen € (7)"/>
      <sheetName val="Waardering"/>
      <sheetName val="Waardering Visueel"/>
      <sheetName val="Projectie"/>
      <sheetName val="(input) Openingsbalans"/>
      <sheetName val="Balansoverzicht OPR"/>
      <sheetName val="(input) Afschrijvingen OPR"/>
    </sheetNames>
    <sheetDataSet>
      <sheetData sheetId="0" refreshError="1"/>
      <sheetData sheetId="1" refreshError="1">
        <row r="3">
          <cell r="B3">
            <v>2014</v>
          </cell>
        </row>
        <row r="4">
          <cell r="B4">
            <v>42004</v>
          </cell>
        </row>
        <row r="6">
          <cell r="B6">
            <v>1E-3</v>
          </cell>
        </row>
        <row r="8">
          <cell r="B8">
            <v>0.33989999999999998</v>
          </cell>
        </row>
        <row r="9">
          <cell r="B9">
            <v>0.02</v>
          </cell>
        </row>
        <row r="12">
          <cell r="B12">
            <v>0.21</v>
          </cell>
        </row>
        <row r="14">
          <cell r="B14">
            <v>1.4999999999999999E-2</v>
          </cell>
        </row>
        <row r="15">
          <cell r="B15">
            <v>1</v>
          </cell>
        </row>
        <row r="16">
          <cell r="B16">
            <v>0.02</v>
          </cell>
        </row>
        <row r="20">
          <cell r="B20">
            <v>3540</v>
          </cell>
        </row>
        <row r="24">
          <cell r="B24">
            <v>25</v>
          </cell>
        </row>
        <row r="28">
          <cell r="B28">
            <v>1140.8</v>
          </cell>
        </row>
        <row r="29">
          <cell r="B29">
            <v>1021.43</v>
          </cell>
        </row>
        <row r="30">
          <cell r="B30">
            <v>697.42</v>
          </cell>
        </row>
        <row r="31">
          <cell r="B31">
            <v>42</v>
          </cell>
        </row>
        <row r="32">
          <cell r="B32">
            <v>10</v>
          </cell>
        </row>
        <row r="34">
          <cell r="B34">
            <v>95</v>
          </cell>
        </row>
        <row r="35">
          <cell r="B35">
            <v>20</v>
          </cell>
        </row>
        <row r="54">
          <cell r="B54">
            <v>0</v>
          </cell>
        </row>
        <row r="56">
          <cell r="B56">
            <v>0</v>
          </cell>
        </row>
        <row r="57">
          <cell r="B57">
            <v>0.06</v>
          </cell>
        </row>
        <row r="58">
          <cell r="B58">
            <v>0.8</v>
          </cell>
        </row>
        <row r="59">
          <cell r="B59">
            <v>0</v>
          </cell>
        </row>
        <row r="61">
          <cell r="B61">
            <v>4.6404000000000001E-2</v>
          </cell>
        </row>
        <row r="62">
          <cell r="B62">
            <v>0.03</v>
          </cell>
        </row>
        <row r="64">
          <cell r="B64">
            <v>0.1</v>
          </cell>
        </row>
        <row r="65">
          <cell r="B65">
            <v>0.05</v>
          </cell>
        </row>
        <row r="66">
          <cell r="B66">
            <v>0.19999999999999996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&amp;L"/>
      <sheetName val="CASHFLOW2"/>
      <sheetName val="CashFlow"/>
      <sheetName val="Profit &amp; Loss"/>
      <sheetName val="Aankoop"/>
      <sheetName val="Verkoop"/>
      <sheetName val="Onkosten"/>
      <sheetName val="KBC rek"/>
      <sheetName val="Dropboxen"/>
      <sheetName val="btw"/>
      <sheetName val="MP"/>
      <sheetName val="MP detail"/>
      <sheetName val="zoho"/>
      <sheetName val="Geplande Aankoop"/>
      <sheetName val="recurring kosten"/>
      <sheetName val="BackOffice"/>
      <sheetName val="BackOfficeHidden"/>
    </sheetNames>
    <sheetDataSet>
      <sheetData sheetId="0"/>
      <sheetData sheetId="1"/>
      <sheetData sheetId="2">
        <row r="1">
          <cell r="F1">
            <v>2016</v>
          </cell>
        </row>
      </sheetData>
      <sheetData sheetId="3"/>
      <sheetData sheetId="4"/>
      <sheetData sheetId="5"/>
      <sheetData sheetId="6"/>
      <sheetData sheetId="7"/>
      <sheetData sheetId="8">
        <row r="3">
          <cell r="A3" t="str">
            <v>jaar</v>
          </cell>
        </row>
        <row r="4">
          <cell r="A4" t="str">
            <v>3 maand</v>
          </cell>
        </row>
        <row r="5">
          <cell r="A5" t="str">
            <v>maand</v>
          </cell>
        </row>
        <row r="6">
          <cell r="A6" t="str">
            <v>15 dagen</v>
          </cell>
        </row>
        <row r="7">
          <cell r="A7" t="str">
            <v>1 maal</v>
          </cell>
        </row>
        <row r="8">
          <cell r="A8" t="str">
            <v>meermaals</v>
          </cell>
        </row>
        <row r="9">
          <cell r="A9" t="str">
            <v>ongekend</v>
          </cell>
        </row>
        <row r="11">
          <cell r="A11" t="str">
            <v>pdf</v>
          </cell>
        </row>
        <row r="12">
          <cell r="A12" t="str">
            <v>papier</v>
          </cell>
        </row>
        <row r="13">
          <cell r="A13" t="str">
            <v>inbox</v>
          </cell>
        </row>
        <row r="14">
          <cell r="A14" t="str">
            <v>bon</v>
          </cell>
        </row>
        <row r="15">
          <cell r="A15" t="str">
            <v>basware</v>
          </cell>
        </row>
        <row r="17">
          <cell r="A17" t="str">
            <v>arkite Nv</v>
          </cell>
        </row>
        <row r="18">
          <cell r="A18" t="str">
            <v>event</v>
          </cell>
        </row>
        <row r="19">
          <cell r="A19" t="str">
            <v>P41</v>
          </cell>
        </row>
        <row r="20">
          <cell r="A20" t="str">
            <v>HIM</v>
          </cell>
        </row>
        <row r="21">
          <cell r="A21" t="str">
            <v>klant</v>
          </cell>
        </row>
        <row r="22">
          <cell r="A22" t="str">
            <v>stock</v>
          </cell>
        </row>
        <row r="24">
          <cell r="A24" t="str">
            <v>KBC on-line</v>
          </cell>
        </row>
        <row r="25">
          <cell r="A25" t="str">
            <v>Domic</v>
          </cell>
        </row>
        <row r="26">
          <cell r="A26" t="str">
            <v>visa KRU 0258</v>
          </cell>
        </row>
        <row r="27">
          <cell r="A27" t="str">
            <v>visa LvdG 3102</v>
          </cell>
        </row>
        <row r="28">
          <cell r="A28" t="str">
            <v>visa IDS 8285</v>
          </cell>
        </row>
        <row r="29">
          <cell r="A29" t="str">
            <v>visa JSM 9513</v>
          </cell>
        </row>
        <row r="30">
          <cell r="A30" t="str">
            <v>onkosten</v>
          </cell>
        </row>
        <row r="31">
          <cell r="A31" t="str">
            <v>derden</v>
          </cell>
        </row>
        <row r="32">
          <cell r="A32" t="str">
            <v>recurring</v>
          </cell>
        </row>
        <row r="33">
          <cell r="A33" t="str">
            <v>bankkaart</v>
          </cell>
        </row>
        <row r="40">
          <cell r="A40" t="str">
            <v>bank</v>
          </cell>
        </row>
        <row r="41">
          <cell r="A41" t="str">
            <v>aankoop</v>
          </cell>
        </row>
        <row r="42">
          <cell r="A42" t="str">
            <v>verkoop</v>
          </cell>
        </row>
        <row r="43">
          <cell r="A43" t="str">
            <v>onkosten</v>
          </cell>
        </row>
        <row r="44">
          <cell r="A44" t="str">
            <v>funding</v>
          </cell>
        </row>
        <row r="45">
          <cell r="A45" t="str">
            <v>recurring</v>
          </cell>
        </row>
        <row r="55">
          <cell r="A55" t="str">
            <v>Personel</v>
          </cell>
        </row>
        <row r="56">
          <cell r="A56" t="str">
            <v>T&amp;L</v>
          </cell>
        </row>
        <row r="57">
          <cell r="A57" t="str">
            <v>Sales expenses</v>
          </cell>
        </row>
        <row r="58">
          <cell r="A58" t="str">
            <v>Services to Arkite</v>
          </cell>
        </row>
        <row r="59">
          <cell r="A59" t="str">
            <v>Building</v>
          </cell>
        </row>
        <row r="61">
          <cell r="A61" t="str">
            <v>Accent</v>
          </cell>
        </row>
        <row r="62">
          <cell r="A62" t="str">
            <v>Ackermans (autobanden)</v>
          </cell>
        </row>
        <row r="63">
          <cell r="A63" t="str">
            <v>Advokaat Hilde Meulders</v>
          </cell>
        </row>
        <row r="64">
          <cell r="A64" t="str">
            <v>Adyen Client Management Foundation,NL</v>
          </cell>
        </row>
        <row r="65">
          <cell r="A65" t="str">
            <v>Agentschap Vlaamse Belastingsdienst</v>
          </cell>
        </row>
        <row r="66">
          <cell r="A66" t="str">
            <v>Agile Innovative ltd</v>
          </cell>
        </row>
        <row r="67">
          <cell r="A67" t="str">
            <v>Agoria</v>
          </cell>
        </row>
        <row r="68">
          <cell r="A68" t="str">
            <v>Aldi</v>
          </cell>
        </row>
        <row r="69">
          <cell r="A69" t="str">
            <v>Allekabels NL</v>
          </cell>
        </row>
        <row r="70">
          <cell r="A70" t="str">
            <v>Amazon.com</v>
          </cell>
        </row>
        <row r="71">
          <cell r="A71" t="str">
            <v>Amplicon benelux</v>
          </cell>
        </row>
        <row r="72">
          <cell r="A72" t="str">
            <v>ARSPBE22 WKEPC 16103</v>
          </cell>
        </row>
        <row r="73">
          <cell r="A73" t="str">
            <v>AS Adventure</v>
          </cell>
        </row>
        <row r="74">
          <cell r="A74" t="str">
            <v>Autoverhuur Limburg</v>
          </cell>
        </row>
        <row r="75">
          <cell r="A75" t="str">
            <v>AQM</v>
          </cell>
        </row>
        <row r="76">
          <cell r="A76" t="str">
            <v>AVA NV papier</v>
          </cell>
        </row>
        <row r="77">
          <cell r="A77" t="str">
            <v>AVG</v>
          </cell>
        </row>
        <row r="78">
          <cell r="A78" t="str">
            <v>AWW</v>
          </cell>
        </row>
        <row r="79">
          <cell r="A79" t="str">
            <v>Belasting</v>
          </cell>
        </row>
        <row r="80">
          <cell r="A80" t="str">
            <v>Belfius autolease</v>
          </cell>
        </row>
        <row r="81">
          <cell r="A81" t="str">
            <v>Belgacom</v>
          </cell>
        </row>
        <row r="82">
          <cell r="A82" t="str">
            <v>Belgian Shell tankkaart</v>
          </cell>
        </row>
        <row r="83">
          <cell r="A83" t="str">
            <v>Belgian fuel card</v>
          </cell>
        </row>
        <row r="84">
          <cell r="A84" t="str">
            <v>BGEMC (more&amp;mere RE bvba</v>
          </cell>
        </row>
        <row r="85">
          <cell r="A85" t="str">
            <v>Bpost</v>
          </cell>
        </row>
        <row r="86">
          <cell r="A86" t="str">
            <v>Brico</v>
          </cell>
        </row>
        <row r="87">
          <cell r="A87" t="str">
            <v>Bol.com</v>
          </cell>
        </row>
        <row r="88">
          <cell r="A88" t="str">
            <v>Bruneau</v>
          </cell>
        </row>
        <row r="89">
          <cell r="A89" t="str">
            <v>Bureau Veritas ISO</v>
          </cell>
        </row>
        <row r="90">
          <cell r="A90" t="str">
            <v>Buffer USA</v>
          </cell>
        </row>
        <row r="91">
          <cell r="A91" t="str">
            <v>BVQI</v>
          </cell>
        </row>
        <row r="92">
          <cell r="A92" t="str">
            <v>C&amp;N</v>
          </cell>
        </row>
        <row r="93">
          <cell r="A93" t="str">
            <v>Camille</v>
          </cell>
        </row>
        <row r="94">
          <cell r="A94" t="str">
            <v>Carglass</v>
          </cell>
        </row>
        <row r="95">
          <cell r="A95" t="str">
            <v>Central point</v>
          </cell>
        </row>
        <row r="96">
          <cell r="A96" t="str">
            <v>CityCall</v>
          </cell>
        </row>
        <row r="97">
          <cell r="A97" t="str">
            <v>CLD distribution SA</v>
          </cell>
        </row>
        <row r="98">
          <cell r="A98" t="str">
            <v>C-mine</v>
          </cell>
        </row>
        <row r="99">
          <cell r="A99" t="str">
            <v>Codima</v>
          </cell>
        </row>
        <row r="100">
          <cell r="A100" t="str">
            <v>Conrad NL</v>
          </cell>
        </row>
        <row r="101">
          <cell r="A101" t="str">
            <v>ConTeyor</v>
          </cell>
        </row>
        <row r="102">
          <cell r="A102" t="str">
            <v>Coolblue</v>
          </cell>
        </row>
        <row r="103">
          <cell r="A103" t="str">
            <v>Creax</v>
          </cell>
        </row>
        <row r="104">
          <cell r="A104" t="str">
            <v>3D Solution</v>
          </cell>
        </row>
        <row r="105">
          <cell r="A105" t="str">
            <v>Deflem drukkerij-copycenter</v>
          </cell>
        </row>
        <row r="106">
          <cell r="A106" t="str">
            <v>Dexia bank</v>
          </cell>
        </row>
        <row r="107">
          <cell r="A107" t="str">
            <v>Dexia Lease</v>
          </cell>
        </row>
        <row r="108">
          <cell r="A108" t="str">
            <v>Dexia verzekeringen</v>
          </cell>
        </row>
        <row r="109">
          <cell r="A109" t="str">
            <v>D'Ieteren Lease</v>
          </cell>
        </row>
        <row r="110">
          <cell r="A110" t="str">
            <v>Ditronic</v>
          </cell>
        </row>
        <row r="111">
          <cell r="A111" t="str">
            <v>Dominique Delanghe ,Gemba</v>
          </cell>
        </row>
        <row r="112">
          <cell r="A112" t="str">
            <v>Drukkerij Lamine bvba</v>
          </cell>
        </row>
        <row r="113">
          <cell r="A113" t="str">
            <v>DVO de vlaamse ondernemer</v>
          </cell>
        </row>
        <row r="114">
          <cell r="A114" t="str">
            <v>DZCC</v>
          </cell>
        </row>
        <row r="115">
          <cell r="A115" t="str">
            <v>EI&amp;C BV (Nederland)</v>
          </cell>
        </row>
        <row r="116">
          <cell r="A116" t="str">
            <v>Edenred</v>
          </cell>
        </row>
        <row r="117">
          <cell r="A117" t="str">
            <v>Eleshop NL</v>
          </cell>
        </row>
        <row r="118">
          <cell r="A118" t="str">
            <v>Eni</v>
          </cell>
        </row>
        <row r="119">
          <cell r="A119" t="str">
            <v>ER-M bvba</v>
          </cell>
        </row>
        <row r="120">
          <cell r="A120" t="str">
            <v>Ettinger</v>
          </cell>
        </row>
        <row r="121">
          <cell r="A121" t="str">
            <v>Europcar</v>
          </cell>
        </row>
        <row r="122">
          <cell r="A122" t="str">
            <v>Fabory centres NV</v>
          </cell>
        </row>
        <row r="123">
          <cell r="A123" t="str">
            <v>Febiac (huis automobiel)</v>
          </cell>
        </row>
        <row r="124">
          <cell r="A124" t="str">
            <v>FedEx express</v>
          </cell>
        </row>
        <row r="125">
          <cell r="A125" t="str">
            <v>Filosofie NL</v>
          </cell>
        </row>
        <row r="126">
          <cell r="A126" t="str">
            <v>Flanders Make vzw</v>
          </cell>
        </row>
        <row r="127">
          <cell r="A127" t="str">
            <v>Flanders Investment&amp;Trade</v>
          </cell>
        </row>
        <row r="128">
          <cell r="A128" t="str">
            <v>Fnac</v>
          </cell>
        </row>
        <row r="129">
          <cell r="A129" t="str">
            <v>FOJ Belgisch staatsblad</v>
          </cell>
        </row>
        <row r="130">
          <cell r="A130" t="str">
            <v>Follens-De Saeger</v>
          </cell>
        </row>
        <row r="131">
          <cell r="A131" t="str">
            <v>Fortiga IT solutions (BLA)</v>
          </cell>
        </row>
        <row r="132">
          <cell r="A132" t="str">
            <v>FotoJans.nl</v>
          </cell>
        </row>
        <row r="133">
          <cell r="A133" t="str">
            <v>Game Mania</v>
          </cell>
        </row>
        <row r="134">
          <cell r="A134" t="str">
            <v>Garage Vanhoe &amp; Zonen bvba</v>
          </cell>
        </row>
        <row r="135">
          <cell r="A135" t="str">
            <v>Gemini bvba</v>
          </cell>
        </row>
        <row r="136">
          <cell r="A136" t="str">
            <v>Gerstacker NL</v>
          </cell>
        </row>
        <row r="137">
          <cell r="A137" t="str">
            <v>Gotron</v>
          </cell>
        </row>
        <row r="138">
          <cell r="A138" t="str">
            <v>Grensland autogroep bvba</v>
          </cell>
        </row>
        <row r="139">
          <cell r="A139" t="str">
            <v>Greetz</v>
          </cell>
        </row>
        <row r="140">
          <cell r="A140" t="str">
            <v>Griffo / imschoot</v>
          </cell>
        </row>
        <row r="141">
          <cell r="A141" t="str">
            <v>Habitat</v>
          </cell>
        </row>
        <row r="142">
          <cell r="A142" t="str">
            <v>Hotel</v>
          </cell>
        </row>
        <row r="143">
          <cell r="A143" t="str">
            <v>Huis van automobiel</v>
          </cell>
        </row>
        <row r="144">
          <cell r="A144" t="str">
            <v>Ideation Internation</v>
          </cell>
        </row>
        <row r="145">
          <cell r="A145" t="str">
            <v>Ifori</v>
          </cell>
        </row>
        <row r="146">
          <cell r="A146" t="str">
            <v>IKEA</v>
          </cell>
        </row>
        <row r="147">
          <cell r="A147" t="str">
            <v>Inktweb.be</v>
          </cell>
        </row>
        <row r="148">
          <cell r="A148" t="str">
            <v>Interhost solutions</v>
          </cell>
        </row>
        <row r="149">
          <cell r="A149" t="str">
            <v>IP Hills</v>
          </cell>
        </row>
        <row r="150">
          <cell r="A150" t="str">
            <v>Jan Lagast bvba</v>
          </cell>
        </row>
        <row r="151">
          <cell r="A151" t="str">
            <v>Jaquar</v>
          </cell>
        </row>
        <row r="152">
          <cell r="A152" t="str">
            <v>Jarefin</v>
          </cell>
        </row>
        <row r="153">
          <cell r="A153" t="str">
            <v>Jarefin NBVB</v>
          </cell>
        </row>
        <row r="154">
          <cell r="A154" t="str">
            <v>Joli bvba</v>
          </cell>
        </row>
        <row r="155">
          <cell r="A155" t="str">
            <v>Jos Corstjens</v>
          </cell>
        </row>
        <row r="156">
          <cell r="A156" t="str">
            <v>Kaasmeester Van Tricht Michel</v>
          </cell>
        </row>
        <row r="157">
          <cell r="A157" t="str">
            <v>Karel de Grote Hogeschool</v>
          </cell>
        </row>
        <row r="158">
          <cell r="A158" t="str">
            <v>KBC</v>
          </cell>
        </row>
        <row r="159">
          <cell r="A159" t="str">
            <v>KBC Autolease</v>
          </cell>
        </row>
        <row r="160">
          <cell r="A160" t="str">
            <v>KBC huur kantoor</v>
          </cell>
        </row>
        <row r="161">
          <cell r="A161" t="str">
            <v>KBC SD-Worx</v>
          </cell>
        </row>
        <row r="162">
          <cell r="A162" t="str">
            <v>KBC Verzekeringen</v>
          </cell>
        </row>
        <row r="163">
          <cell r="A163" t="str">
            <v>KBC Verzekeringen auto</v>
          </cell>
        </row>
        <row r="164">
          <cell r="A164" t="str">
            <v>Koning&amp;Hartman</v>
          </cell>
        </row>
        <row r="165">
          <cell r="A165" t="str">
            <v>Kromhout electronics NL</v>
          </cell>
        </row>
        <row r="166">
          <cell r="A166" t="str">
            <v>Kim Rutten</v>
          </cell>
        </row>
        <row r="167">
          <cell r="A167" t="str">
            <v>Kupmet (Hungary)</v>
          </cell>
        </row>
        <row r="168">
          <cell r="A168" t="str">
            <v>KVIV</v>
          </cell>
        </row>
        <row r="169">
          <cell r="A169" t="str">
            <v>Kwadraat</v>
          </cell>
        </row>
        <row r="170">
          <cell r="A170" t="str">
            <v>Lamine (drukker)</v>
          </cell>
        </row>
        <row r="171">
          <cell r="A171" t="str">
            <v>Linkedin</v>
          </cell>
        </row>
        <row r="172">
          <cell r="A172" t="str">
            <v>Luc Dierickx</v>
          </cell>
        </row>
        <row r="173">
          <cell r="A173" t="str">
            <v>Management Solutions 5P bvba</v>
          </cell>
        </row>
        <row r="174">
          <cell r="A174" t="str">
            <v>Manutan</v>
          </cell>
        </row>
        <row r="175">
          <cell r="A175" t="str">
            <v>Media Markt</v>
          </cell>
        </row>
        <row r="176">
          <cell r="A176" t="str">
            <v>Medi-concept</v>
          </cell>
        </row>
        <row r="177">
          <cell r="A177" t="str">
            <v>Mensura</v>
          </cell>
        </row>
        <row r="178">
          <cell r="A178" t="str">
            <v>Mentrix</v>
          </cell>
        </row>
        <row r="179">
          <cell r="A179" t="str">
            <v>Microsoft Lux</v>
          </cell>
        </row>
        <row r="180">
          <cell r="A180" t="str">
            <v>Mimios (AB supplies)</v>
          </cell>
        </row>
        <row r="181">
          <cell r="A181" t="str">
            <v>Mouser electronics</v>
          </cell>
        </row>
        <row r="182">
          <cell r="A182" t="str">
            <v>MTM Association Benelux</v>
          </cell>
        </row>
        <row r="183">
          <cell r="A183" t="str">
            <v>Multy copy</v>
          </cell>
        </row>
        <row r="184">
          <cell r="A184" t="str">
            <v>MyXLshop Mollie NL</v>
          </cell>
        </row>
        <row r="185">
          <cell r="A185" t="str">
            <v>Norsu bvba (PBE)</v>
          </cell>
        </row>
        <row r="186">
          <cell r="A186" t="str">
            <v>Notaris Ludo Gielen</v>
          </cell>
        </row>
        <row r="187">
          <cell r="A187" t="str">
            <v>Nuon</v>
          </cell>
        </row>
        <row r="188">
          <cell r="A188" t="str">
            <v>OffiCenter</v>
          </cell>
        </row>
        <row r="189">
          <cell r="A189" t="str">
            <v>Office Consulting</v>
          </cell>
        </row>
        <row r="190">
          <cell r="A190" t="str">
            <v>Omnibouw bvba</v>
          </cell>
        </row>
        <row r="191">
          <cell r="A191" t="str">
            <v>One.com</v>
          </cell>
        </row>
        <row r="192">
          <cell r="A192" t="str">
            <v>Open Grafix</v>
          </cell>
        </row>
        <row r="193">
          <cell r="A193" t="str">
            <v>P0</v>
          </cell>
        </row>
        <row r="194">
          <cell r="A194" t="str">
            <v>Particle</v>
          </cell>
        </row>
        <row r="195">
          <cell r="A195" t="str">
            <v>PD Consult (Peter Druyts)</v>
          </cell>
        </row>
        <row r="196">
          <cell r="A196" t="str">
            <v>Perry De Loor</v>
          </cell>
        </row>
        <row r="197">
          <cell r="A197" t="str">
            <v>PlastiService group</v>
          </cell>
        </row>
        <row r="198">
          <cell r="A198" t="str">
            <v>Plot-It</v>
          </cell>
        </row>
        <row r="199">
          <cell r="A199" t="str">
            <v>Provincie Antwerpen</v>
          </cell>
        </row>
        <row r="200">
          <cell r="A200" t="str">
            <v>Proximus Internet</v>
          </cell>
        </row>
        <row r="201">
          <cell r="A201" t="str">
            <v>Proximus GSM</v>
          </cell>
        </row>
        <row r="202">
          <cell r="A202" t="str">
            <v>Rajapack</v>
          </cell>
        </row>
        <row r="203">
          <cell r="A203" t="str">
            <v>RESA vastgoed</v>
          </cell>
        </row>
        <row r="204">
          <cell r="A204" t="str">
            <v>Ritmo Art</v>
          </cell>
        </row>
        <row r="205">
          <cell r="A205" t="str">
            <v>Sabadille systems limited</v>
          </cell>
        </row>
        <row r="206">
          <cell r="A206" t="str">
            <v>Sandity drukkerij</v>
          </cell>
        </row>
        <row r="207">
          <cell r="A207" t="str">
            <v>SB Commerce</v>
          </cell>
        </row>
        <row r="208">
          <cell r="A208" t="str">
            <v>SD Worx</v>
          </cell>
        </row>
        <row r="209">
          <cell r="A209" t="str">
            <v>Sealevel</v>
          </cell>
        </row>
        <row r="210">
          <cell r="A210" t="str">
            <v>Selexion</v>
          </cell>
        </row>
        <row r="211">
          <cell r="A211" t="str">
            <v xml:space="preserve">Shell Belgian </v>
          </cell>
        </row>
        <row r="212">
          <cell r="A212" t="str">
            <v>Showtex</v>
          </cell>
        </row>
        <row r="213">
          <cell r="A213" t="str">
            <v>Shutterstock</v>
          </cell>
        </row>
        <row r="214">
          <cell r="A214" t="str">
            <v>Softkinetic International NV</v>
          </cell>
        </row>
        <row r="215">
          <cell r="A215" t="str">
            <v>Standaard Boekhandel</v>
          </cell>
        </row>
        <row r="216">
          <cell r="A216" t="str">
            <v>SVMB</v>
          </cell>
        </row>
        <row r="217">
          <cell r="A217" t="str">
            <v>Tapeconcurent NL</v>
          </cell>
        </row>
        <row r="218">
          <cell r="A218" t="str">
            <v>Teamviewer</v>
          </cell>
        </row>
        <row r="219">
          <cell r="A219" t="str">
            <v>Telenet</v>
          </cell>
        </row>
        <row r="220">
          <cell r="A220" t="str">
            <v>Telerex</v>
          </cell>
        </row>
        <row r="221">
          <cell r="A221" t="str">
            <v>Thomann Duitsland</v>
          </cell>
        </row>
        <row r="222">
          <cell r="A222" t="str">
            <v>Trilogiq</v>
          </cell>
        </row>
        <row r="223">
          <cell r="A223" t="str">
            <v>Total Belgium</v>
          </cell>
        </row>
        <row r="224">
          <cell r="A224" t="str">
            <v>Universiteit Antwerpen</v>
          </cell>
        </row>
        <row r="225">
          <cell r="A225" t="str">
            <v>Van Helden relatiegeschenken</v>
          </cell>
        </row>
        <row r="226">
          <cell r="A226" t="str">
            <v>Vanerum projector</v>
          </cell>
        </row>
        <row r="227">
          <cell r="A227" t="str">
            <v>VEV</v>
          </cell>
        </row>
        <row r="228">
          <cell r="A228" t="str">
            <v>Vincotte</v>
          </cell>
        </row>
        <row r="229">
          <cell r="A229" t="str">
            <v>VIK ie-net</v>
          </cell>
        </row>
        <row r="230">
          <cell r="A230" t="str">
            <v>Vikingco NV</v>
          </cell>
        </row>
        <row r="231">
          <cell r="A231" t="str">
            <v>Vlaams Centrum voor Kwaliteitszorg</v>
          </cell>
        </row>
        <row r="232">
          <cell r="A232" t="str">
            <v>Verkeersbelasting</v>
          </cell>
        </row>
        <row r="233">
          <cell r="A233" t="str">
            <v>Vranckaert gebr</v>
          </cell>
        </row>
        <row r="234">
          <cell r="A234" t="str">
            <v>Voicebooking NL</v>
          </cell>
        </row>
        <row r="235">
          <cell r="A235" t="str">
            <v>VOKA</v>
          </cell>
        </row>
        <row r="236">
          <cell r="A236" t="str">
            <v>VOM</v>
          </cell>
        </row>
        <row r="237">
          <cell r="A237" t="str">
            <v>Wkepc</v>
          </cell>
        </row>
        <row r="238">
          <cell r="A238" t="str">
            <v>WTCM</v>
          </cell>
        </row>
        <row r="239">
          <cell r="A239" t="str">
            <v>Xerius</v>
          </cell>
        </row>
        <row r="240">
          <cell r="A240" t="str">
            <v>Yools</v>
          </cell>
        </row>
        <row r="241">
          <cell r="A241" t="str">
            <v xml:space="preserve">Y&amp;N Claessens </v>
          </cell>
        </row>
        <row r="242">
          <cell r="A242" t="str">
            <v>Zinid</v>
          </cell>
        </row>
        <row r="243">
          <cell r="A243" t="str">
            <v xml:space="preserve">Zinito </v>
          </cell>
        </row>
        <row r="244">
          <cell r="A244" t="str">
            <v>ZOHO</v>
          </cell>
        </row>
      </sheetData>
      <sheetData sheetId="9"/>
      <sheetData sheetId="10"/>
      <sheetData sheetId="11"/>
      <sheetData sheetId="12"/>
      <sheetData sheetId="13"/>
      <sheetData sheetId="14"/>
      <sheetData sheetId="15">
        <row r="2">
          <cell r="A2" t="str">
            <v>km eigen wagen</v>
          </cell>
          <cell r="R2" t="str">
            <v>SALES</v>
          </cell>
          <cell r="Z2" t="str">
            <v>Ives De Saeger</v>
          </cell>
          <cell r="AA2" t="str">
            <v>IDS</v>
          </cell>
          <cell r="AF2" t="str">
            <v>P41</v>
          </cell>
          <cell r="AI2" t="str">
            <v>SALES</v>
          </cell>
          <cell r="AK2" t="str">
            <v>T&amp;L</v>
          </cell>
        </row>
        <row r="3">
          <cell r="A3" t="str">
            <v>tanken huurwagen</v>
          </cell>
          <cell r="R3" t="str">
            <v>R&amp;D</v>
          </cell>
          <cell r="Z3" t="str">
            <v>Johan Smeyers</v>
          </cell>
          <cell r="AA3" t="str">
            <v>JSM</v>
          </cell>
          <cell r="AF3" t="str">
            <v>Arkite</v>
          </cell>
          <cell r="AI3" t="str">
            <v>R&amp;D</v>
          </cell>
          <cell r="AK3" t="str">
            <v>Sales expenses</v>
          </cell>
        </row>
        <row r="4">
          <cell r="A4" t="str">
            <v>km eigen wagen</v>
          </cell>
          <cell r="R4" t="str">
            <v>MAR</v>
          </cell>
          <cell r="Z4" t="str">
            <v>Kim Rutten</v>
          </cell>
          <cell r="AA4" t="str">
            <v>KRU</v>
          </cell>
          <cell r="AF4" t="str">
            <v>HIM</v>
          </cell>
          <cell r="AI4" t="str">
            <v>MAR</v>
          </cell>
          <cell r="AK4" t="str">
            <v>Services to Arkite</v>
          </cell>
        </row>
        <row r="5">
          <cell r="A5" t="str">
            <v>visa</v>
          </cell>
          <cell r="R5" t="str">
            <v>GA</v>
          </cell>
          <cell r="Z5" t="str">
            <v>Linda van de Graaf</v>
          </cell>
          <cell r="AA5" t="str">
            <v>LVDG</v>
          </cell>
          <cell r="AF5">
            <v>0</v>
          </cell>
          <cell r="AI5" t="str">
            <v>GA</v>
          </cell>
          <cell r="AK5" t="str">
            <v>Building</v>
          </cell>
        </row>
        <row r="6">
          <cell r="A6" t="str">
            <v>niet gedefinieerd</v>
          </cell>
          <cell r="R6">
            <v>0</v>
          </cell>
          <cell r="Z6" t="str">
            <v>Paul Bertels</v>
          </cell>
          <cell r="AA6" t="str">
            <v>PBE</v>
          </cell>
          <cell r="AF6">
            <v>0</v>
          </cell>
          <cell r="AI6" t="str">
            <v>PERSO</v>
          </cell>
          <cell r="AK6" t="str">
            <v>Personel</v>
          </cell>
        </row>
        <row r="7">
          <cell r="A7">
            <v>0</v>
          </cell>
          <cell r="R7">
            <v>0</v>
          </cell>
          <cell r="Z7" t="str">
            <v>Bart Lamberigts</v>
          </cell>
          <cell r="AA7" t="str">
            <v>BLA</v>
          </cell>
          <cell r="AI7" t="str">
            <v>MIX</v>
          </cell>
          <cell r="AK7" t="str">
            <v>//////////////</v>
          </cell>
        </row>
        <row r="8">
          <cell r="A8">
            <v>0</v>
          </cell>
          <cell r="R8">
            <v>0</v>
          </cell>
          <cell r="Z8" t="str">
            <v>Senne Vanoppen</v>
          </cell>
          <cell r="AA8" t="str">
            <v>SVA</v>
          </cell>
          <cell r="AI8">
            <v>0</v>
          </cell>
          <cell r="AK8" t="str">
            <v>Materiaal HIM</v>
          </cell>
        </row>
        <row r="9">
          <cell r="A9">
            <v>0</v>
          </cell>
          <cell r="R9">
            <v>0</v>
          </cell>
          <cell r="Z9" t="str">
            <v>Bart Suelze</v>
          </cell>
          <cell r="AA9" t="str">
            <v>BSU</v>
          </cell>
          <cell r="AI9" t="str">
            <v>Fee Kader</v>
          </cell>
          <cell r="AK9" t="str">
            <v>Fee Kader</v>
          </cell>
        </row>
        <row r="10">
          <cell r="A10">
            <v>0</v>
          </cell>
          <cell r="R10">
            <v>0</v>
          </cell>
          <cell r="Z10" t="str">
            <v>Senior Software Engineer</v>
          </cell>
          <cell r="AA10">
            <v>0</v>
          </cell>
          <cell r="AI10">
            <v>0</v>
          </cell>
          <cell r="AK10">
            <v>0</v>
          </cell>
        </row>
        <row r="11">
          <cell r="A11">
            <v>0</v>
          </cell>
          <cell r="R11">
            <v>0</v>
          </cell>
          <cell r="Z11" t="str">
            <v>Senior Software Engineer</v>
          </cell>
          <cell r="AA11">
            <v>0</v>
          </cell>
          <cell r="AI11">
            <v>0</v>
          </cell>
          <cell r="AK11">
            <v>0</v>
          </cell>
        </row>
        <row r="12">
          <cell r="A12">
            <v>0</v>
          </cell>
          <cell r="Z12" t="str">
            <v>Software Engineer - Implementatie</v>
          </cell>
          <cell r="AA12">
            <v>0</v>
          </cell>
        </row>
        <row r="13">
          <cell r="A13">
            <v>0</v>
          </cell>
          <cell r="Z13" t="str">
            <v>Software Engineer - R&amp;D</v>
          </cell>
          <cell r="AA13">
            <v>0</v>
          </cell>
        </row>
        <row r="14">
          <cell r="A14">
            <v>0</v>
          </cell>
          <cell r="Z14" t="str">
            <v>Software Engineer</v>
          </cell>
          <cell r="AA14">
            <v>0</v>
          </cell>
        </row>
        <row r="15">
          <cell r="A15">
            <v>0</v>
          </cell>
          <cell r="Z15" t="str">
            <v>Sales Engineer</v>
          </cell>
          <cell r="AA15">
            <v>0</v>
          </cell>
        </row>
        <row r="16">
          <cell r="A16">
            <v>0</v>
          </cell>
          <cell r="Z16" t="str">
            <v>Sales Engineer</v>
          </cell>
          <cell r="AA16">
            <v>0</v>
          </cell>
        </row>
        <row r="17">
          <cell r="A17">
            <v>0</v>
          </cell>
          <cell r="Z17" t="str">
            <v>Sales Engineer</v>
          </cell>
          <cell r="AA17">
            <v>0</v>
          </cell>
        </row>
        <row r="18">
          <cell r="A18">
            <v>0</v>
          </cell>
          <cell r="Z18" t="str">
            <v>Sales Engineer</v>
          </cell>
          <cell r="AA18">
            <v>0</v>
          </cell>
        </row>
        <row r="19">
          <cell r="A19">
            <v>0</v>
          </cell>
          <cell r="Z19" t="str">
            <v>Support Engineer</v>
          </cell>
          <cell r="AA19">
            <v>0</v>
          </cell>
        </row>
        <row r="20">
          <cell r="A20">
            <v>0</v>
          </cell>
          <cell r="Z20" t="str">
            <v>Sales Engineer</v>
          </cell>
          <cell r="AA20">
            <v>0</v>
          </cell>
        </row>
        <row r="21">
          <cell r="A21">
            <v>0</v>
          </cell>
          <cell r="Z21" t="str">
            <v>Support Engineer</v>
          </cell>
          <cell r="AA21">
            <v>0</v>
          </cell>
        </row>
      </sheetData>
      <sheetData sheetId="16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vestments"/>
      <sheetName val="P&amp;L-BS-CF"/>
      <sheetName val="BP2016"/>
      <sheetName val="Projects"/>
      <sheetName val="Costs"/>
      <sheetName val="dec2015"/>
      <sheetName val="jan2016"/>
      <sheetName val="feb2016"/>
      <sheetName val="mar2016"/>
      <sheetName val="apr2016"/>
      <sheetName val="may2016"/>
      <sheetName val="jun2016"/>
      <sheetName val="jul2016"/>
      <sheetName val="aug2016"/>
      <sheetName val="sep2016"/>
      <sheetName val="oct2016"/>
      <sheetName val="nov2016"/>
      <sheetName val="dec2016"/>
      <sheetName val="YtDeval"/>
    </sheetNames>
    <sheetDataSet>
      <sheetData sheetId="0"/>
      <sheetData sheetId="1"/>
      <sheetData sheetId="2"/>
      <sheetData sheetId="3"/>
      <sheetData sheetId="4">
        <row r="32">
          <cell r="B32">
            <v>0.03</v>
          </cell>
        </row>
        <row r="33">
          <cell r="B33">
            <v>1</v>
          </cell>
        </row>
        <row r="34">
          <cell r="B34">
            <v>2</v>
          </cell>
        </row>
        <row r="35">
          <cell r="B35">
            <v>1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uPlan Akte"/>
      <sheetName val="klassen"/>
      <sheetName val="P&amp;L"/>
      <sheetName val="CASHFLOW"/>
      <sheetName val="MP"/>
      <sheetName val="Uitgaande facturen"/>
      <sheetName val="Voorspelde Verkoop"/>
      <sheetName val="Inkomende facturen"/>
      <sheetName val="KBC"/>
      <sheetName val="Geplande aankoop"/>
      <sheetName val="Onkosten"/>
      <sheetName val="Dropboxe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3">
          <cell r="A3" t="str">
            <v>jaar</v>
          </cell>
        </row>
        <row r="4">
          <cell r="A4" t="str">
            <v>3 maand</v>
          </cell>
        </row>
        <row r="5">
          <cell r="A5" t="str">
            <v>maand</v>
          </cell>
        </row>
        <row r="6">
          <cell r="A6" t="str">
            <v>15 dagen</v>
          </cell>
        </row>
        <row r="7">
          <cell r="A7" t="str">
            <v>1 maal</v>
          </cell>
        </row>
        <row r="8">
          <cell r="A8" t="str">
            <v>meermaals</v>
          </cell>
        </row>
        <row r="9">
          <cell r="A9" t="str">
            <v>ongekend</v>
          </cell>
        </row>
        <row r="24">
          <cell r="A24" t="str">
            <v>KBC on-line</v>
          </cell>
        </row>
        <row r="25">
          <cell r="A25" t="str">
            <v>Domic</v>
          </cell>
        </row>
        <row r="26">
          <cell r="A26" t="str">
            <v>visa KRU 0258</v>
          </cell>
        </row>
        <row r="27">
          <cell r="A27" t="str">
            <v>visa LvdG 3102</v>
          </cell>
        </row>
        <row r="28">
          <cell r="A28" t="str">
            <v>visa IDS 8285</v>
          </cell>
        </row>
        <row r="29">
          <cell r="A29" t="str">
            <v>visa JSM 9513</v>
          </cell>
        </row>
        <row r="30">
          <cell r="A30" t="str">
            <v>onkosten</v>
          </cell>
        </row>
        <row r="31">
          <cell r="A31" t="str">
            <v>derden</v>
          </cell>
        </row>
        <row r="32">
          <cell r="A32" t="str">
            <v>recurring</v>
          </cell>
        </row>
        <row r="33">
          <cell r="A33" t="str">
            <v>bankkaart</v>
          </cell>
        </row>
        <row r="53">
          <cell r="A53" t="str">
            <v>Personel</v>
          </cell>
        </row>
        <row r="54">
          <cell r="A54" t="str">
            <v>T&amp;L</v>
          </cell>
        </row>
        <row r="55">
          <cell r="A55" t="str">
            <v>Sales expenses</v>
          </cell>
        </row>
        <row r="56">
          <cell r="A56" t="str">
            <v>Services to Arkite</v>
          </cell>
        </row>
        <row r="57">
          <cell r="A57" t="str">
            <v>Building</v>
          </cell>
        </row>
        <row r="59">
          <cell r="A59" t="str">
            <v>Accent</v>
          </cell>
        </row>
        <row r="60">
          <cell r="A60" t="str">
            <v>Ackermans (autobanden)</v>
          </cell>
        </row>
        <row r="61">
          <cell r="A61" t="str">
            <v>Advokaat Hilde Meulders</v>
          </cell>
        </row>
        <row r="62">
          <cell r="A62" t="str">
            <v>Adyen Client Management Foundation,NL</v>
          </cell>
        </row>
        <row r="63">
          <cell r="A63" t="str">
            <v>Agentschap Vlaamse Belastingsdienst</v>
          </cell>
        </row>
        <row r="64">
          <cell r="A64" t="str">
            <v>Agile Innovative ltd</v>
          </cell>
        </row>
        <row r="65">
          <cell r="A65" t="str">
            <v>Agoria</v>
          </cell>
        </row>
        <row r="66">
          <cell r="A66" t="str">
            <v>Allekabels</v>
          </cell>
        </row>
        <row r="67">
          <cell r="A67" t="str">
            <v>Amazon.com</v>
          </cell>
        </row>
        <row r="68">
          <cell r="A68" t="str">
            <v>Amplicon benelux</v>
          </cell>
        </row>
        <row r="69">
          <cell r="A69" t="str">
            <v>ARSPBE22 WKEPC 16103</v>
          </cell>
        </row>
        <row r="70">
          <cell r="A70" t="str">
            <v>Autoverhuur Limburg</v>
          </cell>
        </row>
        <row r="71">
          <cell r="A71" t="str">
            <v>AQM</v>
          </cell>
        </row>
        <row r="72">
          <cell r="A72" t="str">
            <v>AVA NV papier</v>
          </cell>
        </row>
        <row r="73">
          <cell r="A73" t="str">
            <v>AWW</v>
          </cell>
        </row>
        <row r="74">
          <cell r="A74" t="str">
            <v>Belasting</v>
          </cell>
        </row>
        <row r="75">
          <cell r="A75" t="str">
            <v>Belgacom</v>
          </cell>
        </row>
        <row r="76">
          <cell r="A76" t="str">
            <v>BGEMC (more&amp;mere RE bvba</v>
          </cell>
        </row>
        <row r="77">
          <cell r="A77" t="str">
            <v>Bpost</v>
          </cell>
        </row>
        <row r="78">
          <cell r="A78" t="str">
            <v>Brico</v>
          </cell>
        </row>
        <row r="79">
          <cell r="A79" t="str">
            <v>Bol.com</v>
          </cell>
        </row>
        <row r="80">
          <cell r="A80" t="str">
            <v>Bruneau</v>
          </cell>
        </row>
        <row r="81">
          <cell r="A81" t="str">
            <v>BVQI</v>
          </cell>
        </row>
        <row r="82">
          <cell r="A82" t="str">
            <v>C&amp;N</v>
          </cell>
        </row>
        <row r="83">
          <cell r="A83" t="str">
            <v>Camille</v>
          </cell>
        </row>
        <row r="84">
          <cell r="A84" t="str">
            <v>Carglass</v>
          </cell>
        </row>
        <row r="85">
          <cell r="A85" t="str">
            <v>Central point</v>
          </cell>
        </row>
        <row r="86">
          <cell r="A86" t="str">
            <v>CityCall</v>
          </cell>
        </row>
        <row r="87">
          <cell r="A87" t="str">
            <v>CLD distribution SA</v>
          </cell>
        </row>
        <row r="88">
          <cell r="A88" t="str">
            <v>C-mine</v>
          </cell>
        </row>
        <row r="89">
          <cell r="A89" t="str">
            <v>Codima</v>
          </cell>
        </row>
        <row r="90">
          <cell r="A90" t="str">
            <v>Conrad</v>
          </cell>
        </row>
        <row r="91">
          <cell r="A91" t="str">
            <v>ConTeyor</v>
          </cell>
        </row>
        <row r="92">
          <cell r="A92" t="str">
            <v>Coolblue</v>
          </cell>
        </row>
        <row r="93">
          <cell r="A93" t="str">
            <v>Creax</v>
          </cell>
        </row>
        <row r="94">
          <cell r="A94" t="str">
            <v>3D Solution</v>
          </cell>
        </row>
        <row r="95">
          <cell r="A95" t="str">
            <v>Deflem drukkerij-copycenter</v>
          </cell>
        </row>
        <row r="96">
          <cell r="A96" t="str">
            <v>Dexia bank</v>
          </cell>
        </row>
        <row r="97">
          <cell r="A97" t="str">
            <v>Dexia Lease</v>
          </cell>
        </row>
        <row r="98">
          <cell r="A98" t="str">
            <v>Dexia verzekeringen</v>
          </cell>
        </row>
        <row r="99">
          <cell r="A99" t="str">
            <v>D'Ieteren Lease</v>
          </cell>
        </row>
        <row r="100">
          <cell r="A100" t="str">
            <v>Ditronic</v>
          </cell>
        </row>
        <row r="101">
          <cell r="A101" t="str">
            <v>Dominique Delanghe ,Gemba</v>
          </cell>
        </row>
        <row r="102">
          <cell r="A102" t="str">
            <v>Drukkerij Lamine bvba</v>
          </cell>
        </row>
        <row r="103">
          <cell r="A103" t="str">
            <v>DVO de vlaamse ondernemer</v>
          </cell>
        </row>
        <row r="104">
          <cell r="A104" t="str">
            <v>DZCC</v>
          </cell>
        </row>
        <row r="105">
          <cell r="A105" t="str">
            <v>EI&amp;C BV (Nederland)</v>
          </cell>
        </row>
        <row r="106">
          <cell r="A106" t="str">
            <v>Edenred</v>
          </cell>
        </row>
        <row r="107">
          <cell r="A107" t="str">
            <v>Eni</v>
          </cell>
        </row>
        <row r="108">
          <cell r="A108" t="str">
            <v>ER-M bvba</v>
          </cell>
        </row>
        <row r="109">
          <cell r="A109" t="str">
            <v>Ettinger</v>
          </cell>
        </row>
        <row r="110">
          <cell r="A110" t="str">
            <v>Europcar</v>
          </cell>
        </row>
        <row r="111">
          <cell r="A111" t="str">
            <v>Fabory centres NV</v>
          </cell>
        </row>
        <row r="112">
          <cell r="A112" t="str">
            <v>FedEx express</v>
          </cell>
        </row>
        <row r="113">
          <cell r="A113" t="str">
            <v>Flanders Make vzw</v>
          </cell>
        </row>
        <row r="114">
          <cell r="A114" t="str">
            <v>Fnac</v>
          </cell>
        </row>
        <row r="115">
          <cell r="A115" t="str">
            <v>FOJ Belgisch staatsblad</v>
          </cell>
        </row>
        <row r="116">
          <cell r="A116" t="str">
            <v>Follens-De Saeger</v>
          </cell>
        </row>
        <row r="117">
          <cell r="A117" t="str">
            <v>Fortiga IT solutions (BLA)</v>
          </cell>
        </row>
        <row r="118">
          <cell r="A118" t="str">
            <v>FotoJans.nl</v>
          </cell>
        </row>
        <row r="119">
          <cell r="A119" t="str">
            <v>Game Mania</v>
          </cell>
        </row>
        <row r="120">
          <cell r="A120" t="str">
            <v>Garage Vanhoe &amp; Zonen bvba</v>
          </cell>
        </row>
        <row r="121">
          <cell r="A121" t="str">
            <v>Gemini bvba</v>
          </cell>
        </row>
        <row r="122">
          <cell r="A122" t="str">
            <v>Gerstacker NL</v>
          </cell>
        </row>
        <row r="123">
          <cell r="A123" t="str">
            <v>Gotron</v>
          </cell>
        </row>
        <row r="124">
          <cell r="A124" t="str">
            <v>Grensland autogroep bvba</v>
          </cell>
        </row>
        <row r="125">
          <cell r="A125" t="str">
            <v>Griffo / imschoot</v>
          </cell>
        </row>
        <row r="126">
          <cell r="A126" t="str">
            <v>Hotel</v>
          </cell>
        </row>
        <row r="127">
          <cell r="A127" t="str">
            <v>Huis van automobiel</v>
          </cell>
        </row>
        <row r="128">
          <cell r="A128" t="str">
            <v>Ideation Internation</v>
          </cell>
        </row>
        <row r="129">
          <cell r="A129" t="str">
            <v>Ifori</v>
          </cell>
        </row>
        <row r="130">
          <cell r="A130" t="str">
            <v>IKEA</v>
          </cell>
        </row>
        <row r="131">
          <cell r="A131" t="str">
            <v>Inktweb.be</v>
          </cell>
        </row>
        <row r="132">
          <cell r="A132" t="str">
            <v>Interhost solutions</v>
          </cell>
        </row>
        <row r="133">
          <cell r="A133" t="str">
            <v>Jan Lagast bvba</v>
          </cell>
        </row>
        <row r="134">
          <cell r="A134" t="str">
            <v>Jarefin</v>
          </cell>
        </row>
        <row r="135">
          <cell r="A135" t="str">
            <v>Jarefin NBVB</v>
          </cell>
        </row>
        <row r="136">
          <cell r="A136" t="str">
            <v>Joli bvba</v>
          </cell>
        </row>
        <row r="137">
          <cell r="A137" t="str">
            <v>Jos Corstjens</v>
          </cell>
        </row>
        <row r="138">
          <cell r="A138" t="str">
            <v>Kaasmeester Van Tricht Michel</v>
          </cell>
        </row>
        <row r="139">
          <cell r="A139" t="str">
            <v>Karel de Grote Hogeschool</v>
          </cell>
        </row>
        <row r="140">
          <cell r="A140" t="str">
            <v>KBC</v>
          </cell>
        </row>
        <row r="141">
          <cell r="A141" t="str">
            <v>KBC LEASE BELGIUM</v>
          </cell>
        </row>
        <row r="142">
          <cell r="A142" t="str">
            <v>KBC VERZEKERINGEN</v>
          </cell>
        </row>
        <row r="143">
          <cell r="A143" t="str">
            <v>Koning&amp;Hartman</v>
          </cell>
        </row>
        <row r="144">
          <cell r="A144" t="str">
            <v>Kromhout electronics</v>
          </cell>
        </row>
        <row r="145">
          <cell r="A145" t="str">
            <v>Kim Rutten</v>
          </cell>
        </row>
        <row r="146">
          <cell r="A146" t="str">
            <v>Kupmet (Turkey)</v>
          </cell>
        </row>
        <row r="147">
          <cell r="A147" t="str">
            <v>KVIV</v>
          </cell>
        </row>
        <row r="148">
          <cell r="A148" t="str">
            <v>Kwadraat</v>
          </cell>
        </row>
        <row r="149">
          <cell r="A149" t="str">
            <v>Lamine (drukker)</v>
          </cell>
        </row>
        <row r="150">
          <cell r="A150" t="str">
            <v>Linkedin</v>
          </cell>
        </row>
        <row r="151">
          <cell r="A151" t="str">
            <v>Luc Dierickx</v>
          </cell>
        </row>
        <row r="152">
          <cell r="A152" t="str">
            <v>Management Solutions 5P bvba</v>
          </cell>
        </row>
        <row r="153">
          <cell r="A153" t="str">
            <v>Manutan</v>
          </cell>
        </row>
        <row r="154">
          <cell r="A154" t="str">
            <v>Media Markt</v>
          </cell>
        </row>
        <row r="155">
          <cell r="A155" t="str">
            <v>Medi-concept</v>
          </cell>
        </row>
        <row r="156">
          <cell r="A156" t="str">
            <v>Mensura</v>
          </cell>
        </row>
        <row r="157">
          <cell r="A157" t="str">
            <v>Mentrix</v>
          </cell>
        </row>
        <row r="158">
          <cell r="A158" t="str">
            <v>Microsoft Lux</v>
          </cell>
        </row>
        <row r="159">
          <cell r="A159" t="str">
            <v>Mimios (AB supplies)</v>
          </cell>
        </row>
        <row r="160">
          <cell r="A160" t="str">
            <v>Mouser electronics</v>
          </cell>
        </row>
        <row r="161">
          <cell r="A161" t="str">
            <v>MTM Association Benelux</v>
          </cell>
        </row>
        <row r="162">
          <cell r="A162" t="str">
            <v>Multy copy</v>
          </cell>
        </row>
        <row r="163">
          <cell r="A163" t="str">
            <v>MyXLshop Mollie NL</v>
          </cell>
        </row>
        <row r="164">
          <cell r="A164" t="str">
            <v>Norsu bvba (PBE)</v>
          </cell>
        </row>
        <row r="165">
          <cell r="A165" t="str">
            <v>Notaris Ludo Gielen</v>
          </cell>
        </row>
        <row r="166">
          <cell r="A166" t="str">
            <v>Nuon</v>
          </cell>
        </row>
        <row r="167">
          <cell r="A167" t="str">
            <v>Office Center</v>
          </cell>
        </row>
        <row r="168">
          <cell r="A168" t="str">
            <v>Office Consulting</v>
          </cell>
        </row>
        <row r="169">
          <cell r="A169" t="str">
            <v>Omnibouw bvba</v>
          </cell>
        </row>
        <row r="170">
          <cell r="A170" t="str">
            <v>One.com</v>
          </cell>
        </row>
        <row r="171">
          <cell r="A171" t="str">
            <v>Open Grafix</v>
          </cell>
        </row>
        <row r="172">
          <cell r="A172" t="str">
            <v>P0</v>
          </cell>
        </row>
        <row r="173">
          <cell r="A173" t="str">
            <v>Particle</v>
          </cell>
        </row>
        <row r="174">
          <cell r="A174" t="str">
            <v>PD Consult (Peter Druyts)</v>
          </cell>
        </row>
        <row r="175">
          <cell r="A175" t="str">
            <v>Perry De Loor</v>
          </cell>
        </row>
        <row r="176">
          <cell r="A176" t="str">
            <v>PlastiService group</v>
          </cell>
        </row>
        <row r="177">
          <cell r="A177" t="str">
            <v>Plot-It</v>
          </cell>
        </row>
        <row r="178">
          <cell r="A178" t="str">
            <v>Proximus Internet</v>
          </cell>
        </row>
        <row r="179">
          <cell r="A179" t="str">
            <v>Proximus GSM</v>
          </cell>
        </row>
        <row r="180">
          <cell r="A180" t="str">
            <v>RESA vastgoed</v>
          </cell>
        </row>
        <row r="181">
          <cell r="A181" t="str">
            <v>Ritmo Art</v>
          </cell>
        </row>
        <row r="182">
          <cell r="A182" t="str">
            <v>Sabadille systems limited</v>
          </cell>
        </row>
        <row r="183">
          <cell r="A183" t="str">
            <v>SB Commerce</v>
          </cell>
        </row>
        <row r="184">
          <cell r="A184" t="str">
            <v>SD Worx</v>
          </cell>
        </row>
        <row r="185">
          <cell r="A185" t="str">
            <v>Sealevel</v>
          </cell>
        </row>
        <row r="186">
          <cell r="A186" t="str">
            <v>SELEXION</v>
          </cell>
        </row>
        <row r="187">
          <cell r="A187" t="str">
            <v xml:space="preserve">Shell Belgian </v>
          </cell>
        </row>
        <row r="188">
          <cell r="A188" t="str">
            <v>Showtex</v>
          </cell>
        </row>
        <row r="189">
          <cell r="A189" t="str">
            <v>Shutterstock</v>
          </cell>
        </row>
        <row r="190">
          <cell r="A190" t="str">
            <v>Softkinetic International NV</v>
          </cell>
        </row>
        <row r="191">
          <cell r="A191" t="str">
            <v>Standaard Boekhandel</v>
          </cell>
        </row>
        <row r="192">
          <cell r="A192" t="str">
            <v>SVMB</v>
          </cell>
        </row>
        <row r="193">
          <cell r="A193" t="str">
            <v>Teamviewer</v>
          </cell>
        </row>
        <row r="194">
          <cell r="A194" t="str">
            <v>Telenet</v>
          </cell>
        </row>
        <row r="195">
          <cell r="A195" t="str">
            <v>Telerex</v>
          </cell>
        </row>
        <row r="196">
          <cell r="A196" t="str">
            <v>Thomann Duitsland</v>
          </cell>
        </row>
        <row r="197">
          <cell r="A197" t="str">
            <v>Total Belgium</v>
          </cell>
        </row>
        <row r="198">
          <cell r="A198" t="str">
            <v>Universiteit Antwerpen</v>
          </cell>
        </row>
        <row r="199">
          <cell r="A199" t="str">
            <v>Van Helden relatiegeschenken</v>
          </cell>
        </row>
        <row r="200">
          <cell r="A200" t="str">
            <v>Vanerum projector</v>
          </cell>
        </row>
        <row r="201">
          <cell r="A201" t="str">
            <v>VEV</v>
          </cell>
        </row>
        <row r="202">
          <cell r="A202" t="str">
            <v>VIK ie-net</v>
          </cell>
        </row>
        <row r="203">
          <cell r="A203" t="str">
            <v>Vikingco NV</v>
          </cell>
        </row>
        <row r="204">
          <cell r="A204" t="str">
            <v>Vlaams Centrum voor Kwaliteitszorg</v>
          </cell>
        </row>
        <row r="205">
          <cell r="A205" t="str">
            <v>Vlaamse overheid verkeersbelasting</v>
          </cell>
        </row>
        <row r="206">
          <cell r="A206" t="str">
            <v>Vranckaert gebr</v>
          </cell>
        </row>
        <row r="207">
          <cell r="A207" t="str">
            <v>Voicebooking NL</v>
          </cell>
        </row>
        <row r="208">
          <cell r="A208" t="str">
            <v>VOKA</v>
          </cell>
        </row>
        <row r="209">
          <cell r="A209" t="str">
            <v>VOM</v>
          </cell>
        </row>
        <row r="210">
          <cell r="A210" t="str">
            <v>Wkepc</v>
          </cell>
        </row>
        <row r="211">
          <cell r="A211" t="str">
            <v>WTCM</v>
          </cell>
        </row>
        <row r="212">
          <cell r="A212" t="str">
            <v>Xerius</v>
          </cell>
        </row>
        <row r="213">
          <cell r="A213" t="str">
            <v>Yools</v>
          </cell>
        </row>
        <row r="214">
          <cell r="A214" t="str">
            <v>Zinid</v>
          </cell>
        </row>
        <row r="215">
          <cell r="A215" t="str">
            <v>ZOHO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veloping Store"/>
    </sheetNames>
    <sheetDataSet>
      <sheetData sheetId="0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alans overzicht"/>
      <sheetName val="Resultaten overzicht"/>
      <sheetName val="Totaaloverzicht 2016 "/>
      <sheetName val="Overzicht Seats 2016"/>
      <sheetName val="Overzicht Seats Nov 15"/>
      <sheetName val="GLOBAAL rapport"/>
      <sheetName val="(input) Algemene Kosten"/>
      <sheetName val="uitrusting DC"/>
      <sheetName val="invest-subs"/>
      <sheetName val="opspl 61"/>
    </sheetNames>
    <sheetDataSet>
      <sheetData sheetId="0" refreshError="1"/>
      <sheetData sheetId="1">
        <row r="6">
          <cell r="F6">
            <v>202.38636</v>
          </cell>
        </row>
      </sheetData>
      <sheetData sheetId="2" refreshError="1"/>
      <sheetData sheetId="3" refreshError="1"/>
      <sheetData sheetId="4" refreshError="1"/>
      <sheetData sheetId="5"/>
      <sheetData sheetId="6">
        <row r="3">
          <cell r="B3">
            <v>0.01</v>
          </cell>
        </row>
      </sheetData>
      <sheetData sheetId="7" refreshError="1"/>
      <sheetData sheetId="8" refreshError="1"/>
      <sheetData sheetId="9">
        <row r="9">
          <cell r="Q9">
            <v>7731.7000000000007</v>
          </cell>
        </row>
      </sheetData>
    </sheetDataSet>
  </externalBook>
</externalLink>
</file>

<file path=xl/theme/theme1.xml><?xml version="1.0" encoding="utf-8"?>
<a:theme xmlns:a="http://schemas.openxmlformats.org/drawingml/2006/main" name="Office 2013 - 2022 The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1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F1D53-EBA8-4780-AFBA-F68DADF7CC18}">
  <sheetPr>
    <tabColor theme="0"/>
  </sheetPr>
  <dimension ref="A1:E36"/>
  <sheetViews>
    <sheetView showGridLines="0" workbookViewId="0">
      <selection activeCell="D15" sqref="D15"/>
    </sheetView>
  </sheetViews>
  <sheetFormatPr defaultColWidth="8.88671875" defaultRowHeight="14.4" x14ac:dyDescent="0.3"/>
  <cols>
    <col min="1" max="1" width="4.5546875" style="139" customWidth="1"/>
    <col min="2" max="2" width="8.6640625" style="139" customWidth="1"/>
    <col min="3" max="3" width="15.44140625" style="139" customWidth="1"/>
    <col min="4" max="4" width="108.44140625" style="139" customWidth="1"/>
    <col min="5" max="5" width="90.6640625" style="130" customWidth="1"/>
    <col min="6" max="16384" width="8.88671875" style="130"/>
  </cols>
  <sheetData>
    <row r="1" spans="1:5" ht="19.8" thickBot="1" x14ac:dyDescent="0.35">
      <c r="A1" s="677" t="s">
        <v>331</v>
      </c>
      <c r="B1" s="677"/>
      <c r="C1" s="677"/>
      <c r="D1" s="677"/>
      <c r="E1" s="677"/>
    </row>
    <row r="2" spans="1:5" ht="15" thickTop="1" x14ac:dyDescent="0.3">
      <c r="A2" s="678"/>
      <c r="B2" s="679"/>
      <c r="C2" s="679"/>
      <c r="D2" s="679"/>
      <c r="E2" s="680"/>
    </row>
    <row r="3" spans="1:5" ht="19.8" thickBot="1" x14ac:dyDescent="0.35">
      <c r="A3" s="681" t="s">
        <v>332</v>
      </c>
      <c r="B3" s="682" t="s">
        <v>1048</v>
      </c>
      <c r="C3" s="682" t="s">
        <v>333</v>
      </c>
      <c r="D3" s="682" t="s">
        <v>334</v>
      </c>
      <c r="E3" s="683" t="s">
        <v>335</v>
      </c>
    </row>
    <row r="4" spans="1:5" ht="15" thickTop="1" x14ac:dyDescent="0.3">
      <c r="A4" s="131">
        <v>1</v>
      </c>
      <c r="B4" s="131"/>
      <c r="C4" s="132"/>
      <c r="D4" s="133"/>
      <c r="E4" s="134"/>
    </row>
    <row r="5" spans="1:5" x14ac:dyDescent="0.3">
      <c r="A5" s="131">
        <f t="shared" ref="A5:A28" si="0">A4+1</f>
        <v>2</v>
      </c>
      <c r="B5" s="131"/>
      <c r="C5" s="132"/>
      <c r="D5" s="133"/>
      <c r="E5" s="134"/>
    </row>
    <row r="6" spans="1:5" x14ac:dyDescent="0.3">
      <c r="A6" s="131">
        <f t="shared" si="0"/>
        <v>3</v>
      </c>
      <c r="B6" s="131"/>
      <c r="C6" s="132"/>
      <c r="D6" s="133"/>
      <c r="E6" s="134"/>
    </row>
    <row r="7" spans="1:5" x14ac:dyDescent="0.3">
      <c r="A7" s="131">
        <f t="shared" si="0"/>
        <v>4</v>
      </c>
      <c r="B7" s="131"/>
      <c r="C7" s="132"/>
      <c r="D7" s="133"/>
      <c r="E7" s="134"/>
    </row>
    <row r="8" spans="1:5" x14ac:dyDescent="0.3">
      <c r="A8" s="131">
        <f t="shared" si="0"/>
        <v>5</v>
      </c>
      <c r="B8" s="131"/>
      <c r="C8" s="132"/>
      <c r="D8" s="133"/>
      <c r="E8" s="133"/>
    </row>
    <row r="9" spans="1:5" x14ac:dyDescent="0.3">
      <c r="A9" s="131">
        <f t="shared" si="0"/>
        <v>6</v>
      </c>
      <c r="B9" s="131"/>
      <c r="C9" s="132"/>
      <c r="D9" s="133"/>
      <c r="E9" s="133"/>
    </row>
    <row r="10" spans="1:5" x14ac:dyDescent="0.3">
      <c r="A10" s="131">
        <f t="shared" si="0"/>
        <v>7</v>
      </c>
      <c r="B10" s="131"/>
      <c r="C10" s="132"/>
      <c r="D10" s="133"/>
      <c r="E10" s="133"/>
    </row>
    <row r="11" spans="1:5" x14ac:dyDescent="0.3">
      <c r="A11" s="131">
        <f t="shared" si="0"/>
        <v>8</v>
      </c>
      <c r="B11" s="131"/>
      <c r="C11" s="132"/>
      <c r="D11" s="133"/>
      <c r="E11" s="133"/>
    </row>
    <row r="12" spans="1:5" x14ac:dyDescent="0.3">
      <c r="A12" s="131">
        <f t="shared" si="0"/>
        <v>9</v>
      </c>
      <c r="B12" s="131"/>
      <c r="C12" s="132"/>
      <c r="D12" s="133"/>
      <c r="E12" s="133"/>
    </row>
    <row r="13" spans="1:5" x14ac:dyDescent="0.3">
      <c r="A13" s="131">
        <f t="shared" si="0"/>
        <v>10</v>
      </c>
      <c r="B13" s="131"/>
      <c r="C13" s="132"/>
      <c r="D13" s="133"/>
      <c r="E13" s="133"/>
    </row>
    <row r="14" spans="1:5" x14ac:dyDescent="0.3">
      <c r="A14" s="131">
        <f t="shared" si="0"/>
        <v>11</v>
      </c>
      <c r="B14" s="131"/>
      <c r="C14" s="132"/>
      <c r="D14" s="133"/>
      <c r="E14" s="133"/>
    </row>
    <row r="15" spans="1:5" x14ac:dyDescent="0.3">
      <c r="A15" s="131">
        <f t="shared" si="0"/>
        <v>12</v>
      </c>
      <c r="B15" s="131"/>
      <c r="C15" s="132"/>
      <c r="D15" s="133"/>
      <c r="E15" s="133"/>
    </row>
    <row r="16" spans="1:5" x14ac:dyDescent="0.3">
      <c r="A16" s="131">
        <f t="shared" si="0"/>
        <v>13</v>
      </c>
      <c r="B16" s="131"/>
      <c r="C16" s="132"/>
      <c r="D16" s="133"/>
      <c r="E16" s="133"/>
    </row>
    <row r="17" spans="1:5" x14ac:dyDescent="0.3">
      <c r="A17" s="131">
        <f t="shared" si="0"/>
        <v>14</v>
      </c>
      <c r="B17" s="131"/>
      <c r="C17" s="132"/>
      <c r="D17" s="133"/>
      <c r="E17" s="133"/>
    </row>
    <row r="18" spans="1:5" x14ac:dyDescent="0.3">
      <c r="A18" s="131">
        <f t="shared" si="0"/>
        <v>15</v>
      </c>
      <c r="B18" s="131"/>
      <c r="C18" s="132"/>
      <c r="D18" s="133"/>
      <c r="E18" s="133"/>
    </row>
    <row r="19" spans="1:5" x14ac:dyDescent="0.3">
      <c r="A19" s="131">
        <f t="shared" si="0"/>
        <v>16</v>
      </c>
      <c r="B19" s="131"/>
      <c r="C19" s="132"/>
      <c r="D19" s="133"/>
      <c r="E19" s="133"/>
    </row>
    <row r="20" spans="1:5" x14ac:dyDescent="0.3">
      <c r="A20" s="131">
        <f t="shared" si="0"/>
        <v>17</v>
      </c>
      <c r="B20" s="131"/>
      <c r="C20" s="135"/>
      <c r="D20" s="136"/>
      <c r="E20" s="136"/>
    </row>
    <row r="21" spans="1:5" x14ac:dyDescent="0.3">
      <c r="A21" s="131">
        <f t="shared" si="0"/>
        <v>18</v>
      </c>
      <c r="B21" s="131"/>
      <c r="C21" s="135"/>
      <c r="D21" s="136"/>
      <c r="E21" s="136"/>
    </row>
    <row r="22" spans="1:5" x14ac:dyDescent="0.3">
      <c r="A22" s="131">
        <f t="shared" si="0"/>
        <v>19</v>
      </c>
      <c r="B22" s="131"/>
      <c r="C22" s="135"/>
      <c r="D22" s="136"/>
      <c r="E22" s="137"/>
    </row>
    <row r="23" spans="1:5" x14ac:dyDescent="0.3">
      <c r="A23" s="131">
        <f t="shared" si="0"/>
        <v>20</v>
      </c>
      <c r="B23" s="131"/>
      <c r="C23" s="135"/>
      <c r="D23" s="136"/>
      <c r="E23" s="133"/>
    </row>
    <row r="24" spans="1:5" x14ac:dyDescent="0.3">
      <c r="A24" s="131">
        <f t="shared" si="0"/>
        <v>21</v>
      </c>
      <c r="B24" s="131"/>
      <c r="C24" s="135"/>
      <c r="D24" s="136"/>
      <c r="E24" s="136"/>
    </row>
    <row r="25" spans="1:5" x14ac:dyDescent="0.3">
      <c r="A25" s="131">
        <f t="shared" si="0"/>
        <v>22</v>
      </c>
      <c r="B25" s="131"/>
      <c r="C25" s="135"/>
      <c r="D25" s="136"/>
      <c r="E25" s="136"/>
    </row>
    <row r="26" spans="1:5" x14ac:dyDescent="0.3">
      <c r="A26" s="131">
        <f t="shared" si="0"/>
        <v>23</v>
      </c>
      <c r="B26" s="131"/>
      <c r="C26" s="135"/>
      <c r="D26" s="136"/>
      <c r="E26" s="136"/>
    </row>
    <row r="27" spans="1:5" x14ac:dyDescent="0.3">
      <c r="A27" s="131">
        <f t="shared" si="0"/>
        <v>24</v>
      </c>
      <c r="B27" s="131"/>
      <c r="C27" s="135"/>
      <c r="D27" s="136"/>
      <c r="E27" s="136"/>
    </row>
    <row r="28" spans="1:5" x14ac:dyDescent="0.3">
      <c r="A28" s="131">
        <f t="shared" si="0"/>
        <v>25</v>
      </c>
      <c r="B28" s="131"/>
      <c r="C28" s="135"/>
      <c r="D28" s="136"/>
      <c r="E28" s="136"/>
    </row>
    <row r="31" spans="1:5" x14ac:dyDescent="0.3">
      <c r="A31" s="138"/>
      <c r="B31" s="138"/>
    </row>
    <row r="32" spans="1:5" x14ac:dyDescent="0.3">
      <c r="A32" s="138"/>
      <c r="B32" s="138"/>
      <c r="C32" s="138"/>
    </row>
    <row r="33" spans="1:3" x14ac:dyDescent="0.3">
      <c r="A33" s="138"/>
      <c r="B33" s="138"/>
      <c r="C33" s="138"/>
    </row>
    <row r="34" spans="1:3" x14ac:dyDescent="0.3">
      <c r="A34" s="138"/>
      <c r="B34" s="138"/>
      <c r="C34" s="138"/>
    </row>
    <row r="35" spans="1:3" x14ac:dyDescent="0.3">
      <c r="A35" s="138"/>
      <c r="B35" s="138"/>
      <c r="C35" s="138"/>
    </row>
    <row r="36" spans="1:3" x14ac:dyDescent="0.3">
      <c r="C36" s="13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041F2-9004-4809-B86A-FAE760CB8500}">
  <sheetPr>
    <tabColor theme="1"/>
  </sheetPr>
  <dimension ref="B2:E5"/>
  <sheetViews>
    <sheetView showGridLines="0" workbookViewId="0">
      <selection activeCell="M43" sqref="M43"/>
    </sheetView>
  </sheetViews>
  <sheetFormatPr defaultColWidth="9.109375" defaultRowHeight="13.2" x14ac:dyDescent="0.25"/>
  <cols>
    <col min="1" max="16384" width="9.109375" style="141"/>
  </cols>
  <sheetData>
    <row r="2" spans="2:5" ht="14.4" x14ac:dyDescent="0.3">
      <c r="B2" s="665"/>
      <c r="D2" s="666"/>
      <c r="E2" s="667"/>
    </row>
    <row r="3" spans="2:5" ht="14.4" x14ac:dyDescent="0.3">
      <c r="B3" s="668"/>
      <c r="D3" s="669"/>
      <c r="E3" s="670"/>
    </row>
    <row r="4" spans="2:5" ht="14.4" x14ac:dyDescent="0.3">
      <c r="B4" s="671"/>
      <c r="D4" s="672"/>
      <c r="E4" s="673"/>
    </row>
    <row r="5" spans="2:5" ht="14.4" x14ac:dyDescent="0.3">
      <c r="B5" s="674"/>
      <c r="D5" s="675"/>
      <c r="E5" s="67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6EB71-29F4-4497-AA33-FF12F9A27AB4}">
  <sheetPr>
    <tabColor theme="4" tint="0.59999389629810485"/>
  </sheetPr>
  <dimension ref="A1:AY44"/>
  <sheetViews>
    <sheetView showGridLines="0" workbookViewId="0">
      <selection activeCell="C19" sqref="C19:C20"/>
    </sheetView>
  </sheetViews>
  <sheetFormatPr defaultColWidth="0" defaultRowHeight="13.2" outlineLevelRow="2" outlineLevelCol="1" x14ac:dyDescent="0.3"/>
  <cols>
    <col min="1" max="1" width="2" style="565" customWidth="1"/>
    <col min="2" max="2" width="32.5546875" style="565" customWidth="1"/>
    <col min="3" max="7" width="9.33203125" style="565" customWidth="1"/>
    <col min="8" max="8" width="9.33203125" style="565" customWidth="1" outlineLevel="1"/>
    <col min="9" max="9" width="9.44140625" style="565" customWidth="1"/>
    <col min="10" max="10" width="32.44140625" style="565" customWidth="1"/>
    <col min="11" max="49" width="9.44140625" style="565" customWidth="1"/>
    <col min="50" max="51" width="0" style="565" hidden="1" customWidth="1"/>
    <col min="52" max="16384" width="9.44140625" style="565" hidden="1"/>
  </cols>
  <sheetData>
    <row r="1" spans="1:48" x14ac:dyDescent="0.3">
      <c r="B1" s="566" t="s">
        <v>1012</v>
      </c>
      <c r="C1" s="567">
        <v>4</v>
      </c>
      <c r="D1" s="567">
        <v>5</v>
      </c>
      <c r="E1" s="567">
        <v>6</v>
      </c>
      <c r="F1" s="567">
        <v>8</v>
      </c>
      <c r="G1" s="567">
        <v>9</v>
      </c>
      <c r="H1" s="567">
        <v>10</v>
      </c>
      <c r="J1" s="565">
        <v>1</v>
      </c>
      <c r="K1" s="565">
        <v>2</v>
      </c>
      <c r="L1" s="565">
        <v>3</v>
      </c>
      <c r="M1" s="565">
        <v>4</v>
      </c>
      <c r="N1" s="565">
        <v>5</v>
      </c>
      <c r="O1" s="565">
        <v>6</v>
      </c>
      <c r="P1" s="565">
        <v>7</v>
      </c>
      <c r="Q1" s="565">
        <v>8</v>
      </c>
      <c r="R1" s="565">
        <v>9</v>
      </c>
      <c r="S1" s="565">
        <v>10</v>
      </c>
      <c r="T1" s="565">
        <v>11</v>
      </c>
      <c r="U1" s="565">
        <v>12</v>
      </c>
      <c r="V1" s="565">
        <v>13</v>
      </c>
      <c r="W1" s="565">
        <v>14</v>
      </c>
      <c r="X1" s="565">
        <v>15</v>
      </c>
      <c r="Y1" s="565">
        <v>16</v>
      </c>
      <c r="Z1" s="565">
        <v>17</v>
      </c>
      <c r="AA1" s="565">
        <v>18</v>
      </c>
      <c r="AB1" s="565">
        <v>19</v>
      </c>
      <c r="AC1" s="565">
        <v>20</v>
      </c>
      <c r="AD1" s="565">
        <v>21</v>
      </c>
      <c r="AE1" s="565">
        <v>22</v>
      </c>
      <c r="AF1" s="565">
        <v>23</v>
      </c>
      <c r="AG1" s="565">
        <v>24</v>
      </c>
      <c r="AH1" s="565">
        <v>25</v>
      </c>
      <c r="AI1" s="565">
        <v>26</v>
      </c>
      <c r="AJ1" s="565">
        <v>27</v>
      </c>
      <c r="AK1" s="565">
        <v>28</v>
      </c>
      <c r="AL1" s="565">
        <v>29</v>
      </c>
      <c r="AM1" s="565">
        <v>30</v>
      </c>
      <c r="AN1" s="565">
        <v>31</v>
      </c>
      <c r="AO1" s="565">
        <v>32</v>
      </c>
      <c r="AP1" s="565">
        <v>33</v>
      </c>
      <c r="AQ1" s="565">
        <v>34</v>
      </c>
      <c r="AR1" s="565">
        <v>35</v>
      </c>
      <c r="AS1" s="565">
        <v>36</v>
      </c>
      <c r="AT1" s="565">
        <v>37</v>
      </c>
      <c r="AU1" s="565">
        <v>38</v>
      </c>
      <c r="AV1" s="565">
        <v>39</v>
      </c>
    </row>
    <row r="3" spans="1:48" s="568" customFormat="1" x14ac:dyDescent="0.3">
      <c r="A3" s="684"/>
      <c r="B3" s="685" t="str">
        <f>Historiek!$A$2</f>
        <v>Dossier</v>
      </c>
      <c r="C3" s="686" t="str">
        <f t="shared" ref="C3:D5" si="0">IF(C$1="","",VLOOKUP($B3,$J$3:$AQ$36,C$1,FALSE))</f>
        <v>Actuals</v>
      </c>
      <c r="D3" s="687" t="str">
        <f t="shared" si="0"/>
        <v>Actuals</v>
      </c>
      <c r="E3" s="688" t="str">
        <f>IF(E$1="","",VLOOKUP($B3,$J$3:$AX$38,E$1,FALSE))</f>
        <v>Actuals</v>
      </c>
      <c r="F3" s="686" t="str">
        <f t="shared" ref="F3:H5" si="1">IF(F$1="","",VLOOKUP($B3,$J$3:$AQ$36,F$1,FALSE))</f>
        <v>Budget</v>
      </c>
      <c r="G3" s="687" t="str">
        <f t="shared" si="1"/>
        <v>Budget</v>
      </c>
      <c r="H3" s="688" t="str">
        <f t="shared" si="1"/>
        <v>Budget</v>
      </c>
      <c r="I3" s="611"/>
      <c r="J3" s="569" t="str">
        <f>B3</f>
        <v>Dossier</v>
      </c>
      <c r="K3" s="570" t="s">
        <v>886</v>
      </c>
      <c r="L3" s="570" t="s">
        <v>886</v>
      </c>
      <c r="M3" s="571" t="s">
        <v>886</v>
      </c>
      <c r="N3" s="570" t="s">
        <v>886</v>
      </c>
      <c r="O3" s="570" t="s">
        <v>886</v>
      </c>
      <c r="P3" s="570"/>
      <c r="Q3" s="570" t="s">
        <v>887</v>
      </c>
      <c r="R3" s="570" t="s">
        <v>887</v>
      </c>
      <c r="S3" s="570" t="s">
        <v>887</v>
      </c>
      <c r="T3" s="570" t="s">
        <v>887</v>
      </c>
      <c r="U3" s="570" t="s">
        <v>887</v>
      </c>
      <c r="V3" s="570"/>
      <c r="W3" s="570"/>
      <c r="X3" s="570"/>
      <c r="Y3" s="570"/>
      <c r="Z3" s="570"/>
      <c r="AA3" s="570"/>
      <c r="AB3" s="570"/>
      <c r="AC3" s="570"/>
      <c r="AD3" s="570"/>
      <c r="AE3" s="570"/>
      <c r="AF3" s="570"/>
      <c r="AG3" s="570"/>
      <c r="AH3" s="570"/>
      <c r="AI3" s="571"/>
      <c r="AJ3" s="571"/>
      <c r="AK3" s="571"/>
      <c r="AL3" s="571"/>
      <c r="AM3" s="571"/>
      <c r="AN3" s="571"/>
      <c r="AO3" s="571"/>
      <c r="AP3" s="571"/>
      <c r="AQ3" s="571"/>
      <c r="AR3" s="571"/>
      <c r="AS3" s="571"/>
      <c r="AT3" s="571"/>
      <c r="AU3" s="571"/>
      <c r="AV3" s="572"/>
    </row>
    <row r="4" spans="1:48" s="568" customFormat="1" x14ac:dyDescent="0.3">
      <c r="A4" s="689"/>
      <c r="B4" s="690" t="s">
        <v>6</v>
      </c>
      <c r="C4" s="691" t="str">
        <f t="shared" si="0"/>
        <v>FY 2020</v>
      </c>
      <c r="D4" s="692" t="str">
        <f t="shared" si="0"/>
        <v>FY 2021</v>
      </c>
      <c r="E4" s="693" t="str">
        <f>IF(E$1="","",VLOOKUP($B4,$J$3:$AX$38,E$1,FALSE))</f>
        <v>FY 2022</v>
      </c>
      <c r="F4" s="691" t="str">
        <f t="shared" si="1"/>
        <v>FY 2023</v>
      </c>
      <c r="G4" s="692" t="str">
        <f t="shared" si="1"/>
        <v>FY 2024</v>
      </c>
      <c r="H4" s="693" t="str">
        <f t="shared" si="1"/>
        <v>FY 2025</v>
      </c>
      <c r="I4" s="611"/>
      <c r="J4" s="573" t="str">
        <f>B4</f>
        <v>k€</v>
      </c>
      <c r="K4" s="574" t="s">
        <v>1016</v>
      </c>
      <c r="L4" s="574" t="s">
        <v>1017</v>
      </c>
      <c r="M4" s="575" t="s">
        <v>1013</v>
      </c>
      <c r="N4" s="575" t="s">
        <v>1014</v>
      </c>
      <c r="O4" s="575" t="s">
        <v>1015</v>
      </c>
      <c r="P4" s="575"/>
      <c r="Q4" s="574" t="s">
        <v>1018</v>
      </c>
      <c r="R4" s="574" t="s">
        <v>1019</v>
      </c>
      <c r="S4" s="574" t="s">
        <v>1043</v>
      </c>
      <c r="T4" s="574" t="s">
        <v>1044</v>
      </c>
      <c r="U4" s="574" t="s">
        <v>1045</v>
      </c>
      <c r="V4" s="574"/>
      <c r="W4" s="574"/>
      <c r="X4" s="574"/>
      <c r="Y4" s="574"/>
      <c r="Z4" s="574"/>
      <c r="AA4" s="574"/>
      <c r="AB4" s="574"/>
      <c r="AC4" s="574"/>
      <c r="AD4" s="574"/>
      <c r="AE4" s="574"/>
      <c r="AF4" s="574"/>
      <c r="AG4" s="574"/>
      <c r="AH4" s="574"/>
      <c r="AI4" s="575"/>
      <c r="AJ4" s="576"/>
      <c r="AK4" s="576"/>
      <c r="AL4" s="576"/>
      <c r="AM4" s="575"/>
      <c r="AN4" s="576"/>
      <c r="AO4" s="576"/>
      <c r="AP4" s="576"/>
      <c r="AQ4" s="575"/>
      <c r="AR4" s="575"/>
      <c r="AS4" s="575"/>
      <c r="AT4" s="575"/>
      <c r="AU4" s="575"/>
      <c r="AV4" s="577"/>
    </row>
    <row r="5" spans="1:48" s="568" customFormat="1" x14ac:dyDescent="0.3">
      <c r="A5" s="694"/>
      <c r="B5" s="695" t="s">
        <v>724</v>
      </c>
      <c r="C5" s="696">
        <f t="shared" si="0"/>
        <v>12</v>
      </c>
      <c r="D5" s="697">
        <f t="shared" si="0"/>
        <v>12</v>
      </c>
      <c r="E5" s="698">
        <f>IF(E$1="","",VLOOKUP($B5,$J$3:$AX$38,E$1,FALSE))</f>
        <v>12</v>
      </c>
      <c r="F5" s="696">
        <f t="shared" si="1"/>
        <v>12</v>
      </c>
      <c r="G5" s="697">
        <f t="shared" si="1"/>
        <v>12</v>
      </c>
      <c r="H5" s="698">
        <f t="shared" si="1"/>
        <v>12</v>
      </c>
      <c r="I5" s="611"/>
      <c r="J5" s="578" t="str">
        <f>B5</f>
        <v>Maanden</v>
      </c>
      <c r="K5" s="579">
        <v>12</v>
      </c>
      <c r="L5" s="579">
        <v>12</v>
      </c>
      <c r="M5" s="579">
        <v>12</v>
      </c>
      <c r="N5" s="579">
        <v>12</v>
      </c>
      <c r="O5" s="579">
        <v>12</v>
      </c>
      <c r="P5" s="579"/>
      <c r="Q5" s="579">
        <v>12</v>
      </c>
      <c r="R5" s="579">
        <v>12</v>
      </c>
      <c r="S5" s="579">
        <v>12</v>
      </c>
      <c r="T5" s="579">
        <v>12</v>
      </c>
      <c r="U5" s="579">
        <v>12</v>
      </c>
      <c r="V5" s="579"/>
      <c r="W5" s="579"/>
      <c r="X5" s="579"/>
      <c r="Y5" s="579"/>
      <c r="Z5" s="579"/>
      <c r="AA5" s="579"/>
      <c r="AB5" s="579"/>
      <c r="AC5" s="579"/>
      <c r="AD5" s="579"/>
      <c r="AE5" s="579"/>
      <c r="AF5" s="579"/>
      <c r="AG5" s="579"/>
      <c r="AH5" s="579"/>
      <c r="AI5" s="580"/>
      <c r="AJ5" s="579"/>
      <c r="AK5" s="579"/>
      <c r="AL5" s="579"/>
      <c r="AM5" s="580"/>
      <c r="AN5" s="579"/>
      <c r="AO5" s="579"/>
      <c r="AP5" s="579"/>
      <c r="AQ5" s="580"/>
      <c r="AR5" s="580"/>
      <c r="AS5" s="580"/>
      <c r="AT5" s="580"/>
      <c r="AU5" s="580"/>
      <c r="AV5" s="581"/>
    </row>
    <row r="6" spans="1:48" x14ac:dyDescent="0.3">
      <c r="A6" s="811" t="s">
        <v>1020</v>
      </c>
      <c r="B6" s="582" t="s">
        <v>888</v>
      </c>
      <c r="C6" s="583">
        <f t="shared" ref="C6:H15" si="2">IF($B6="","",IF(C$1="","",IF(VLOOKUP($B6,$J$3:$AW$36,C$1,FALSE)="","",VLOOKUP($B6,$J$3:$AW$36,C$1,FALSE))))</f>
        <v>0</v>
      </c>
      <c r="D6" s="584">
        <f t="shared" si="2"/>
        <v>0</v>
      </c>
      <c r="E6" s="585">
        <f t="shared" si="2"/>
        <v>0</v>
      </c>
      <c r="F6" s="583">
        <f t="shared" si="2"/>
        <v>0</v>
      </c>
      <c r="G6" s="584">
        <f t="shared" si="2"/>
        <v>0</v>
      </c>
      <c r="H6" s="585">
        <f t="shared" si="2"/>
        <v>0</v>
      </c>
      <c r="I6" s="593"/>
      <c r="J6" s="621" t="s">
        <v>888</v>
      </c>
      <c r="K6" s="586">
        <f>Historiek!B147/1000</f>
        <v>0</v>
      </c>
      <c r="L6" s="586">
        <f>Historiek!C147/1000</f>
        <v>0</v>
      </c>
      <c r="M6" s="586">
        <f>Historiek!D147/1000</f>
        <v>0</v>
      </c>
      <c r="N6" s="586">
        <f>Historiek!E147/1000</f>
        <v>0</v>
      </c>
      <c r="O6" s="586">
        <f>Historiek!F147/1000</f>
        <v>0</v>
      </c>
      <c r="P6" s="586"/>
      <c r="Q6" s="586">
        <f>'BP - Annual'!G52+'BP - Annual'!G58+'BP - Annual'!G59</f>
        <v>0</v>
      </c>
      <c r="R6" s="586">
        <f>'BP - Annual'!H52+'BP - Annual'!H58+'BP - Annual'!H59</f>
        <v>0</v>
      </c>
      <c r="S6" s="586">
        <f>'BP - Annual'!I52+'BP - Annual'!I58+'BP - Annual'!I59</f>
        <v>0</v>
      </c>
      <c r="T6" s="586">
        <f>'BP - Annual'!J52+'BP - Annual'!J58+'BP - Annual'!J59</f>
        <v>0</v>
      </c>
      <c r="U6" s="586">
        <f>'BP - Annual'!K52+'BP - Annual'!K58+'BP - Annual'!K59</f>
        <v>0</v>
      </c>
      <c r="V6" s="586"/>
      <c r="W6" s="586"/>
      <c r="X6" s="586"/>
      <c r="Y6" s="586"/>
      <c r="Z6" s="586"/>
      <c r="AA6" s="586"/>
      <c r="AB6" s="586"/>
      <c r="AC6" s="586"/>
      <c r="AD6" s="586"/>
      <c r="AE6" s="586"/>
      <c r="AF6" s="586"/>
      <c r="AG6" s="586"/>
      <c r="AH6" s="586"/>
      <c r="AI6" s="586"/>
      <c r="AJ6" s="586"/>
      <c r="AK6" s="586"/>
      <c r="AL6" s="586"/>
      <c r="AM6" s="586"/>
      <c r="AN6" s="586"/>
      <c r="AO6" s="586"/>
      <c r="AP6" s="586"/>
      <c r="AQ6" s="586"/>
      <c r="AR6" s="586"/>
      <c r="AS6" s="586"/>
      <c r="AT6" s="586"/>
      <c r="AU6" s="586"/>
      <c r="AV6" s="586"/>
    </row>
    <row r="7" spans="1:48" x14ac:dyDescent="0.3">
      <c r="A7" s="812"/>
      <c r="B7" s="588" t="s">
        <v>7</v>
      </c>
      <c r="C7" s="589">
        <f t="shared" si="2"/>
        <v>0</v>
      </c>
      <c r="D7" s="590">
        <f t="shared" si="2"/>
        <v>0</v>
      </c>
      <c r="E7" s="591">
        <f t="shared" si="2"/>
        <v>0</v>
      </c>
      <c r="F7" s="589">
        <f t="shared" si="2"/>
        <v>0</v>
      </c>
      <c r="G7" s="590">
        <f t="shared" si="2"/>
        <v>0</v>
      </c>
      <c r="H7" s="591">
        <f t="shared" si="2"/>
        <v>0</v>
      </c>
      <c r="I7" s="593"/>
      <c r="J7" s="621" t="s">
        <v>7</v>
      </c>
      <c r="K7" s="586">
        <f>Historiek!B148/1000</f>
        <v>0</v>
      </c>
      <c r="L7" s="586">
        <f>Historiek!C148/1000</f>
        <v>0</v>
      </c>
      <c r="M7" s="586">
        <f>Historiek!D148/1000</f>
        <v>0</v>
      </c>
      <c r="N7" s="586">
        <f>Historiek!E148/1000</f>
        <v>0</v>
      </c>
      <c r="O7" s="586">
        <f>Historiek!F148/1000</f>
        <v>0</v>
      </c>
      <c r="P7" s="586"/>
      <c r="Q7" s="586">
        <f>'BP - Annual'!G52</f>
        <v>0</v>
      </c>
      <c r="R7" s="586">
        <f>'BP - Annual'!H52</f>
        <v>0</v>
      </c>
      <c r="S7" s="586">
        <f>'BP - Annual'!I52</f>
        <v>0</v>
      </c>
      <c r="T7" s="586">
        <f>'BP - Annual'!J52</f>
        <v>0</v>
      </c>
      <c r="U7" s="586">
        <f>'BP - Annual'!K52</f>
        <v>0</v>
      </c>
      <c r="V7" s="586"/>
      <c r="W7" s="586"/>
      <c r="X7" s="586"/>
      <c r="Y7" s="586"/>
      <c r="Z7" s="586"/>
      <c r="AA7" s="586"/>
      <c r="AB7" s="586"/>
      <c r="AC7" s="586"/>
      <c r="AD7" s="586"/>
      <c r="AE7" s="586"/>
      <c r="AF7" s="586"/>
      <c r="AG7" s="586"/>
      <c r="AH7" s="586"/>
      <c r="AI7" s="586"/>
      <c r="AJ7" s="586"/>
      <c r="AK7" s="586"/>
      <c r="AL7" s="586"/>
      <c r="AM7" s="586"/>
      <c r="AN7" s="586"/>
      <c r="AO7" s="586"/>
      <c r="AP7" s="586"/>
      <c r="AQ7" s="586"/>
      <c r="AR7" s="586"/>
      <c r="AS7" s="586"/>
      <c r="AT7" s="586"/>
      <c r="AU7" s="586"/>
      <c r="AV7" s="586"/>
    </row>
    <row r="8" spans="1:48" x14ac:dyDescent="0.3">
      <c r="A8" s="812"/>
      <c r="B8" s="588" t="s">
        <v>725</v>
      </c>
      <c r="C8" s="589">
        <f t="shared" si="2"/>
        <v>0</v>
      </c>
      <c r="D8" s="590">
        <f t="shared" si="2"/>
        <v>0</v>
      </c>
      <c r="E8" s="591">
        <f t="shared" si="2"/>
        <v>0</v>
      </c>
      <c r="F8" s="589">
        <f t="shared" si="2"/>
        <v>0</v>
      </c>
      <c r="G8" s="590">
        <f t="shared" si="2"/>
        <v>0</v>
      </c>
      <c r="H8" s="591">
        <f t="shared" si="2"/>
        <v>0</v>
      </c>
      <c r="I8" s="593"/>
      <c r="J8" s="621" t="s">
        <v>725</v>
      </c>
      <c r="K8" s="586">
        <f>Resultaten!B11</f>
        <v>0</v>
      </c>
      <c r="L8" s="586">
        <f>Resultaten!C11</f>
        <v>0</v>
      </c>
      <c r="M8" s="586">
        <f>Resultaten!D11</f>
        <v>0</v>
      </c>
      <c r="N8" s="586">
        <f>Resultaten!E11</f>
        <v>0</v>
      </c>
      <c r="O8" s="586">
        <f>Resultaten!F11</f>
        <v>0</v>
      </c>
      <c r="P8" s="586"/>
      <c r="Q8" s="592">
        <f>'BP - Annual'!G54</f>
        <v>0</v>
      </c>
      <c r="R8" s="592">
        <f>'BP - Annual'!H54</f>
        <v>0</v>
      </c>
      <c r="S8" s="592">
        <f>'BP - Annual'!I54</f>
        <v>0</v>
      </c>
      <c r="T8" s="592">
        <f>'BP - Annual'!J54</f>
        <v>0</v>
      </c>
      <c r="U8" s="592">
        <f>'BP - Annual'!K54</f>
        <v>0</v>
      </c>
      <c r="V8" s="586"/>
      <c r="W8" s="586"/>
      <c r="X8" s="586"/>
      <c r="Y8" s="586"/>
      <c r="Z8" s="586"/>
      <c r="AA8" s="586"/>
      <c r="AB8" s="586"/>
      <c r="AC8" s="586"/>
      <c r="AD8" s="586"/>
      <c r="AE8" s="586"/>
      <c r="AF8" s="586"/>
      <c r="AG8" s="586"/>
      <c r="AH8" s="586"/>
      <c r="AI8" s="586"/>
      <c r="AJ8" s="586"/>
      <c r="AK8" s="586"/>
      <c r="AL8" s="586"/>
      <c r="AM8" s="586"/>
      <c r="AN8" s="586"/>
      <c r="AO8" s="586"/>
      <c r="AP8" s="586"/>
      <c r="AQ8" s="586"/>
      <c r="AR8" s="586"/>
      <c r="AS8" s="586"/>
      <c r="AT8" s="586"/>
      <c r="AU8" s="586"/>
      <c r="AV8" s="586"/>
    </row>
    <row r="9" spans="1:48" x14ac:dyDescent="0.3">
      <c r="A9" s="812"/>
      <c r="B9" s="588" t="s">
        <v>727</v>
      </c>
      <c r="C9" s="589">
        <f t="shared" si="2"/>
        <v>0</v>
      </c>
      <c r="D9" s="590">
        <f t="shared" si="2"/>
        <v>0</v>
      </c>
      <c r="E9" s="591">
        <f t="shared" si="2"/>
        <v>0</v>
      </c>
      <c r="F9" s="589">
        <f t="shared" si="2"/>
        <v>0</v>
      </c>
      <c r="G9" s="590">
        <f t="shared" si="2"/>
        <v>0</v>
      </c>
      <c r="H9" s="591">
        <f t="shared" si="2"/>
        <v>0</v>
      </c>
      <c r="I9" s="593"/>
      <c r="J9" s="621" t="s">
        <v>727</v>
      </c>
      <c r="K9" s="586">
        <f>Resultaten!B26</f>
        <v>0</v>
      </c>
      <c r="L9" s="586">
        <f>Resultaten!C26</f>
        <v>0</v>
      </c>
      <c r="M9" s="586">
        <f>Resultaten!D26</f>
        <v>0</v>
      </c>
      <c r="N9" s="586">
        <f>Resultaten!E26</f>
        <v>0</v>
      </c>
      <c r="O9" s="586">
        <f>Resultaten!F26</f>
        <v>0</v>
      </c>
      <c r="P9" s="586"/>
      <c r="Q9" s="586">
        <f>'BP - Annual'!G61</f>
        <v>0</v>
      </c>
      <c r="R9" s="586">
        <f>'BP - Annual'!H61</f>
        <v>0</v>
      </c>
      <c r="S9" s="586">
        <f>'BP - Annual'!I61</f>
        <v>0</v>
      </c>
      <c r="T9" s="586">
        <f>'BP - Annual'!J61</f>
        <v>0</v>
      </c>
      <c r="U9" s="586">
        <f>'BP - Annual'!K61</f>
        <v>0</v>
      </c>
      <c r="V9" s="586"/>
      <c r="W9" s="586"/>
      <c r="X9" s="586"/>
      <c r="Y9" s="586"/>
      <c r="Z9" s="586"/>
      <c r="AA9" s="586"/>
      <c r="AB9" s="586"/>
      <c r="AC9" s="586"/>
      <c r="AD9" s="586"/>
      <c r="AE9" s="586"/>
      <c r="AF9" s="586"/>
      <c r="AG9" s="586"/>
      <c r="AH9" s="586"/>
      <c r="AI9" s="586"/>
      <c r="AJ9" s="586"/>
      <c r="AK9" s="586"/>
      <c r="AL9" s="586"/>
      <c r="AM9" s="586"/>
      <c r="AN9" s="586"/>
      <c r="AO9" s="586"/>
      <c r="AP9" s="586"/>
      <c r="AQ9" s="586"/>
      <c r="AR9" s="586"/>
      <c r="AS9" s="586"/>
      <c r="AT9" s="586"/>
      <c r="AU9" s="586"/>
      <c r="AV9" s="586"/>
    </row>
    <row r="10" spans="1:48" outlineLevel="1" x14ac:dyDescent="0.3">
      <c r="A10" s="812"/>
      <c r="B10" s="593" t="s">
        <v>1021</v>
      </c>
      <c r="C10" s="633" t="str">
        <f t="shared" si="2"/>
        <v/>
      </c>
      <c r="D10" s="634" t="str">
        <f t="shared" si="2"/>
        <v/>
      </c>
      <c r="E10" s="635" t="str">
        <f t="shared" si="2"/>
        <v/>
      </c>
      <c r="F10" s="633" t="str">
        <f t="shared" si="2"/>
        <v/>
      </c>
      <c r="G10" s="634" t="str">
        <f t="shared" si="2"/>
        <v/>
      </c>
      <c r="H10" s="635" t="str">
        <f t="shared" si="2"/>
        <v/>
      </c>
      <c r="I10" s="593"/>
      <c r="J10" s="621" t="s">
        <v>889</v>
      </c>
      <c r="K10" s="586">
        <f>Resultaten!B31</f>
        <v>0</v>
      </c>
      <c r="L10" s="586">
        <f>Resultaten!C31</f>
        <v>0</v>
      </c>
      <c r="M10" s="586">
        <f>Resultaten!D31</f>
        <v>0</v>
      </c>
      <c r="N10" s="586">
        <f>Resultaten!E31</f>
        <v>0</v>
      </c>
      <c r="O10" s="586">
        <f>Resultaten!F31</f>
        <v>0</v>
      </c>
      <c r="P10" s="586"/>
      <c r="Q10" s="586">
        <f>'BP - Annual'!G64</f>
        <v>0</v>
      </c>
      <c r="R10" s="586">
        <f>'BP - Annual'!H64</f>
        <v>0</v>
      </c>
      <c r="S10" s="586">
        <f>'BP - Annual'!I64</f>
        <v>0</v>
      </c>
      <c r="T10" s="586">
        <f>'BP - Annual'!J64</f>
        <v>0</v>
      </c>
      <c r="U10" s="586">
        <f>'BP - Annual'!K64</f>
        <v>0</v>
      </c>
      <c r="V10" s="586"/>
      <c r="W10" s="586"/>
      <c r="X10" s="586"/>
      <c r="Y10" s="586"/>
      <c r="Z10" s="586"/>
      <c r="AA10" s="586"/>
      <c r="AB10" s="586"/>
      <c r="AC10" s="586"/>
      <c r="AD10" s="586"/>
      <c r="AE10" s="586"/>
      <c r="AF10" s="586"/>
      <c r="AG10" s="586"/>
      <c r="AH10" s="586"/>
      <c r="AI10" s="586"/>
      <c r="AJ10" s="586"/>
      <c r="AK10" s="586"/>
      <c r="AL10" s="586"/>
      <c r="AM10" s="586"/>
      <c r="AN10" s="586"/>
      <c r="AO10" s="586"/>
      <c r="AP10" s="586"/>
      <c r="AQ10" s="586"/>
      <c r="AR10" s="586"/>
      <c r="AS10" s="586"/>
      <c r="AT10" s="586"/>
      <c r="AU10" s="586"/>
      <c r="AV10" s="586"/>
    </row>
    <row r="11" spans="1:48" x14ac:dyDescent="0.3">
      <c r="A11" s="812"/>
      <c r="B11" s="588" t="s">
        <v>889</v>
      </c>
      <c r="C11" s="589">
        <f t="shared" si="2"/>
        <v>0</v>
      </c>
      <c r="D11" s="590">
        <f t="shared" si="2"/>
        <v>0</v>
      </c>
      <c r="E11" s="591">
        <f t="shared" si="2"/>
        <v>0</v>
      </c>
      <c r="F11" s="589">
        <f t="shared" si="2"/>
        <v>0</v>
      </c>
      <c r="G11" s="590">
        <f t="shared" si="2"/>
        <v>0</v>
      </c>
      <c r="H11" s="591">
        <f t="shared" si="2"/>
        <v>0</v>
      </c>
      <c r="I11" s="593"/>
      <c r="J11" s="621" t="s">
        <v>1022</v>
      </c>
      <c r="K11" s="586">
        <f>Resultaten!B48</f>
        <v>0</v>
      </c>
      <c r="L11" s="586">
        <f>Resultaten!C48</f>
        <v>0</v>
      </c>
      <c r="M11" s="586">
        <f>Resultaten!D48</f>
        <v>0</v>
      </c>
      <c r="N11" s="586">
        <f>Resultaten!E48</f>
        <v>0</v>
      </c>
      <c r="O11" s="586">
        <f>Resultaten!F48</f>
        <v>0</v>
      </c>
      <c r="P11" s="586"/>
      <c r="Q11" s="586">
        <f>'BP - Annual'!G74</f>
        <v>0</v>
      </c>
      <c r="R11" s="586">
        <f>'BP - Annual'!H74</f>
        <v>0</v>
      </c>
      <c r="S11" s="586">
        <f>'BP - Annual'!I74</f>
        <v>0</v>
      </c>
      <c r="T11" s="586">
        <f>'BP - Annual'!J74</f>
        <v>0</v>
      </c>
      <c r="U11" s="586">
        <f>'BP - Annual'!K74</f>
        <v>0</v>
      </c>
      <c r="V11" s="586"/>
      <c r="W11" s="586"/>
      <c r="X11" s="586"/>
      <c r="Y11" s="586"/>
      <c r="Z11" s="586"/>
      <c r="AA11" s="586"/>
      <c r="AB11" s="586"/>
      <c r="AC11" s="586"/>
      <c r="AD11" s="586"/>
      <c r="AE11" s="586"/>
      <c r="AF11" s="586"/>
      <c r="AG11" s="586"/>
      <c r="AH11" s="586"/>
      <c r="AI11" s="586"/>
      <c r="AJ11" s="586"/>
      <c r="AK11" s="586"/>
      <c r="AL11" s="586"/>
      <c r="AM11" s="586"/>
      <c r="AN11" s="586"/>
      <c r="AO11" s="586"/>
      <c r="AP11" s="586"/>
      <c r="AQ11" s="586"/>
      <c r="AR11" s="586"/>
      <c r="AS11" s="586"/>
      <c r="AT11" s="586"/>
      <c r="AU11" s="586"/>
      <c r="AV11" s="586"/>
    </row>
    <row r="12" spans="1:48" x14ac:dyDescent="0.3">
      <c r="A12" s="812"/>
      <c r="B12" s="588" t="s">
        <v>1023</v>
      </c>
      <c r="C12" s="589">
        <f t="shared" si="2"/>
        <v>0</v>
      </c>
      <c r="D12" s="590">
        <f t="shared" si="2"/>
        <v>0</v>
      </c>
      <c r="E12" s="591">
        <f t="shared" si="2"/>
        <v>0</v>
      </c>
      <c r="F12" s="589">
        <f t="shared" si="2"/>
        <v>0</v>
      </c>
      <c r="G12" s="590">
        <f t="shared" si="2"/>
        <v>0</v>
      </c>
      <c r="H12" s="591">
        <f t="shared" si="2"/>
        <v>0</v>
      </c>
      <c r="I12" s="593"/>
      <c r="J12" s="621" t="s">
        <v>890</v>
      </c>
      <c r="K12" s="586">
        <f>Resultaten!B49</f>
        <v>0</v>
      </c>
      <c r="L12" s="586">
        <f>Resultaten!C49</f>
        <v>0</v>
      </c>
      <c r="M12" s="586">
        <f>Resultaten!D49</f>
        <v>0</v>
      </c>
      <c r="N12" s="586">
        <f>Resultaten!E49</f>
        <v>0</v>
      </c>
      <c r="O12" s="586">
        <f>Resultaten!F49</f>
        <v>0</v>
      </c>
      <c r="P12" s="586"/>
      <c r="Q12" s="586">
        <f t="shared" ref="Q12" si="3">Q11+Q9-Q10</f>
        <v>0</v>
      </c>
      <c r="R12" s="586">
        <f t="shared" ref="R12" si="4">R11+R9-R10</f>
        <v>0</v>
      </c>
      <c r="S12" s="586">
        <f t="shared" ref="S12" si="5">S11+S9-S10</f>
        <v>0</v>
      </c>
      <c r="T12" s="586">
        <f t="shared" ref="T12" si="6">T11+T9-T10</f>
        <v>0</v>
      </c>
      <c r="U12" s="586">
        <f t="shared" ref="U12" si="7">U11+U9-U10</f>
        <v>0</v>
      </c>
      <c r="V12" s="586"/>
      <c r="W12" s="586"/>
      <c r="X12" s="586"/>
      <c r="Y12" s="586"/>
      <c r="Z12" s="586"/>
      <c r="AA12" s="586"/>
      <c r="AB12" s="586"/>
      <c r="AC12" s="586"/>
      <c r="AD12" s="586"/>
      <c r="AE12" s="586"/>
      <c r="AF12" s="586"/>
      <c r="AG12" s="586"/>
      <c r="AH12" s="586"/>
      <c r="AI12" s="586"/>
      <c r="AJ12" s="586"/>
      <c r="AK12" s="586"/>
      <c r="AL12" s="586"/>
      <c r="AM12" s="586"/>
      <c r="AN12" s="586"/>
      <c r="AO12" s="586"/>
      <c r="AP12" s="586"/>
      <c r="AQ12" s="586"/>
      <c r="AR12" s="586"/>
      <c r="AS12" s="586"/>
      <c r="AT12" s="586"/>
      <c r="AU12" s="586"/>
      <c r="AV12" s="586"/>
    </row>
    <row r="13" spans="1:48" x14ac:dyDescent="0.3">
      <c r="A13" s="812"/>
      <c r="B13" s="588" t="s">
        <v>890</v>
      </c>
      <c r="C13" s="589">
        <f t="shared" si="2"/>
        <v>0</v>
      </c>
      <c r="D13" s="590">
        <f t="shared" si="2"/>
        <v>0</v>
      </c>
      <c r="E13" s="591">
        <f t="shared" si="2"/>
        <v>0</v>
      </c>
      <c r="F13" s="589">
        <f t="shared" si="2"/>
        <v>0</v>
      </c>
      <c r="G13" s="590">
        <f t="shared" si="2"/>
        <v>0</v>
      </c>
      <c r="H13" s="591">
        <f t="shared" si="2"/>
        <v>0</v>
      </c>
      <c r="I13" s="593"/>
      <c r="J13" s="621" t="s">
        <v>891</v>
      </c>
      <c r="K13" s="586">
        <f>Historiek!B416/1000</f>
        <v>0</v>
      </c>
      <c r="L13" s="586">
        <f>Historiek!C416/1000</f>
        <v>0</v>
      </c>
      <c r="M13" s="586">
        <f>Historiek!D416/1000</f>
        <v>0</v>
      </c>
      <c r="N13" s="586">
        <f>Historiek!E416/1000</f>
        <v>0</v>
      </c>
      <c r="O13" s="586">
        <f>Historiek!F416/1000</f>
        <v>0</v>
      </c>
      <c r="P13" s="586"/>
      <c r="Q13" s="586">
        <f>'BP - Annual'!G86</f>
        <v>0</v>
      </c>
      <c r="R13" s="586">
        <f>'BP - Annual'!H86</f>
        <v>0</v>
      </c>
      <c r="S13" s="586">
        <f>'BP - Annual'!I86</f>
        <v>0</v>
      </c>
      <c r="T13" s="586">
        <f>'BP - Annual'!J86</f>
        <v>0</v>
      </c>
      <c r="U13" s="586">
        <f>'BP - Annual'!K86</f>
        <v>0</v>
      </c>
      <c r="V13" s="586"/>
      <c r="W13" s="586"/>
      <c r="X13" s="586"/>
      <c r="Y13" s="586"/>
      <c r="Z13" s="586"/>
      <c r="AA13" s="586"/>
      <c r="AB13" s="586"/>
      <c r="AC13" s="586"/>
      <c r="AD13" s="586"/>
      <c r="AE13" s="586"/>
      <c r="AF13" s="586"/>
      <c r="AG13" s="586"/>
      <c r="AH13" s="586"/>
      <c r="AI13" s="586"/>
      <c r="AJ13" s="586"/>
      <c r="AK13" s="586"/>
      <c r="AL13" s="586"/>
      <c r="AM13" s="586"/>
      <c r="AN13" s="586"/>
      <c r="AO13" s="586"/>
      <c r="AP13" s="586"/>
      <c r="AQ13" s="586"/>
      <c r="AR13" s="586"/>
      <c r="AS13" s="586"/>
      <c r="AT13" s="586"/>
      <c r="AU13" s="586"/>
      <c r="AV13" s="586"/>
    </row>
    <row r="14" spans="1:48" x14ac:dyDescent="0.3">
      <c r="A14" s="812"/>
      <c r="B14" s="597" t="s">
        <v>1024</v>
      </c>
      <c r="C14" s="598" t="str">
        <f t="shared" si="2"/>
        <v/>
      </c>
      <c r="D14" s="599" t="str">
        <f t="shared" si="2"/>
        <v/>
      </c>
      <c r="E14" s="600" t="str">
        <f t="shared" si="2"/>
        <v/>
      </c>
      <c r="F14" s="598" t="str">
        <f t="shared" si="2"/>
        <v/>
      </c>
      <c r="G14" s="599" t="str">
        <f t="shared" si="2"/>
        <v/>
      </c>
      <c r="H14" s="600" t="str">
        <f t="shared" si="2"/>
        <v/>
      </c>
      <c r="I14" s="593"/>
      <c r="J14" s="621" t="s">
        <v>892</v>
      </c>
      <c r="K14" s="626"/>
      <c r="L14" s="626"/>
      <c r="M14" s="626"/>
      <c r="N14" s="626"/>
      <c r="O14" s="626"/>
      <c r="P14" s="586"/>
      <c r="Q14" s="626"/>
      <c r="R14" s="626"/>
      <c r="S14" s="626"/>
      <c r="T14" s="626"/>
      <c r="U14" s="626"/>
      <c r="V14" s="586"/>
      <c r="W14" s="586"/>
      <c r="X14" s="586"/>
      <c r="Y14" s="586"/>
      <c r="Z14" s="586"/>
      <c r="AA14" s="586"/>
      <c r="AB14" s="586"/>
      <c r="AC14" s="586"/>
      <c r="AD14" s="586"/>
      <c r="AE14" s="586"/>
      <c r="AF14" s="586"/>
      <c r="AG14" s="586"/>
      <c r="AH14" s="586"/>
      <c r="AI14" s="586"/>
      <c r="AJ14" s="586"/>
      <c r="AK14" s="586"/>
      <c r="AL14" s="586"/>
      <c r="AM14" s="586"/>
      <c r="AN14" s="586"/>
      <c r="AO14" s="586"/>
      <c r="AP14" s="586"/>
      <c r="AQ14" s="586"/>
      <c r="AR14" s="586"/>
      <c r="AS14" s="586"/>
      <c r="AT14" s="586"/>
      <c r="AU14" s="586"/>
      <c r="AV14" s="586"/>
    </row>
    <row r="15" spans="1:48" x14ac:dyDescent="0.3">
      <c r="A15" s="811" t="s">
        <v>1025</v>
      </c>
      <c r="B15" s="582" t="s">
        <v>894</v>
      </c>
      <c r="C15" s="583">
        <f t="shared" si="2"/>
        <v>0</v>
      </c>
      <c r="D15" s="584">
        <f t="shared" si="2"/>
        <v>0</v>
      </c>
      <c r="E15" s="585">
        <f t="shared" si="2"/>
        <v>0</v>
      </c>
      <c r="F15" s="583">
        <f t="shared" si="2"/>
        <v>0</v>
      </c>
      <c r="G15" s="584">
        <f t="shared" si="2"/>
        <v>0</v>
      </c>
      <c r="H15" s="585">
        <f t="shared" si="2"/>
        <v>0</v>
      </c>
      <c r="I15" s="593"/>
      <c r="J15" s="621" t="s">
        <v>893</v>
      </c>
      <c r="K15" s="626"/>
      <c r="L15" s="626"/>
      <c r="M15" s="626"/>
      <c r="N15" s="626"/>
      <c r="O15" s="626"/>
      <c r="P15" s="586"/>
      <c r="Q15" s="626"/>
      <c r="R15" s="626"/>
      <c r="S15" s="626"/>
      <c r="T15" s="626"/>
      <c r="U15" s="626"/>
      <c r="V15" s="586"/>
      <c r="W15" s="586"/>
      <c r="X15" s="586"/>
      <c r="Y15" s="586"/>
      <c r="Z15" s="586"/>
      <c r="AA15" s="586"/>
      <c r="AB15" s="586"/>
      <c r="AC15" s="586"/>
      <c r="AD15" s="586"/>
      <c r="AE15" s="586"/>
      <c r="AF15" s="586"/>
      <c r="AG15" s="586"/>
      <c r="AH15" s="586"/>
      <c r="AI15" s="586"/>
      <c r="AJ15" s="586"/>
      <c r="AK15" s="586"/>
      <c r="AL15" s="586"/>
      <c r="AM15" s="586"/>
      <c r="AN15" s="586"/>
      <c r="AO15" s="586"/>
      <c r="AP15" s="586"/>
      <c r="AQ15" s="586"/>
      <c r="AR15" s="586"/>
      <c r="AS15" s="586"/>
      <c r="AT15" s="586"/>
      <c r="AU15" s="586"/>
      <c r="AV15" s="586"/>
    </row>
    <row r="16" spans="1:48" x14ac:dyDescent="0.3">
      <c r="A16" s="812"/>
      <c r="B16" s="588" t="s">
        <v>895</v>
      </c>
      <c r="C16" s="589">
        <f t="shared" ref="C16:H23" si="8">IF($B16="","",IF(C$1="","",IF(VLOOKUP($B16,$J$3:$AW$36,C$1,FALSE)="","",VLOOKUP($B16,$J$3:$AW$36,C$1,FALSE))))</f>
        <v>0</v>
      </c>
      <c r="D16" s="590">
        <f t="shared" si="8"/>
        <v>0</v>
      </c>
      <c r="E16" s="591">
        <f t="shared" si="8"/>
        <v>0</v>
      </c>
      <c r="F16" s="589">
        <f t="shared" si="8"/>
        <v>0</v>
      </c>
      <c r="G16" s="590">
        <f t="shared" si="8"/>
        <v>0</v>
      </c>
      <c r="H16" s="591">
        <f t="shared" si="8"/>
        <v>0</v>
      </c>
      <c r="I16" s="593"/>
      <c r="J16" s="601" t="s">
        <v>894</v>
      </c>
      <c r="K16" s="586">
        <f>Balans!B7</f>
        <v>0</v>
      </c>
      <c r="L16" s="586">
        <f>Balans!C7</f>
        <v>0</v>
      </c>
      <c r="M16" s="586">
        <f>Balans!D7</f>
        <v>0</v>
      </c>
      <c r="N16" s="586">
        <f>Balans!E7</f>
        <v>0</v>
      </c>
      <c r="O16" s="586">
        <f>Balans!F7</f>
        <v>0</v>
      </c>
      <c r="P16" s="586"/>
      <c r="Q16" s="586">
        <f>'BP - Annual'!G10</f>
        <v>0</v>
      </c>
      <c r="R16" s="586">
        <f>'BP - Annual'!H10</f>
        <v>0</v>
      </c>
      <c r="S16" s="586">
        <f>'BP - Annual'!I10</f>
        <v>0</v>
      </c>
      <c r="T16" s="586">
        <f>'BP - Annual'!J10</f>
        <v>0</v>
      </c>
      <c r="U16" s="586">
        <f>'BP - Annual'!K10</f>
        <v>0</v>
      </c>
      <c r="V16" s="586"/>
      <c r="W16" s="586"/>
      <c r="X16" s="586"/>
      <c r="Y16" s="586"/>
      <c r="Z16" s="586"/>
      <c r="AA16" s="586"/>
      <c r="AB16" s="586"/>
      <c r="AC16" s="586"/>
      <c r="AD16" s="586"/>
      <c r="AE16" s="586"/>
      <c r="AF16" s="586"/>
      <c r="AG16" s="586"/>
      <c r="AH16" s="586"/>
      <c r="AI16" s="586"/>
      <c r="AJ16" s="586"/>
      <c r="AK16" s="586"/>
      <c r="AL16" s="586"/>
      <c r="AM16" s="586"/>
      <c r="AN16" s="586"/>
      <c r="AO16" s="586"/>
      <c r="AP16" s="586"/>
      <c r="AQ16" s="586"/>
      <c r="AR16" s="586"/>
      <c r="AS16" s="586"/>
      <c r="AT16" s="586"/>
      <c r="AU16" s="586"/>
      <c r="AV16" s="586"/>
    </row>
    <row r="17" spans="1:48" x14ac:dyDescent="0.3">
      <c r="A17" s="812"/>
      <c r="B17" s="588" t="s">
        <v>897</v>
      </c>
      <c r="C17" s="589">
        <f t="shared" si="8"/>
        <v>0</v>
      </c>
      <c r="D17" s="590">
        <f t="shared" si="8"/>
        <v>0</v>
      </c>
      <c r="E17" s="591">
        <f t="shared" si="8"/>
        <v>0</v>
      </c>
      <c r="F17" s="589">
        <f t="shared" si="8"/>
        <v>0</v>
      </c>
      <c r="G17" s="590">
        <f t="shared" si="8"/>
        <v>0</v>
      </c>
      <c r="H17" s="591">
        <f t="shared" si="8"/>
        <v>0</v>
      </c>
      <c r="I17" s="593"/>
      <c r="J17" s="601" t="s">
        <v>895</v>
      </c>
      <c r="K17" s="586">
        <f>Balans!B8</f>
        <v>0</v>
      </c>
      <c r="L17" s="586">
        <f>Balans!C8</f>
        <v>0</v>
      </c>
      <c r="M17" s="586">
        <f>Balans!D8</f>
        <v>0</v>
      </c>
      <c r="N17" s="586">
        <f>Balans!E8</f>
        <v>0</v>
      </c>
      <c r="O17" s="586">
        <f>Balans!F8</f>
        <v>0</v>
      </c>
      <c r="P17" s="586"/>
      <c r="Q17" s="586">
        <f>'BP - Annual'!G11</f>
        <v>0</v>
      </c>
      <c r="R17" s="586">
        <f>'BP - Annual'!H11</f>
        <v>0</v>
      </c>
      <c r="S17" s="586">
        <f>'BP - Annual'!I11</f>
        <v>0</v>
      </c>
      <c r="T17" s="586">
        <f>'BP - Annual'!J11</f>
        <v>0</v>
      </c>
      <c r="U17" s="586">
        <f>'BP - Annual'!K11</f>
        <v>0</v>
      </c>
      <c r="V17" s="586"/>
      <c r="W17" s="586"/>
      <c r="X17" s="586"/>
      <c r="Y17" s="586"/>
      <c r="Z17" s="586"/>
      <c r="AA17" s="586"/>
      <c r="AB17" s="586"/>
      <c r="AC17" s="586"/>
      <c r="AD17" s="586"/>
      <c r="AE17" s="586"/>
      <c r="AF17" s="586"/>
      <c r="AG17" s="586"/>
      <c r="AH17" s="586"/>
      <c r="AI17" s="586"/>
      <c r="AJ17" s="586"/>
      <c r="AK17" s="586"/>
      <c r="AL17" s="586"/>
      <c r="AM17" s="586"/>
      <c r="AN17" s="586"/>
      <c r="AO17" s="586"/>
      <c r="AP17" s="586"/>
      <c r="AQ17" s="586"/>
      <c r="AR17" s="586"/>
      <c r="AS17" s="586"/>
      <c r="AT17" s="586"/>
      <c r="AU17" s="586"/>
      <c r="AV17" s="586"/>
    </row>
    <row r="18" spans="1:48" x14ac:dyDescent="0.3">
      <c r="A18" s="812"/>
      <c r="B18" s="588" t="s">
        <v>953</v>
      </c>
      <c r="C18" s="589">
        <f t="shared" si="8"/>
        <v>0</v>
      </c>
      <c r="D18" s="590">
        <f t="shared" si="8"/>
        <v>0</v>
      </c>
      <c r="E18" s="591">
        <f t="shared" si="8"/>
        <v>0</v>
      </c>
      <c r="F18" s="589">
        <f t="shared" si="8"/>
        <v>0</v>
      </c>
      <c r="G18" s="590">
        <f t="shared" si="8"/>
        <v>0</v>
      </c>
      <c r="H18" s="591">
        <f t="shared" si="8"/>
        <v>0</v>
      </c>
      <c r="I18" s="593"/>
      <c r="J18" s="601" t="s">
        <v>896</v>
      </c>
      <c r="K18" s="586">
        <f>Balans!B12</f>
        <v>0</v>
      </c>
      <c r="L18" s="586">
        <f>Balans!C12</f>
        <v>0</v>
      </c>
      <c r="M18" s="586">
        <f>Balans!D12</f>
        <v>0</v>
      </c>
      <c r="N18" s="586">
        <f>Balans!E12</f>
        <v>0</v>
      </c>
      <c r="O18" s="586">
        <f>Balans!F12</f>
        <v>0</v>
      </c>
      <c r="P18" s="586"/>
      <c r="Q18" s="586">
        <f>'BP - Annual'!G12</f>
        <v>0</v>
      </c>
      <c r="R18" s="586">
        <f>'BP - Annual'!H12</f>
        <v>0</v>
      </c>
      <c r="S18" s="586">
        <f>'BP - Annual'!I12</f>
        <v>0</v>
      </c>
      <c r="T18" s="586">
        <f>'BP - Annual'!J12</f>
        <v>0</v>
      </c>
      <c r="U18" s="586">
        <f>'BP - Annual'!K12</f>
        <v>0</v>
      </c>
      <c r="V18" s="586"/>
      <c r="W18" s="586"/>
      <c r="X18" s="586"/>
      <c r="Y18" s="586"/>
      <c r="Z18" s="586"/>
      <c r="AA18" s="586"/>
      <c r="AB18" s="586"/>
      <c r="AC18" s="586"/>
      <c r="AD18" s="586"/>
      <c r="AE18" s="586"/>
      <c r="AF18" s="586"/>
      <c r="AG18" s="586"/>
      <c r="AH18" s="586"/>
      <c r="AI18" s="586"/>
      <c r="AJ18" s="586"/>
      <c r="AK18" s="586"/>
      <c r="AL18" s="586"/>
      <c r="AM18" s="586"/>
      <c r="AN18" s="586"/>
      <c r="AO18" s="586"/>
      <c r="AP18" s="586"/>
      <c r="AQ18" s="586"/>
      <c r="AR18" s="586"/>
      <c r="AS18" s="586"/>
      <c r="AT18" s="586"/>
      <c r="AU18" s="586"/>
      <c r="AV18" s="586"/>
    </row>
    <row r="19" spans="1:48" x14ac:dyDescent="0.3">
      <c r="A19" s="812"/>
      <c r="B19" s="588" t="s">
        <v>27</v>
      </c>
      <c r="C19" s="589">
        <f t="shared" si="8"/>
        <v>0</v>
      </c>
      <c r="D19" s="590">
        <f t="shared" si="8"/>
        <v>0</v>
      </c>
      <c r="E19" s="591">
        <f t="shared" si="8"/>
        <v>0</v>
      </c>
      <c r="F19" s="589">
        <f t="shared" si="8"/>
        <v>0</v>
      </c>
      <c r="G19" s="590">
        <f t="shared" si="8"/>
        <v>0</v>
      </c>
      <c r="H19" s="591">
        <f t="shared" si="8"/>
        <v>0</v>
      </c>
      <c r="I19" s="593"/>
      <c r="J19" s="601" t="s">
        <v>897</v>
      </c>
      <c r="K19" s="586">
        <f>Balans!B76</f>
        <v>0</v>
      </c>
      <c r="L19" s="586">
        <f>Balans!C76</f>
        <v>0</v>
      </c>
      <c r="M19" s="586">
        <f>Balans!D76</f>
        <v>0</v>
      </c>
      <c r="N19" s="586">
        <f>Balans!E76</f>
        <v>0</v>
      </c>
      <c r="O19" s="586">
        <f>Balans!F76</f>
        <v>0</v>
      </c>
      <c r="P19" s="586"/>
      <c r="Q19" s="586">
        <f>'BP - Annual'!G127</f>
        <v>0</v>
      </c>
      <c r="R19" s="586">
        <f>'BP - Annual'!H127</f>
        <v>0</v>
      </c>
      <c r="S19" s="586">
        <f>'BP - Annual'!I127</f>
        <v>0</v>
      </c>
      <c r="T19" s="586">
        <f>'BP - Annual'!J127</f>
        <v>0</v>
      </c>
      <c r="U19" s="586">
        <f>'BP - Annual'!K127</f>
        <v>0</v>
      </c>
      <c r="V19" s="586"/>
      <c r="W19" s="586"/>
      <c r="X19" s="586"/>
      <c r="Y19" s="586"/>
      <c r="Z19" s="586"/>
      <c r="AA19" s="586"/>
      <c r="AB19" s="586"/>
      <c r="AC19" s="586"/>
      <c r="AD19" s="586"/>
      <c r="AE19" s="586"/>
      <c r="AF19" s="586"/>
      <c r="AG19" s="586"/>
      <c r="AH19" s="586"/>
      <c r="AI19" s="586"/>
      <c r="AJ19" s="586"/>
      <c r="AK19" s="586"/>
      <c r="AL19" s="586"/>
      <c r="AM19" s="586"/>
      <c r="AN19" s="586"/>
      <c r="AO19" s="586"/>
      <c r="AP19" s="586"/>
      <c r="AQ19" s="586"/>
      <c r="AR19" s="586"/>
      <c r="AS19" s="586"/>
      <c r="AT19" s="586"/>
      <c r="AU19" s="586"/>
      <c r="AV19" s="586"/>
    </row>
    <row r="20" spans="1:48" x14ac:dyDescent="0.3">
      <c r="A20" s="812"/>
      <c r="B20" s="597" t="s">
        <v>77</v>
      </c>
      <c r="C20" s="598">
        <f t="shared" si="8"/>
        <v>0</v>
      </c>
      <c r="D20" s="599">
        <f t="shared" si="8"/>
        <v>0</v>
      </c>
      <c r="E20" s="600">
        <f t="shared" si="8"/>
        <v>0</v>
      </c>
      <c r="F20" s="598">
        <f t="shared" si="8"/>
        <v>0</v>
      </c>
      <c r="G20" s="599">
        <f t="shared" si="8"/>
        <v>0</v>
      </c>
      <c r="H20" s="600">
        <f t="shared" si="8"/>
        <v>0</v>
      </c>
      <c r="I20" s="593"/>
      <c r="J20" s="601" t="s">
        <v>25</v>
      </c>
      <c r="K20" s="586">
        <f>Balans!B33</f>
        <v>0</v>
      </c>
      <c r="L20" s="586">
        <f>Balans!C33</f>
        <v>0</v>
      </c>
      <c r="M20" s="586">
        <f>Balans!D33</f>
        <v>0</v>
      </c>
      <c r="N20" s="586">
        <f>Balans!E33</f>
        <v>0</v>
      </c>
      <c r="O20" s="586">
        <f>Balans!F33</f>
        <v>0</v>
      </c>
      <c r="P20" s="586"/>
      <c r="Q20" s="586">
        <f>'BP - Annual'!G24</f>
        <v>0</v>
      </c>
      <c r="R20" s="586">
        <f>'BP - Annual'!H24</f>
        <v>0</v>
      </c>
      <c r="S20" s="586">
        <f>'BP - Annual'!I24</f>
        <v>0</v>
      </c>
      <c r="T20" s="586">
        <f>'BP - Annual'!J24</f>
        <v>0</v>
      </c>
      <c r="U20" s="586">
        <f>'BP - Annual'!K24</f>
        <v>0</v>
      </c>
      <c r="V20" s="586"/>
      <c r="W20" s="586"/>
      <c r="X20" s="586"/>
      <c r="Y20" s="586"/>
      <c r="Z20" s="586"/>
      <c r="AA20" s="586"/>
      <c r="AB20" s="586"/>
      <c r="AC20" s="586"/>
      <c r="AD20" s="586"/>
      <c r="AE20" s="586"/>
      <c r="AF20" s="586"/>
      <c r="AG20" s="586"/>
      <c r="AH20" s="586"/>
      <c r="AI20" s="586"/>
      <c r="AJ20" s="586"/>
      <c r="AK20" s="586"/>
      <c r="AL20" s="586"/>
      <c r="AM20" s="586"/>
      <c r="AN20" s="586"/>
      <c r="AO20" s="586"/>
      <c r="AP20" s="586"/>
      <c r="AQ20" s="586"/>
      <c r="AR20" s="586"/>
      <c r="AS20" s="586"/>
      <c r="AT20" s="586"/>
      <c r="AU20" s="586"/>
      <c r="AV20" s="586"/>
    </row>
    <row r="21" spans="1:48" ht="15" customHeight="1" outlineLevel="1" x14ac:dyDescent="0.3">
      <c r="A21" s="811" t="s">
        <v>1026</v>
      </c>
      <c r="B21" s="582" t="s">
        <v>746</v>
      </c>
      <c r="C21" s="602" t="str">
        <f t="shared" si="8"/>
        <v/>
      </c>
      <c r="D21" s="603" t="str">
        <f t="shared" si="8"/>
        <v/>
      </c>
      <c r="E21" s="604" t="str">
        <f t="shared" si="8"/>
        <v/>
      </c>
      <c r="F21" s="602" t="str">
        <f t="shared" si="8"/>
        <v/>
      </c>
      <c r="G21" s="603" t="str">
        <f t="shared" si="8"/>
        <v/>
      </c>
      <c r="H21" s="604" t="str">
        <f t="shared" si="8"/>
        <v/>
      </c>
      <c r="I21" s="593"/>
      <c r="J21" s="601" t="s">
        <v>27</v>
      </c>
      <c r="K21" s="586">
        <f>Balans!B38</f>
        <v>0</v>
      </c>
      <c r="L21" s="586">
        <f>Balans!C38</f>
        <v>0</v>
      </c>
      <c r="M21" s="586">
        <f>Balans!D38</f>
        <v>0</v>
      </c>
      <c r="N21" s="586">
        <f>Balans!E38</f>
        <v>0</v>
      </c>
      <c r="O21" s="586">
        <f>Balans!F38</f>
        <v>0</v>
      </c>
      <c r="P21" s="586"/>
      <c r="Q21" s="586">
        <f>'BP - Annual'!G29</f>
        <v>0</v>
      </c>
      <c r="R21" s="586">
        <f>'BP - Annual'!H29</f>
        <v>0</v>
      </c>
      <c r="S21" s="586">
        <f>'BP - Annual'!I29</f>
        <v>0</v>
      </c>
      <c r="T21" s="586">
        <f>'BP - Annual'!J29</f>
        <v>0</v>
      </c>
      <c r="U21" s="586">
        <f>'BP - Annual'!K29</f>
        <v>0</v>
      </c>
      <c r="V21" s="586"/>
      <c r="W21" s="586"/>
      <c r="X21" s="586"/>
      <c r="Y21" s="586"/>
      <c r="Z21" s="586"/>
      <c r="AA21" s="586"/>
      <c r="AB21" s="586"/>
      <c r="AC21" s="586"/>
      <c r="AD21" s="586"/>
      <c r="AE21" s="586"/>
      <c r="AF21" s="586"/>
      <c r="AG21" s="586"/>
      <c r="AH21" s="586"/>
      <c r="AI21" s="586"/>
      <c r="AJ21" s="586"/>
      <c r="AK21" s="586"/>
      <c r="AL21" s="586"/>
      <c r="AM21" s="586"/>
      <c r="AN21" s="586"/>
      <c r="AO21" s="586"/>
      <c r="AP21" s="586"/>
      <c r="AQ21" s="586"/>
      <c r="AR21" s="586"/>
      <c r="AS21" s="586"/>
      <c r="AT21" s="586"/>
      <c r="AU21" s="586"/>
      <c r="AV21" s="586"/>
    </row>
    <row r="22" spans="1:48" outlineLevel="1" x14ac:dyDescent="0.3">
      <c r="A22" s="812"/>
      <c r="B22" s="588" t="s">
        <v>793</v>
      </c>
      <c r="C22" s="629" t="str">
        <f t="shared" si="8"/>
        <v/>
      </c>
      <c r="D22" s="630" t="str">
        <f t="shared" si="8"/>
        <v/>
      </c>
      <c r="E22" s="631" t="str">
        <f t="shared" si="8"/>
        <v/>
      </c>
      <c r="F22" s="605" t="str">
        <f t="shared" si="8"/>
        <v/>
      </c>
      <c r="G22" s="628" t="str">
        <f t="shared" si="8"/>
        <v/>
      </c>
      <c r="H22" s="606" t="str">
        <f t="shared" si="8"/>
        <v/>
      </c>
      <c r="I22" s="593"/>
      <c r="J22" s="601" t="s">
        <v>77</v>
      </c>
      <c r="K22" s="586">
        <f>Balans!B63</f>
        <v>0</v>
      </c>
      <c r="L22" s="586">
        <f>Balans!C63</f>
        <v>0</v>
      </c>
      <c r="M22" s="586">
        <f>Balans!D63</f>
        <v>0</v>
      </c>
      <c r="N22" s="586">
        <f>Balans!E63</f>
        <v>0</v>
      </c>
      <c r="O22" s="586">
        <f>Balans!F63</f>
        <v>0</v>
      </c>
      <c r="P22" s="586"/>
      <c r="Q22" s="586">
        <f>'BP - Annual'!G141</f>
        <v>0</v>
      </c>
      <c r="R22" s="586">
        <f>'BP - Annual'!H141</f>
        <v>0</v>
      </c>
      <c r="S22" s="586">
        <f>'BP - Annual'!I141</f>
        <v>0</v>
      </c>
      <c r="T22" s="586">
        <f>'BP - Annual'!J141</f>
        <v>0</v>
      </c>
      <c r="U22" s="586">
        <f>'BP - Annual'!K141</f>
        <v>0</v>
      </c>
      <c r="V22" s="586"/>
      <c r="W22" s="586"/>
      <c r="X22" s="586"/>
      <c r="Y22" s="586"/>
      <c r="Z22" s="586"/>
      <c r="AA22" s="586"/>
      <c r="AB22" s="586"/>
      <c r="AC22" s="586"/>
      <c r="AD22" s="586"/>
      <c r="AE22" s="586"/>
      <c r="AF22" s="586"/>
      <c r="AG22" s="586"/>
      <c r="AH22" s="586"/>
      <c r="AI22" s="586"/>
      <c r="AJ22" s="586"/>
      <c r="AK22" s="586"/>
      <c r="AL22" s="586"/>
      <c r="AM22" s="586"/>
      <c r="AN22" s="586"/>
      <c r="AO22" s="586"/>
      <c r="AP22" s="586"/>
      <c r="AQ22" s="586"/>
      <c r="AR22" s="586"/>
      <c r="AS22" s="586"/>
      <c r="AT22" s="586"/>
      <c r="AU22" s="586"/>
      <c r="AV22" s="586"/>
    </row>
    <row r="23" spans="1:48" outlineLevel="2" x14ac:dyDescent="0.3">
      <c r="A23" s="812"/>
      <c r="B23" s="588" t="s">
        <v>750</v>
      </c>
      <c r="C23" s="629" t="str">
        <f t="shared" si="8"/>
        <v/>
      </c>
      <c r="D23" s="630" t="str">
        <f t="shared" si="8"/>
        <v/>
      </c>
      <c r="E23" s="631" t="str">
        <f t="shared" si="8"/>
        <v/>
      </c>
      <c r="F23" s="605" t="str">
        <f t="shared" si="8"/>
        <v/>
      </c>
      <c r="G23" s="628" t="str">
        <f t="shared" si="8"/>
        <v/>
      </c>
      <c r="H23" s="606" t="str">
        <f t="shared" si="8"/>
        <v/>
      </c>
      <c r="I23" s="593"/>
      <c r="J23" s="601" t="s">
        <v>953</v>
      </c>
      <c r="K23" s="586">
        <f>Balans!B23</f>
        <v>0</v>
      </c>
      <c r="L23" s="586">
        <f>Balans!C23</f>
        <v>0</v>
      </c>
      <c r="M23" s="586">
        <f>Balans!D23</f>
        <v>0</v>
      </c>
      <c r="N23" s="586">
        <f>Balans!E23</f>
        <v>0</v>
      </c>
      <c r="O23" s="586">
        <f>Balans!F23</f>
        <v>0</v>
      </c>
      <c r="P23" s="586"/>
      <c r="Q23" s="586">
        <f>'BP - Annual'!G17</f>
        <v>0</v>
      </c>
      <c r="R23" s="586">
        <f>'BP - Annual'!H17</f>
        <v>0</v>
      </c>
      <c r="S23" s="586">
        <f>'BP - Annual'!I17</f>
        <v>0</v>
      </c>
      <c r="T23" s="586">
        <f>'BP - Annual'!J17</f>
        <v>0</v>
      </c>
      <c r="U23" s="586">
        <f>'BP - Annual'!K17</f>
        <v>0</v>
      </c>
      <c r="V23" s="586"/>
      <c r="W23" s="586"/>
      <c r="X23" s="586"/>
      <c r="Y23" s="586"/>
      <c r="Z23" s="586"/>
      <c r="AA23" s="586"/>
      <c r="AB23" s="586"/>
      <c r="AC23" s="586"/>
      <c r="AD23" s="586"/>
      <c r="AE23" s="586"/>
      <c r="AF23" s="586"/>
      <c r="AG23" s="586"/>
      <c r="AH23" s="586"/>
      <c r="AI23" s="586"/>
      <c r="AJ23" s="586"/>
      <c r="AK23" s="586"/>
      <c r="AL23" s="586"/>
      <c r="AM23" s="586"/>
      <c r="AN23" s="586"/>
      <c r="AO23" s="586"/>
      <c r="AP23" s="586"/>
      <c r="AQ23" s="586"/>
      <c r="AR23" s="586"/>
      <c r="AS23" s="586"/>
      <c r="AT23" s="586"/>
      <c r="AU23" s="586"/>
      <c r="AV23" s="586"/>
    </row>
    <row r="24" spans="1:48" outlineLevel="2" x14ac:dyDescent="0.3">
      <c r="A24" s="812"/>
      <c r="B24" s="588" t="s">
        <v>898</v>
      </c>
      <c r="C24" s="629">
        <f>IF($B24="","",IF(C$1="","",IF(VLOOKUP($B24,$J$3:$AW$36,C$1,FALSE)="","",VLOOKUP($B24,$J$3:$AW$36,C$1,FALSE))))</f>
        <v>0</v>
      </c>
      <c r="D24" s="630">
        <f t="shared" ref="C24:H25" si="9">IF($B24="","",IF(D$1="","",IF(VLOOKUP($B24,$J$3:$AW$36,D$1,FALSE)="","",VLOOKUP($B24,$J$3:$AW$36,D$1,FALSE))))</f>
        <v>0</v>
      </c>
      <c r="E24" s="631">
        <f t="shared" si="9"/>
        <v>0</v>
      </c>
      <c r="F24" s="629" t="str">
        <f t="shared" si="9"/>
        <v/>
      </c>
      <c r="G24" s="630" t="str">
        <f t="shared" si="9"/>
        <v/>
      </c>
      <c r="H24" s="631" t="str">
        <f t="shared" si="9"/>
        <v/>
      </c>
      <c r="I24" s="593"/>
      <c r="J24" s="601" t="s">
        <v>19</v>
      </c>
      <c r="K24" s="586">
        <f>Balans!B19</f>
        <v>0</v>
      </c>
      <c r="L24" s="586">
        <f>Balans!C19</f>
        <v>0</v>
      </c>
      <c r="M24" s="586">
        <f>Balans!D19</f>
        <v>0</v>
      </c>
      <c r="N24" s="586">
        <f>Balans!E19</f>
        <v>0</v>
      </c>
      <c r="O24" s="586">
        <f>Balans!F19</f>
        <v>0</v>
      </c>
      <c r="P24" s="586"/>
      <c r="Q24" s="586">
        <f>'BP - Annual'!G15</f>
        <v>0</v>
      </c>
      <c r="R24" s="586">
        <f>'BP - Annual'!H15</f>
        <v>0</v>
      </c>
      <c r="S24" s="586">
        <f>'BP - Annual'!I15</f>
        <v>0</v>
      </c>
      <c r="T24" s="586">
        <f>'BP - Annual'!J15</f>
        <v>0</v>
      </c>
      <c r="U24" s="586">
        <f>'BP - Annual'!K15</f>
        <v>0</v>
      </c>
      <c r="V24" s="586"/>
      <c r="W24" s="586"/>
      <c r="X24" s="586"/>
      <c r="Y24" s="586"/>
      <c r="Z24" s="586"/>
      <c r="AA24" s="586"/>
      <c r="AB24" s="586"/>
      <c r="AC24" s="586"/>
      <c r="AD24" s="586"/>
      <c r="AE24" s="586"/>
      <c r="AF24" s="586"/>
      <c r="AG24" s="586"/>
      <c r="AH24" s="586"/>
      <c r="AI24" s="586"/>
      <c r="AJ24" s="586"/>
      <c r="AK24" s="586"/>
      <c r="AL24" s="586"/>
      <c r="AM24" s="586"/>
      <c r="AN24" s="586"/>
      <c r="AO24" s="586"/>
      <c r="AP24" s="586"/>
      <c r="AQ24" s="586"/>
      <c r="AR24" s="586"/>
      <c r="AS24" s="586"/>
      <c r="AT24" s="586"/>
      <c r="AU24" s="586"/>
      <c r="AV24" s="586"/>
    </row>
    <row r="25" spans="1:48" outlineLevel="2" x14ac:dyDescent="0.3">
      <c r="A25" s="813"/>
      <c r="B25" s="588" t="s">
        <v>747</v>
      </c>
      <c r="C25" s="629" t="str">
        <f t="shared" si="9"/>
        <v/>
      </c>
      <c r="D25" s="630" t="str">
        <f t="shared" si="9"/>
        <v/>
      </c>
      <c r="E25" s="631" t="str">
        <f t="shared" si="9"/>
        <v/>
      </c>
      <c r="F25" s="629" t="str">
        <f t="shared" si="9"/>
        <v/>
      </c>
      <c r="G25" s="630" t="str">
        <f t="shared" si="9"/>
        <v/>
      </c>
      <c r="H25" s="631" t="str">
        <f t="shared" si="9"/>
        <v/>
      </c>
      <c r="I25" s="593"/>
      <c r="J25" s="565" t="s">
        <v>898</v>
      </c>
      <c r="K25" s="587">
        <f>Balans!B65</f>
        <v>0</v>
      </c>
      <c r="L25" s="587">
        <f>Balans!C65</f>
        <v>0</v>
      </c>
      <c r="M25" s="587">
        <f>Balans!D65</f>
        <v>0</v>
      </c>
      <c r="N25" s="587">
        <f>Balans!E65</f>
        <v>0</v>
      </c>
      <c r="O25" s="587">
        <f>Balans!F65</f>
        <v>0</v>
      </c>
      <c r="Q25" s="625"/>
      <c r="R25" s="625"/>
      <c r="S25" s="625"/>
      <c r="T25" s="625"/>
      <c r="U25" s="625"/>
    </row>
    <row r="26" spans="1:48" x14ac:dyDescent="0.3">
      <c r="A26" s="811" t="s">
        <v>1027</v>
      </c>
      <c r="B26" s="582" t="s">
        <v>891</v>
      </c>
      <c r="C26" s="583">
        <f t="shared" ref="C26:H26" si="10">IF($B26="","",IF(C$1="","",IF(VLOOKUP($B26,$J$3:$AW$36,C$1,FALSE)="","",VLOOKUP($B26,$J$3:$AW$36,C$1,FALSE))))</f>
        <v>0</v>
      </c>
      <c r="D26" s="584">
        <f t="shared" si="10"/>
        <v>0</v>
      </c>
      <c r="E26" s="585">
        <f t="shared" si="10"/>
        <v>0</v>
      </c>
      <c r="F26" s="583">
        <f t="shared" si="10"/>
        <v>0</v>
      </c>
      <c r="G26" s="584">
        <f t="shared" si="10"/>
        <v>0</v>
      </c>
      <c r="H26" s="585">
        <f t="shared" si="10"/>
        <v>0</v>
      </c>
      <c r="I26" s="593"/>
      <c r="J26" s="565" t="s">
        <v>747</v>
      </c>
      <c r="K26" s="568" t="str">
        <f>Summary!B38</f>
        <v/>
      </c>
      <c r="L26" s="568" t="str">
        <f>Summary!C38</f>
        <v/>
      </c>
      <c r="M26" s="568" t="str">
        <f>Summary!D38</f>
        <v/>
      </c>
      <c r="N26" s="568" t="str">
        <f>Summary!E38</f>
        <v/>
      </c>
      <c r="O26" s="568" t="str">
        <f>Summary!F38</f>
        <v/>
      </c>
      <c r="Q26" s="625"/>
      <c r="R26" s="625"/>
      <c r="S26" s="625"/>
      <c r="T26" s="625"/>
      <c r="U26" s="625"/>
    </row>
    <row r="27" spans="1:48" x14ac:dyDescent="0.3">
      <c r="A27" s="812"/>
      <c r="B27" s="588" t="s">
        <v>1028</v>
      </c>
      <c r="C27" s="589"/>
      <c r="D27" s="590"/>
      <c r="E27" s="591"/>
      <c r="F27" s="589"/>
      <c r="G27" s="590"/>
      <c r="H27" s="591"/>
      <c r="I27" s="593"/>
      <c r="J27" s="565" t="s">
        <v>750</v>
      </c>
      <c r="K27" s="625" t="str">
        <f>Summary!B41</f>
        <v/>
      </c>
      <c r="L27" s="625" t="str">
        <f>Summary!C41</f>
        <v/>
      </c>
      <c r="M27" s="625" t="str">
        <f>Summary!D41</f>
        <v/>
      </c>
      <c r="N27" s="625" t="str">
        <f>Summary!E41</f>
        <v/>
      </c>
      <c r="O27" s="625" t="str">
        <f>Summary!F41</f>
        <v/>
      </c>
      <c r="Q27" s="625"/>
      <c r="R27" s="625"/>
      <c r="S27" s="625"/>
      <c r="T27" s="625"/>
      <c r="U27" s="625"/>
    </row>
    <row r="28" spans="1:48" x14ac:dyDescent="0.3">
      <c r="A28" s="813"/>
      <c r="B28" s="597" t="s">
        <v>1029</v>
      </c>
      <c r="C28" s="607" t="str">
        <f t="shared" ref="C28:H28" si="11">IF($B28="","",IF(C$1="","",IF(VLOOKUP($B28,$J$3:$AW$36,C$1,FALSE)="","",VLOOKUP($B28,$J$3:$AW$36,C$1,FALSE))))</f>
        <v/>
      </c>
      <c r="D28" s="608" t="str">
        <f t="shared" si="11"/>
        <v/>
      </c>
      <c r="E28" s="609" t="str">
        <f t="shared" si="11"/>
        <v/>
      </c>
      <c r="F28" s="607" t="str">
        <f t="shared" si="11"/>
        <v/>
      </c>
      <c r="G28" s="608" t="str">
        <f t="shared" si="11"/>
        <v/>
      </c>
      <c r="H28" s="609" t="str">
        <f t="shared" si="11"/>
        <v/>
      </c>
      <c r="I28" s="593"/>
      <c r="J28" s="565" t="s">
        <v>1028</v>
      </c>
      <c r="K28" s="625"/>
      <c r="L28" s="625"/>
      <c r="M28" s="625"/>
      <c r="N28" s="625"/>
      <c r="O28" s="625"/>
      <c r="Q28" s="625"/>
      <c r="R28" s="625"/>
      <c r="S28" s="625"/>
      <c r="T28" s="625"/>
      <c r="U28" s="625"/>
    </row>
    <row r="29" spans="1:48" ht="13.35" customHeight="1" outlineLevel="1" x14ac:dyDescent="0.3">
      <c r="A29" s="811" t="s">
        <v>1030</v>
      </c>
      <c r="B29" s="610" t="s">
        <v>1031</v>
      </c>
      <c r="C29" s="602" t="str">
        <f t="shared" ref="C29:H33" si="12">IF($B29="","",IF(C$1="","",IF(VLOOKUP($B29,$J$3:$AW$47,C$1,FALSE)="","",VLOOKUP($B29,$J$3:$AW$47,C$1,FALSE))))</f>
        <v/>
      </c>
      <c r="D29" s="603" t="str">
        <f t="shared" si="12"/>
        <v/>
      </c>
      <c r="E29" s="603" t="str">
        <f t="shared" si="12"/>
        <v/>
      </c>
      <c r="F29" s="602" t="str">
        <f t="shared" si="12"/>
        <v/>
      </c>
      <c r="G29" s="603" t="str">
        <f t="shared" si="12"/>
        <v/>
      </c>
      <c r="H29" s="604" t="str">
        <f t="shared" si="12"/>
        <v/>
      </c>
      <c r="I29" s="593"/>
    </row>
    <row r="30" spans="1:48" outlineLevel="1" x14ac:dyDescent="0.3">
      <c r="A30" s="812"/>
      <c r="B30" s="593" t="s">
        <v>1032</v>
      </c>
      <c r="C30" s="611" t="str">
        <f t="shared" si="12"/>
        <v/>
      </c>
      <c r="D30" s="568" t="str">
        <f t="shared" si="12"/>
        <v/>
      </c>
      <c r="E30" s="568" t="str">
        <f t="shared" si="12"/>
        <v/>
      </c>
      <c r="F30" s="611" t="str">
        <f t="shared" si="12"/>
        <v/>
      </c>
      <c r="G30" s="568" t="str">
        <f t="shared" si="12"/>
        <v/>
      </c>
      <c r="H30" s="612" t="str">
        <f t="shared" si="12"/>
        <v/>
      </c>
      <c r="I30" s="593"/>
    </row>
    <row r="31" spans="1:48" outlineLevel="1" x14ac:dyDescent="0.3">
      <c r="A31" s="812"/>
      <c r="B31" s="593" t="s">
        <v>1033</v>
      </c>
      <c r="C31" s="611" t="str">
        <f t="shared" si="12"/>
        <v/>
      </c>
      <c r="D31" s="568" t="str">
        <f t="shared" si="12"/>
        <v/>
      </c>
      <c r="E31" s="568" t="str">
        <f t="shared" si="12"/>
        <v/>
      </c>
      <c r="F31" s="611" t="str">
        <f t="shared" si="12"/>
        <v/>
      </c>
      <c r="G31" s="568" t="str">
        <f t="shared" si="12"/>
        <v/>
      </c>
      <c r="H31" s="612" t="str">
        <f t="shared" si="12"/>
        <v/>
      </c>
      <c r="I31" s="593"/>
      <c r="J31" s="565" t="s">
        <v>1029</v>
      </c>
      <c r="K31" s="625"/>
      <c r="L31" s="625"/>
      <c r="M31" s="625"/>
      <c r="N31" s="625"/>
      <c r="O31" s="625"/>
      <c r="P31" s="625"/>
      <c r="Q31" s="625"/>
      <c r="R31" s="625"/>
      <c r="S31" s="625"/>
      <c r="T31" s="625"/>
      <c r="U31" s="625"/>
      <c r="V31" s="625"/>
      <c r="W31" s="625"/>
      <c r="X31" s="625"/>
      <c r="Y31" s="625"/>
      <c r="Z31" s="625"/>
      <c r="AA31" s="625"/>
      <c r="AB31" s="625"/>
      <c r="AC31" s="625"/>
      <c r="AD31" s="625"/>
      <c r="AE31" s="625"/>
      <c r="AF31" s="625"/>
      <c r="AG31" s="625"/>
      <c r="AH31" s="625"/>
      <c r="AI31" s="625"/>
      <c r="AJ31" s="625"/>
      <c r="AK31" s="625"/>
      <c r="AL31" s="625"/>
      <c r="AM31" s="625"/>
      <c r="AN31" s="625"/>
      <c r="AO31" s="625"/>
      <c r="AP31" s="625"/>
      <c r="AQ31" s="625"/>
      <c r="AR31" s="625"/>
      <c r="AS31" s="625"/>
      <c r="AT31" s="625"/>
      <c r="AU31" s="625"/>
      <c r="AV31" s="625"/>
    </row>
    <row r="32" spans="1:48" outlineLevel="1" x14ac:dyDescent="0.3">
      <c r="A32" s="812"/>
      <c r="B32" s="593" t="s">
        <v>1034</v>
      </c>
      <c r="C32" s="594" t="str">
        <f t="shared" si="12"/>
        <v/>
      </c>
      <c r="D32" s="595" t="str">
        <f t="shared" si="12"/>
        <v/>
      </c>
      <c r="E32" s="595" t="str">
        <f t="shared" si="12"/>
        <v/>
      </c>
      <c r="F32" s="594" t="str">
        <f t="shared" si="12"/>
        <v/>
      </c>
      <c r="G32" s="595" t="str">
        <f t="shared" si="12"/>
        <v/>
      </c>
      <c r="H32" s="596" t="str">
        <f t="shared" si="12"/>
        <v/>
      </c>
      <c r="I32" s="593"/>
      <c r="J32" s="565" t="s">
        <v>1021</v>
      </c>
      <c r="K32" s="616" t="str">
        <f>IF(K9&gt;0,K9/K6,"")</f>
        <v/>
      </c>
      <c r="L32" s="616" t="str">
        <f t="shared" ref="L32:O32" si="13">IF(L9&gt;0,L9/L6,"")</f>
        <v/>
      </c>
      <c r="M32" s="616" t="str">
        <f t="shared" si="13"/>
        <v/>
      </c>
      <c r="N32" s="616" t="str">
        <f t="shared" si="13"/>
        <v/>
      </c>
      <c r="O32" s="616" t="str">
        <f t="shared" si="13"/>
        <v/>
      </c>
      <c r="P32" s="616" t="str">
        <f t="shared" ref="P32:AV32" si="14">IF(P9&gt;0,P9/P6,"")</f>
        <v/>
      </c>
      <c r="Q32" s="616" t="str">
        <f t="shared" si="14"/>
        <v/>
      </c>
      <c r="R32" s="616" t="str">
        <f t="shared" si="14"/>
        <v/>
      </c>
      <c r="S32" s="616" t="str">
        <f t="shared" si="14"/>
        <v/>
      </c>
      <c r="T32" s="616" t="str">
        <f t="shared" si="14"/>
        <v/>
      </c>
      <c r="U32" s="616" t="str">
        <f t="shared" si="14"/>
        <v/>
      </c>
      <c r="V32" s="616" t="str">
        <f t="shared" si="14"/>
        <v/>
      </c>
      <c r="W32" s="616" t="str">
        <f t="shared" si="14"/>
        <v/>
      </c>
      <c r="X32" s="616" t="str">
        <f t="shared" si="14"/>
        <v/>
      </c>
      <c r="Y32" s="616" t="str">
        <f t="shared" si="14"/>
        <v/>
      </c>
      <c r="Z32" s="616" t="str">
        <f t="shared" si="14"/>
        <v/>
      </c>
      <c r="AA32" s="616" t="str">
        <f t="shared" si="14"/>
        <v/>
      </c>
      <c r="AB32" s="616" t="str">
        <f t="shared" si="14"/>
        <v/>
      </c>
      <c r="AC32" s="616" t="str">
        <f t="shared" si="14"/>
        <v/>
      </c>
      <c r="AD32" s="616" t="str">
        <f t="shared" si="14"/>
        <v/>
      </c>
      <c r="AE32" s="616" t="str">
        <f t="shared" si="14"/>
        <v/>
      </c>
      <c r="AF32" s="616" t="str">
        <f t="shared" si="14"/>
        <v/>
      </c>
      <c r="AG32" s="616" t="str">
        <f t="shared" si="14"/>
        <v/>
      </c>
      <c r="AH32" s="616" t="str">
        <f t="shared" si="14"/>
        <v/>
      </c>
      <c r="AI32" s="616" t="str">
        <f t="shared" si="14"/>
        <v/>
      </c>
      <c r="AJ32" s="616" t="str">
        <f t="shared" si="14"/>
        <v/>
      </c>
      <c r="AK32" s="616" t="str">
        <f t="shared" si="14"/>
        <v/>
      </c>
      <c r="AL32" s="616" t="str">
        <f t="shared" si="14"/>
        <v/>
      </c>
      <c r="AM32" s="616" t="str">
        <f t="shared" si="14"/>
        <v/>
      </c>
      <c r="AN32" s="616" t="str">
        <f t="shared" si="14"/>
        <v/>
      </c>
      <c r="AO32" s="616" t="str">
        <f t="shared" si="14"/>
        <v/>
      </c>
      <c r="AP32" s="616" t="str">
        <f t="shared" si="14"/>
        <v/>
      </c>
      <c r="AQ32" s="616" t="str">
        <f t="shared" si="14"/>
        <v/>
      </c>
      <c r="AR32" s="616" t="str">
        <f t="shared" si="14"/>
        <v/>
      </c>
      <c r="AS32" s="616" t="str">
        <f t="shared" si="14"/>
        <v/>
      </c>
      <c r="AT32" s="616" t="str">
        <f t="shared" si="14"/>
        <v/>
      </c>
      <c r="AU32" s="616" t="str">
        <f t="shared" si="14"/>
        <v/>
      </c>
      <c r="AV32" s="616" t="str">
        <f t="shared" si="14"/>
        <v/>
      </c>
    </row>
    <row r="33" spans="1:48" outlineLevel="1" x14ac:dyDescent="0.3">
      <c r="A33" s="813"/>
      <c r="B33" s="613" t="s">
        <v>1035</v>
      </c>
      <c r="C33" s="598" t="str">
        <f t="shared" si="12"/>
        <v>n/a</v>
      </c>
      <c r="D33" s="599" t="str">
        <f t="shared" si="12"/>
        <v>n/a</v>
      </c>
      <c r="E33" s="599" t="str">
        <f t="shared" si="12"/>
        <v>n/a</v>
      </c>
      <c r="F33" s="598" t="str">
        <f t="shared" si="12"/>
        <v>n/a</v>
      </c>
      <c r="G33" s="599" t="str">
        <f t="shared" si="12"/>
        <v>n/a</v>
      </c>
      <c r="H33" s="600" t="str">
        <f t="shared" si="12"/>
        <v>n/a</v>
      </c>
      <c r="I33" s="593"/>
      <c r="J33" s="565" t="s">
        <v>746</v>
      </c>
      <c r="K33" s="586" t="str">
        <f>IF(K9&gt;0,K22/(K9*12/K5),"")</f>
        <v/>
      </c>
      <c r="L33" s="586" t="str">
        <f t="shared" ref="L33:O33" si="15">IF(L9&gt;0,L22/(L9*12/L5),"")</f>
        <v/>
      </c>
      <c r="M33" s="586" t="str">
        <f t="shared" si="15"/>
        <v/>
      </c>
      <c r="N33" s="586" t="str">
        <f t="shared" si="15"/>
        <v/>
      </c>
      <c r="O33" s="586" t="str">
        <f t="shared" si="15"/>
        <v/>
      </c>
      <c r="P33" s="586" t="str">
        <f t="shared" ref="P33:AV33" si="16">IF(P9&gt;0,P22/(P9*12/P5),"")</f>
        <v/>
      </c>
      <c r="Q33" s="586" t="str">
        <f t="shared" si="16"/>
        <v/>
      </c>
      <c r="R33" s="586" t="str">
        <f t="shared" si="16"/>
        <v/>
      </c>
      <c r="S33" s="586" t="str">
        <f t="shared" si="16"/>
        <v/>
      </c>
      <c r="T33" s="586" t="str">
        <f t="shared" si="16"/>
        <v/>
      </c>
      <c r="U33" s="586" t="str">
        <f t="shared" si="16"/>
        <v/>
      </c>
      <c r="V33" s="586" t="str">
        <f t="shared" si="16"/>
        <v/>
      </c>
      <c r="W33" s="586" t="str">
        <f t="shared" si="16"/>
        <v/>
      </c>
      <c r="X33" s="586" t="str">
        <f t="shared" si="16"/>
        <v/>
      </c>
      <c r="Y33" s="586" t="str">
        <f t="shared" si="16"/>
        <v/>
      </c>
      <c r="Z33" s="586" t="str">
        <f t="shared" si="16"/>
        <v/>
      </c>
      <c r="AA33" s="586" t="str">
        <f t="shared" si="16"/>
        <v/>
      </c>
      <c r="AB33" s="586" t="str">
        <f t="shared" si="16"/>
        <v/>
      </c>
      <c r="AC33" s="586" t="str">
        <f t="shared" si="16"/>
        <v/>
      </c>
      <c r="AD33" s="586" t="str">
        <f t="shared" si="16"/>
        <v/>
      </c>
      <c r="AE33" s="586" t="str">
        <f t="shared" si="16"/>
        <v/>
      </c>
      <c r="AF33" s="586" t="str">
        <f t="shared" si="16"/>
        <v/>
      </c>
      <c r="AG33" s="586" t="str">
        <f t="shared" si="16"/>
        <v/>
      </c>
      <c r="AH33" s="586" t="str">
        <f t="shared" si="16"/>
        <v/>
      </c>
      <c r="AI33" s="586" t="str">
        <f t="shared" si="16"/>
        <v/>
      </c>
      <c r="AJ33" s="586" t="str">
        <f t="shared" si="16"/>
        <v/>
      </c>
      <c r="AK33" s="586" t="str">
        <f t="shared" si="16"/>
        <v/>
      </c>
      <c r="AL33" s="586" t="str">
        <f t="shared" si="16"/>
        <v/>
      </c>
      <c r="AM33" s="586" t="str">
        <f t="shared" si="16"/>
        <v/>
      </c>
      <c r="AN33" s="586" t="str">
        <f t="shared" si="16"/>
        <v/>
      </c>
      <c r="AO33" s="586" t="str">
        <f t="shared" si="16"/>
        <v/>
      </c>
      <c r="AP33" s="586" t="str">
        <f t="shared" si="16"/>
        <v/>
      </c>
      <c r="AQ33" s="586" t="str">
        <f t="shared" si="16"/>
        <v/>
      </c>
      <c r="AR33" s="586" t="str">
        <f t="shared" si="16"/>
        <v/>
      </c>
      <c r="AS33" s="586" t="str">
        <f t="shared" si="16"/>
        <v/>
      </c>
      <c r="AT33" s="586" t="str">
        <f t="shared" si="16"/>
        <v/>
      </c>
      <c r="AU33" s="586" t="str">
        <f t="shared" si="16"/>
        <v/>
      </c>
      <c r="AV33" s="586" t="str">
        <f t="shared" si="16"/>
        <v/>
      </c>
    </row>
    <row r="34" spans="1:48" outlineLevel="1" x14ac:dyDescent="0.3">
      <c r="A34" s="811" t="s">
        <v>1036</v>
      </c>
      <c r="B34" s="610" t="s">
        <v>1037</v>
      </c>
      <c r="C34" s="614"/>
      <c r="D34" s="615"/>
      <c r="E34" s="614"/>
      <c r="F34" s="614"/>
      <c r="G34" s="614"/>
      <c r="H34" s="622"/>
      <c r="I34" s="593"/>
      <c r="J34" s="565" t="s">
        <v>793</v>
      </c>
      <c r="K34" s="616" t="str">
        <f>IF(K20="","",IF(K20=0,"",IF(K21/K20&lt;=0,0,K21/K20)))</f>
        <v/>
      </c>
      <c r="L34" s="616" t="str">
        <f t="shared" ref="L34:O34" si="17">IF(L20="","",IF(L20=0,"",IF(L21/L20&lt;=0,0,L21/L20)))</f>
        <v/>
      </c>
      <c r="M34" s="616" t="str">
        <f t="shared" si="17"/>
        <v/>
      </c>
      <c r="N34" s="616" t="str">
        <f t="shared" si="17"/>
        <v/>
      </c>
      <c r="O34" s="616" t="str">
        <f t="shared" si="17"/>
        <v/>
      </c>
      <c r="P34" s="616" t="str">
        <f t="shared" ref="P34:AV34" si="18">IF(P20="","",IF(P20=0,"",IF(P21/P20&lt;=0,0,P21/P20)))</f>
        <v/>
      </c>
      <c r="Q34" s="616" t="str">
        <f t="shared" si="18"/>
        <v/>
      </c>
      <c r="R34" s="616" t="str">
        <f t="shared" si="18"/>
        <v/>
      </c>
      <c r="S34" s="616" t="str">
        <f t="shared" si="18"/>
        <v/>
      </c>
      <c r="T34" s="616" t="str">
        <f t="shared" si="18"/>
        <v/>
      </c>
      <c r="U34" s="616" t="str">
        <f t="shared" si="18"/>
        <v/>
      </c>
      <c r="V34" s="616" t="str">
        <f t="shared" si="18"/>
        <v/>
      </c>
      <c r="W34" s="616" t="str">
        <f t="shared" si="18"/>
        <v/>
      </c>
      <c r="X34" s="616" t="str">
        <f t="shared" si="18"/>
        <v/>
      </c>
      <c r="Y34" s="616" t="str">
        <f t="shared" si="18"/>
        <v/>
      </c>
      <c r="Z34" s="616" t="str">
        <f t="shared" si="18"/>
        <v/>
      </c>
      <c r="AA34" s="616" t="str">
        <f t="shared" si="18"/>
        <v/>
      </c>
      <c r="AB34" s="616" t="str">
        <f t="shared" si="18"/>
        <v/>
      </c>
      <c r="AC34" s="616" t="str">
        <f t="shared" si="18"/>
        <v/>
      </c>
      <c r="AD34" s="616" t="str">
        <f t="shared" si="18"/>
        <v/>
      </c>
      <c r="AE34" s="616" t="str">
        <f t="shared" si="18"/>
        <v/>
      </c>
      <c r="AF34" s="616" t="str">
        <f t="shared" si="18"/>
        <v/>
      </c>
      <c r="AG34" s="616" t="str">
        <f t="shared" si="18"/>
        <v/>
      </c>
      <c r="AH34" s="616" t="str">
        <f t="shared" si="18"/>
        <v/>
      </c>
      <c r="AI34" s="616" t="str">
        <f t="shared" si="18"/>
        <v/>
      </c>
      <c r="AJ34" s="616" t="str">
        <f t="shared" si="18"/>
        <v/>
      </c>
      <c r="AK34" s="616" t="str">
        <f t="shared" si="18"/>
        <v/>
      </c>
      <c r="AL34" s="616" t="str">
        <f t="shared" si="18"/>
        <v/>
      </c>
      <c r="AM34" s="616" t="str">
        <f t="shared" si="18"/>
        <v/>
      </c>
      <c r="AN34" s="616" t="str">
        <f t="shared" si="18"/>
        <v/>
      </c>
      <c r="AO34" s="616" t="str">
        <f t="shared" si="18"/>
        <v/>
      </c>
      <c r="AP34" s="616" t="str">
        <f t="shared" si="18"/>
        <v/>
      </c>
      <c r="AQ34" s="616" t="str">
        <f t="shared" si="18"/>
        <v/>
      </c>
      <c r="AR34" s="616" t="str">
        <f t="shared" si="18"/>
        <v/>
      </c>
      <c r="AS34" s="616" t="str">
        <f t="shared" si="18"/>
        <v/>
      </c>
      <c r="AT34" s="616" t="str">
        <f t="shared" si="18"/>
        <v/>
      </c>
      <c r="AU34" s="616" t="str">
        <f t="shared" si="18"/>
        <v/>
      </c>
      <c r="AV34" s="616" t="str">
        <f t="shared" si="18"/>
        <v/>
      </c>
    </row>
    <row r="35" spans="1:48" outlineLevel="1" x14ac:dyDescent="0.3">
      <c r="A35" s="812"/>
      <c r="B35" s="593" t="s">
        <v>1038</v>
      </c>
      <c r="D35" s="617"/>
      <c r="H35" s="623"/>
      <c r="I35" s="593"/>
      <c r="J35" s="565" t="s">
        <v>1024</v>
      </c>
      <c r="K35" s="586" t="str">
        <f>IF(K12&lt;0,K12/K5,"")</f>
        <v/>
      </c>
      <c r="L35" s="586" t="str">
        <f t="shared" ref="L35:O35" si="19">IF(L12&lt;0,L12/L5,"")</f>
        <v/>
      </c>
      <c r="M35" s="586" t="str">
        <f t="shared" si="19"/>
        <v/>
      </c>
      <c r="N35" s="586" t="str">
        <f t="shared" si="19"/>
        <v/>
      </c>
      <c r="O35" s="586" t="str">
        <f t="shared" si="19"/>
        <v/>
      </c>
      <c r="P35" s="586" t="str">
        <f t="shared" ref="P35:AV35" si="20">IF(P12&lt;0,P12/P5,"")</f>
        <v/>
      </c>
      <c r="Q35" s="586" t="str">
        <f t="shared" si="20"/>
        <v/>
      </c>
      <c r="R35" s="586" t="str">
        <f t="shared" si="20"/>
        <v/>
      </c>
      <c r="S35" s="586" t="str">
        <f t="shared" si="20"/>
        <v/>
      </c>
      <c r="T35" s="586" t="str">
        <f t="shared" si="20"/>
        <v/>
      </c>
      <c r="U35" s="586" t="str">
        <f t="shared" si="20"/>
        <v/>
      </c>
      <c r="V35" s="586" t="str">
        <f t="shared" si="20"/>
        <v/>
      </c>
      <c r="W35" s="586" t="str">
        <f t="shared" si="20"/>
        <v/>
      </c>
      <c r="X35" s="586" t="str">
        <f t="shared" si="20"/>
        <v/>
      </c>
      <c r="Y35" s="586" t="str">
        <f t="shared" si="20"/>
        <v/>
      </c>
      <c r="Z35" s="586" t="str">
        <f t="shared" si="20"/>
        <v/>
      </c>
      <c r="AA35" s="586" t="str">
        <f t="shared" si="20"/>
        <v/>
      </c>
      <c r="AB35" s="586" t="str">
        <f t="shared" si="20"/>
        <v/>
      </c>
      <c r="AC35" s="586" t="str">
        <f t="shared" si="20"/>
        <v/>
      </c>
      <c r="AD35" s="586" t="str">
        <f t="shared" si="20"/>
        <v/>
      </c>
      <c r="AE35" s="586" t="str">
        <f t="shared" si="20"/>
        <v/>
      </c>
      <c r="AF35" s="586" t="str">
        <f t="shared" si="20"/>
        <v/>
      </c>
      <c r="AG35" s="586" t="str">
        <f t="shared" si="20"/>
        <v/>
      </c>
      <c r="AH35" s="586" t="str">
        <f t="shared" si="20"/>
        <v/>
      </c>
      <c r="AI35" s="586" t="str">
        <f t="shared" si="20"/>
        <v/>
      </c>
      <c r="AJ35" s="586" t="str">
        <f t="shared" si="20"/>
        <v/>
      </c>
      <c r="AK35" s="586" t="str">
        <f t="shared" si="20"/>
        <v/>
      </c>
      <c r="AL35" s="586" t="str">
        <f t="shared" si="20"/>
        <v/>
      </c>
      <c r="AM35" s="586" t="str">
        <f t="shared" si="20"/>
        <v/>
      </c>
      <c r="AN35" s="586" t="str">
        <f t="shared" si="20"/>
        <v/>
      </c>
      <c r="AO35" s="586" t="str">
        <f t="shared" si="20"/>
        <v/>
      </c>
      <c r="AP35" s="586" t="str">
        <f t="shared" si="20"/>
        <v/>
      </c>
      <c r="AQ35" s="586" t="str">
        <f t="shared" si="20"/>
        <v/>
      </c>
      <c r="AR35" s="586" t="str">
        <f t="shared" si="20"/>
        <v/>
      </c>
      <c r="AS35" s="586" t="str">
        <f t="shared" si="20"/>
        <v/>
      </c>
      <c r="AT35" s="586" t="str">
        <f t="shared" si="20"/>
        <v/>
      </c>
      <c r="AU35" s="586" t="str">
        <f t="shared" si="20"/>
        <v/>
      </c>
      <c r="AV35" s="586" t="str">
        <f t="shared" si="20"/>
        <v/>
      </c>
    </row>
    <row r="36" spans="1:48" outlineLevel="1" x14ac:dyDescent="0.3">
      <c r="A36" s="812"/>
      <c r="B36" s="593" t="s">
        <v>1039</v>
      </c>
      <c r="D36" s="617"/>
      <c r="H36" s="623"/>
      <c r="I36" s="593"/>
    </row>
    <row r="37" spans="1:48" outlineLevel="1" x14ac:dyDescent="0.3">
      <c r="A37" s="813"/>
      <c r="B37" s="618" t="s">
        <v>1040</v>
      </c>
      <c r="C37" s="619"/>
      <c r="D37" s="619"/>
      <c r="E37" s="620"/>
      <c r="F37" s="620"/>
      <c r="G37" s="620"/>
      <c r="H37" s="624"/>
      <c r="I37" s="593"/>
    </row>
    <row r="38" spans="1:48" x14ac:dyDescent="0.3">
      <c r="B38" s="614"/>
      <c r="C38" s="614"/>
      <c r="D38" s="614"/>
      <c r="E38" s="614"/>
      <c r="F38" s="614"/>
      <c r="G38" s="614"/>
      <c r="H38" s="614"/>
      <c r="J38" s="565" t="s">
        <v>1031</v>
      </c>
      <c r="K38" s="625"/>
      <c r="L38" s="625"/>
      <c r="M38" s="625"/>
      <c r="N38" s="625"/>
      <c r="O38" s="625"/>
      <c r="P38" s="625"/>
      <c r="Q38" s="625"/>
      <c r="R38" s="625"/>
      <c r="S38" s="625"/>
      <c r="T38" s="625"/>
      <c r="U38" s="625"/>
      <c r="V38" s="625"/>
      <c r="W38" s="625"/>
      <c r="X38" s="625"/>
      <c r="Y38" s="625"/>
      <c r="Z38" s="625"/>
      <c r="AA38" s="625"/>
      <c r="AB38" s="625"/>
      <c r="AC38" s="625"/>
      <c r="AD38" s="625"/>
      <c r="AE38" s="625"/>
      <c r="AF38" s="625"/>
      <c r="AG38" s="625"/>
      <c r="AH38" s="625"/>
      <c r="AI38" s="625"/>
      <c r="AJ38" s="625"/>
      <c r="AK38" s="625"/>
      <c r="AL38" s="625"/>
      <c r="AM38" s="625"/>
      <c r="AN38" s="625"/>
      <c r="AO38" s="625"/>
      <c r="AP38" s="625"/>
      <c r="AQ38" s="625"/>
      <c r="AR38" s="625"/>
      <c r="AS38" s="625"/>
      <c r="AT38" s="625"/>
      <c r="AU38" s="625"/>
      <c r="AV38" s="625"/>
    </row>
    <row r="39" spans="1:48" x14ac:dyDescent="0.3">
      <c r="J39" s="565" t="s">
        <v>1032</v>
      </c>
      <c r="K39" s="625"/>
      <c r="L39" s="625"/>
      <c r="M39" s="625"/>
      <c r="N39" s="625"/>
      <c r="O39" s="625"/>
      <c r="P39" s="625"/>
      <c r="Q39" s="625"/>
      <c r="R39" s="625"/>
      <c r="S39" s="625"/>
      <c r="T39" s="625"/>
      <c r="U39" s="625"/>
      <c r="V39" s="625"/>
      <c r="W39" s="625"/>
      <c r="X39" s="625"/>
      <c r="Y39" s="625"/>
      <c r="Z39" s="625"/>
      <c r="AA39" s="625"/>
      <c r="AB39" s="625"/>
      <c r="AC39" s="625"/>
      <c r="AD39" s="625"/>
      <c r="AE39" s="625"/>
      <c r="AF39" s="625"/>
      <c r="AG39" s="625"/>
      <c r="AH39" s="625"/>
      <c r="AI39" s="625"/>
      <c r="AJ39" s="625"/>
      <c r="AK39" s="625"/>
      <c r="AL39" s="625"/>
      <c r="AM39" s="625"/>
      <c r="AN39" s="625"/>
      <c r="AO39" s="625"/>
      <c r="AP39" s="625"/>
      <c r="AQ39" s="625"/>
      <c r="AR39" s="625"/>
      <c r="AS39" s="625"/>
      <c r="AT39" s="625"/>
      <c r="AU39" s="625"/>
      <c r="AV39" s="625"/>
    </row>
    <row r="40" spans="1:48" x14ac:dyDescent="0.3">
      <c r="J40" s="565" t="s">
        <v>1041</v>
      </c>
      <c r="K40" s="587">
        <f>IFERROR(K38*K9,"n/a")</f>
        <v>0</v>
      </c>
      <c r="L40" s="587">
        <f t="shared" ref="L40:O40" si="21">IFERROR(L38*L9,"n/a")</f>
        <v>0</v>
      </c>
      <c r="M40" s="587">
        <f t="shared" si="21"/>
        <v>0</v>
      </c>
      <c r="N40" s="587">
        <f t="shared" si="21"/>
        <v>0</v>
      </c>
      <c r="O40" s="587">
        <f t="shared" si="21"/>
        <v>0</v>
      </c>
      <c r="P40" s="587">
        <f t="shared" ref="P40:AV40" si="22">IFERROR(P38*P9,"n/a")</f>
        <v>0</v>
      </c>
      <c r="Q40" s="587">
        <f t="shared" si="22"/>
        <v>0</v>
      </c>
      <c r="R40" s="587">
        <f t="shared" si="22"/>
        <v>0</v>
      </c>
      <c r="S40" s="587">
        <f t="shared" si="22"/>
        <v>0</v>
      </c>
      <c r="T40" s="587">
        <f t="shared" si="22"/>
        <v>0</v>
      </c>
      <c r="U40" s="587">
        <f t="shared" si="22"/>
        <v>0</v>
      </c>
      <c r="V40" s="587">
        <f t="shared" si="22"/>
        <v>0</v>
      </c>
      <c r="W40" s="587">
        <f t="shared" si="22"/>
        <v>0</v>
      </c>
      <c r="X40" s="587">
        <f t="shared" si="22"/>
        <v>0</v>
      </c>
      <c r="Y40" s="587">
        <f t="shared" si="22"/>
        <v>0</v>
      </c>
      <c r="Z40" s="587">
        <f t="shared" si="22"/>
        <v>0</v>
      </c>
      <c r="AA40" s="587">
        <f t="shared" si="22"/>
        <v>0</v>
      </c>
      <c r="AB40" s="587">
        <f t="shared" si="22"/>
        <v>0</v>
      </c>
      <c r="AC40" s="587">
        <f t="shared" si="22"/>
        <v>0</v>
      </c>
      <c r="AD40" s="587">
        <f t="shared" si="22"/>
        <v>0</v>
      </c>
      <c r="AE40" s="587">
        <f t="shared" si="22"/>
        <v>0</v>
      </c>
      <c r="AF40" s="587">
        <f t="shared" si="22"/>
        <v>0</v>
      </c>
      <c r="AG40" s="587">
        <f t="shared" si="22"/>
        <v>0</v>
      </c>
      <c r="AH40" s="587">
        <f t="shared" si="22"/>
        <v>0</v>
      </c>
      <c r="AI40" s="587">
        <f t="shared" si="22"/>
        <v>0</v>
      </c>
      <c r="AJ40" s="587">
        <f t="shared" si="22"/>
        <v>0</v>
      </c>
      <c r="AK40" s="587">
        <f t="shared" si="22"/>
        <v>0</v>
      </c>
      <c r="AL40" s="587">
        <f t="shared" si="22"/>
        <v>0</v>
      </c>
      <c r="AM40" s="587">
        <f t="shared" si="22"/>
        <v>0</v>
      </c>
      <c r="AN40" s="587">
        <f t="shared" si="22"/>
        <v>0</v>
      </c>
      <c r="AO40" s="587">
        <f t="shared" si="22"/>
        <v>0</v>
      </c>
      <c r="AP40" s="587">
        <f t="shared" si="22"/>
        <v>0</v>
      </c>
      <c r="AQ40" s="587">
        <f t="shared" si="22"/>
        <v>0</v>
      </c>
      <c r="AR40" s="587">
        <f t="shared" si="22"/>
        <v>0</v>
      </c>
      <c r="AS40" s="587">
        <f t="shared" si="22"/>
        <v>0</v>
      </c>
      <c r="AT40" s="587">
        <f t="shared" si="22"/>
        <v>0</v>
      </c>
      <c r="AU40" s="587">
        <f t="shared" si="22"/>
        <v>0</v>
      </c>
      <c r="AV40" s="587">
        <f t="shared" si="22"/>
        <v>0</v>
      </c>
    </row>
    <row r="41" spans="1:48" x14ac:dyDescent="0.3">
      <c r="B41" s="566"/>
      <c r="J41" s="565" t="s">
        <v>1042</v>
      </c>
      <c r="K41" s="587">
        <f>IFERROR(K30*K39,"n/a")</f>
        <v>0</v>
      </c>
      <c r="L41" s="587">
        <f t="shared" ref="L41:O41" si="23">IFERROR(L30*L39,"n/a")</f>
        <v>0</v>
      </c>
      <c r="M41" s="587">
        <f t="shared" si="23"/>
        <v>0</v>
      </c>
      <c r="N41" s="587">
        <f t="shared" si="23"/>
        <v>0</v>
      </c>
      <c r="O41" s="587">
        <f t="shared" si="23"/>
        <v>0</v>
      </c>
      <c r="P41" s="587">
        <f t="shared" ref="P41:AV41" si="24">IFERROR(P30*P39,"n/a")</f>
        <v>0</v>
      </c>
      <c r="Q41" s="587">
        <f t="shared" si="24"/>
        <v>0</v>
      </c>
      <c r="R41" s="587">
        <f t="shared" si="24"/>
        <v>0</v>
      </c>
      <c r="S41" s="587">
        <f t="shared" si="24"/>
        <v>0</v>
      </c>
      <c r="T41" s="587">
        <f t="shared" si="24"/>
        <v>0</v>
      </c>
      <c r="U41" s="587">
        <f t="shared" si="24"/>
        <v>0</v>
      </c>
      <c r="V41" s="587">
        <f t="shared" si="24"/>
        <v>0</v>
      </c>
      <c r="W41" s="587">
        <f t="shared" si="24"/>
        <v>0</v>
      </c>
      <c r="X41" s="587">
        <f t="shared" si="24"/>
        <v>0</v>
      </c>
      <c r="Y41" s="587">
        <f t="shared" si="24"/>
        <v>0</v>
      </c>
      <c r="Z41" s="587">
        <f t="shared" si="24"/>
        <v>0</v>
      </c>
      <c r="AA41" s="587">
        <f t="shared" si="24"/>
        <v>0</v>
      </c>
      <c r="AB41" s="587">
        <f t="shared" si="24"/>
        <v>0</v>
      </c>
      <c r="AC41" s="587">
        <f t="shared" si="24"/>
        <v>0</v>
      </c>
      <c r="AD41" s="587">
        <f t="shared" si="24"/>
        <v>0</v>
      </c>
      <c r="AE41" s="587">
        <f t="shared" si="24"/>
        <v>0</v>
      </c>
      <c r="AF41" s="587">
        <f t="shared" si="24"/>
        <v>0</v>
      </c>
      <c r="AG41" s="587">
        <f t="shared" si="24"/>
        <v>0</v>
      </c>
      <c r="AH41" s="587">
        <f t="shared" si="24"/>
        <v>0</v>
      </c>
      <c r="AI41" s="587">
        <f t="shared" si="24"/>
        <v>0</v>
      </c>
      <c r="AJ41" s="587">
        <f t="shared" si="24"/>
        <v>0</v>
      </c>
      <c r="AK41" s="587">
        <f t="shared" si="24"/>
        <v>0</v>
      </c>
      <c r="AL41" s="587">
        <f t="shared" si="24"/>
        <v>0</v>
      </c>
      <c r="AM41" s="587">
        <f t="shared" si="24"/>
        <v>0</v>
      </c>
      <c r="AN41" s="587">
        <f t="shared" si="24"/>
        <v>0</v>
      </c>
      <c r="AO41" s="587">
        <f t="shared" si="24"/>
        <v>0</v>
      </c>
      <c r="AP41" s="587">
        <f t="shared" si="24"/>
        <v>0</v>
      </c>
      <c r="AQ41" s="587">
        <f t="shared" si="24"/>
        <v>0</v>
      </c>
      <c r="AR41" s="587">
        <f t="shared" si="24"/>
        <v>0</v>
      </c>
      <c r="AS41" s="587">
        <f t="shared" si="24"/>
        <v>0</v>
      </c>
      <c r="AT41" s="587">
        <f t="shared" si="24"/>
        <v>0</v>
      </c>
      <c r="AU41" s="587">
        <f t="shared" si="24"/>
        <v>0</v>
      </c>
      <c r="AV41" s="587">
        <f t="shared" si="24"/>
        <v>0</v>
      </c>
    </row>
    <row r="42" spans="1:48" x14ac:dyDescent="0.3">
      <c r="J42" s="565" t="s">
        <v>1033</v>
      </c>
      <c r="K42" s="636" t="str">
        <f>IF(MAX(K40:K41)-K22&gt;0,MAX(K40:K41)-K22,"")</f>
        <v/>
      </c>
      <c r="L42" s="636" t="str">
        <f t="shared" ref="L42:AV42" si="25">IF(MAX(L40:L41)-L22&gt;0,MAX(L40:L41)-L22,"")</f>
        <v/>
      </c>
      <c r="M42" s="636" t="str">
        <f t="shared" si="25"/>
        <v/>
      </c>
      <c r="N42" s="636" t="str">
        <f t="shared" si="25"/>
        <v/>
      </c>
      <c r="O42" s="636" t="str">
        <f t="shared" si="25"/>
        <v/>
      </c>
      <c r="P42" s="636" t="str">
        <f t="shared" si="25"/>
        <v/>
      </c>
      <c r="Q42" s="636" t="str">
        <f t="shared" si="25"/>
        <v/>
      </c>
      <c r="R42" s="636" t="str">
        <f t="shared" si="25"/>
        <v/>
      </c>
      <c r="S42" s="636" t="str">
        <f t="shared" si="25"/>
        <v/>
      </c>
      <c r="T42" s="636" t="str">
        <f t="shared" si="25"/>
        <v/>
      </c>
      <c r="U42" s="636" t="str">
        <f t="shared" si="25"/>
        <v/>
      </c>
      <c r="V42" s="636" t="str">
        <f t="shared" si="25"/>
        <v/>
      </c>
      <c r="W42" s="636" t="str">
        <f t="shared" si="25"/>
        <v/>
      </c>
      <c r="X42" s="636" t="str">
        <f t="shared" si="25"/>
        <v/>
      </c>
      <c r="Y42" s="636" t="str">
        <f t="shared" si="25"/>
        <v/>
      </c>
      <c r="Z42" s="636" t="str">
        <f t="shared" si="25"/>
        <v/>
      </c>
      <c r="AA42" s="636" t="str">
        <f t="shared" si="25"/>
        <v/>
      </c>
      <c r="AB42" s="636" t="str">
        <f t="shared" si="25"/>
        <v/>
      </c>
      <c r="AC42" s="636" t="str">
        <f t="shared" si="25"/>
        <v/>
      </c>
      <c r="AD42" s="636" t="str">
        <f t="shared" si="25"/>
        <v/>
      </c>
      <c r="AE42" s="636" t="str">
        <f t="shared" si="25"/>
        <v/>
      </c>
      <c r="AF42" s="636" t="str">
        <f t="shared" si="25"/>
        <v/>
      </c>
      <c r="AG42" s="636" t="str">
        <f t="shared" si="25"/>
        <v/>
      </c>
      <c r="AH42" s="636" t="str">
        <f t="shared" si="25"/>
        <v/>
      </c>
      <c r="AI42" s="636" t="str">
        <f t="shared" si="25"/>
        <v/>
      </c>
      <c r="AJ42" s="636" t="str">
        <f t="shared" si="25"/>
        <v/>
      </c>
      <c r="AK42" s="636" t="str">
        <f t="shared" si="25"/>
        <v/>
      </c>
      <c r="AL42" s="636" t="str">
        <f t="shared" si="25"/>
        <v/>
      </c>
      <c r="AM42" s="636" t="str">
        <f t="shared" si="25"/>
        <v/>
      </c>
      <c r="AN42" s="636" t="str">
        <f t="shared" si="25"/>
        <v/>
      </c>
      <c r="AO42" s="636" t="str">
        <f t="shared" si="25"/>
        <v/>
      </c>
      <c r="AP42" s="636" t="str">
        <f t="shared" si="25"/>
        <v/>
      </c>
      <c r="AQ42" s="636" t="str">
        <f t="shared" si="25"/>
        <v/>
      </c>
      <c r="AR42" s="636" t="str">
        <f t="shared" si="25"/>
        <v/>
      </c>
      <c r="AS42" s="636" t="str">
        <f t="shared" si="25"/>
        <v/>
      </c>
      <c r="AT42" s="636" t="str">
        <f t="shared" si="25"/>
        <v/>
      </c>
      <c r="AU42" s="636" t="str">
        <f t="shared" si="25"/>
        <v/>
      </c>
      <c r="AV42" s="636" t="str">
        <f t="shared" si="25"/>
        <v/>
      </c>
    </row>
    <row r="43" spans="1:48" x14ac:dyDescent="0.3">
      <c r="J43" s="565" t="s">
        <v>1034</v>
      </c>
      <c r="K43" s="627"/>
      <c r="L43" s="627"/>
      <c r="M43" s="627"/>
      <c r="N43" s="627"/>
      <c r="O43" s="627"/>
      <c r="P43" s="627"/>
      <c r="Q43" s="627"/>
      <c r="R43" s="627"/>
      <c r="S43" s="627"/>
      <c r="T43" s="627"/>
      <c r="U43" s="627"/>
      <c r="V43" s="627"/>
      <c r="W43" s="627"/>
      <c r="X43" s="627"/>
      <c r="Y43" s="627"/>
      <c r="Z43" s="627"/>
      <c r="AA43" s="627"/>
      <c r="AB43" s="627"/>
      <c r="AC43" s="627"/>
      <c r="AD43" s="627"/>
      <c r="AE43" s="627"/>
      <c r="AF43" s="627"/>
      <c r="AG43" s="627"/>
      <c r="AH43" s="627"/>
      <c r="AI43" s="627"/>
      <c r="AJ43" s="627"/>
      <c r="AK43" s="627"/>
      <c r="AL43" s="627"/>
      <c r="AM43" s="627"/>
      <c r="AN43" s="627"/>
      <c r="AO43" s="627"/>
      <c r="AP43" s="627"/>
      <c r="AQ43" s="627"/>
      <c r="AR43" s="627"/>
      <c r="AS43" s="627"/>
      <c r="AT43" s="627"/>
      <c r="AU43" s="627"/>
      <c r="AV43" s="627"/>
    </row>
    <row r="44" spans="1:48" x14ac:dyDescent="0.3">
      <c r="J44" s="565" t="s">
        <v>1035</v>
      </c>
      <c r="K44" s="636" t="str">
        <f>IFERROR(K43*K42,"n/a")</f>
        <v>n/a</v>
      </c>
      <c r="L44" s="636" t="str">
        <f t="shared" ref="L44:O44" si="26">IFERROR(L43*L42,"n/a")</f>
        <v>n/a</v>
      </c>
      <c r="M44" s="636" t="str">
        <f t="shared" si="26"/>
        <v>n/a</v>
      </c>
      <c r="N44" s="636" t="str">
        <f t="shared" si="26"/>
        <v>n/a</v>
      </c>
      <c r="O44" s="636" t="str">
        <f t="shared" si="26"/>
        <v>n/a</v>
      </c>
      <c r="P44" s="636" t="str">
        <f t="shared" ref="P44" si="27">IFERROR(P43*P42,"n/a")</f>
        <v>n/a</v>
      </c>
      <c r="Q44" s="636" t="str">
        <f t="shared" ref="Q44" si="28">IFERROR(Q43*Q42,"n/a")</f>
        <v>n/a</v>
      </c>
      <c r="R44" s="636" t="str">
        <f t="shared" ref="R44" si="29">IFERROR(R43*R42,"n/a")</f>
        <v>n/a</v>
      </c>
      <c r="S44" s="636" t="str">
        <f t="shared" ref="S44" si="30">IFERROR(S43*S42,"n/a")</f>
        <v>n/a</v>
      </c>
      <c r="T44" s="636" t="str">
        <f t="shared" ref="T44" si="31">IFERROR(T43*T42,"n/a")</f>
        <v>n/a</v>
      </c>
      <c r="U44" s="636" t="str">
        <f t="shared" ref="U44" si="32">IFERROR(U43*U42,"n/a")</f>
        <v>n/a</v>
      </c>
      <c r="V44" s="636" t="str">
        <f t="shared" ref="V44" si="33">IFERROR(V43*V42,"n/a")</f>
        <v>n/a</v>
      </c>
      <c r="W44" s="636" t="str">
        <f t="shared" ref="W44" si="34">IFERROR(W43*W42,"n/a")</f>
        <v>n/a</v>
      </c>
      <c r="X44" s="636" t="str">
        <f t="shared" ref="X44" si="35">IFERROR(X43*X42,"n/a")</f>
        <v>n/a</v>
      </c>
      <c r="Y44" s="636" t="str">
        <f t="shared" ref="Y44" si="36">IFERROR(Y43*Y42,"n/a")</f>
        <v>n/a</v>
      </c>
      <c r="Z44" s="636" t="str">
        <f t="shared" ref="Z44" si="37">IFERROR(Z43*Z42,"n/a")</f>
        <v>n/a</v>
      </c>
      <c r="AA44" s="636" t="str">
        <f t="shared" ref="AA44" si="38">IFERROR(AA43*AA42,"n/a")</f>
        <v>n/a</v>
      </c>
      <c r="AB44" s="636" t="str">
        <f t="shared" ref="AB44" si="39">IFERROR(AB43*AB42,"n/a")</f>
        <v>n/a</v>
      </c>
      <c r="AC44" s="636" t="str">
        <f t="shared" ref="AC44" si="40">IFERROR(AC43*AC42,"n/a")</f>
        <v>n/a</v>
      </c>
      <c r="AD44" s="636" t="str">
        <f t="shared" ref="AD44" si="41">IFERROR(AD43*AD42,"n/a")</f>
        <v>n/a</v>
      </c>
      <c r="AE44" s="636" t="str">
        <f t="shared" ref="AE44" si="42">IFERROR(AE43*AE42,"n/a")</f>
        <v>n/a</v>
      </c>
      <c r="AF44" s="636" t="str">
        <f t="shared" ref="AF44" si="43">IFERROR(AF43*AF42,"n/a")</f>
        <v>n/a</v>
      </c>
      <c r="AG44" s="636" t="str">
        <f t="shared" ref="AG44" si="44">IFERROR(AG43*AG42,"n/a")</f>
        <v>n/a</v>
      </c>
      <c r="AH44" s="636" t="str">
        <f t="shared" ref="AH44" si="45">IFERROR(AH43*AH42,"n/a")</f>
        <v>n/a</v>
      </c>
      <c r="AI44" s="636" t="str">
        <f t="shared" ref="AI44" si="46">IFERROR(AI43*AI42,"n/a")</f>
        <v>n/a</v>
      </c>
      <c r="AJ44" s="636" t="str">
        <f t="shared" ref="AJ44" si="47">IFERROR(AJ43*AJ42,"n/a")</f>
        <v>n/a</v>
      </c>
      <c r="AK44" s="636" t="str">
        <f t="shared" ref="AK44" si="48">IFERROR(AK43*AK42,"n/a")</f>
        <v>n/a</v>
      </c>
      <c r="AL44" s="636" t="str">
        <f t="shared" ref="AL44" si="49">IFERROR(AL43*AL42,"n/a")</f>
        <v>n/a</v>
      </c>
      <c r="AM44" s="636" t="str">
        <f t="shared" ref="AM44" si="50">IFERROR(AM43*AM42,"n/a")</f>
        <v>n/a</v>
      </c>
      <c r="AN44" s="636" t="str">
        <f t="shared" ref="AN44" si="51">IFERROR(AN43*AN42,"n/a")</f>
        <v>n/a</v>
      </c>
      <c r="AO44" s="636" t="str">
        <f t="shared" ref="AO44" si="52">IFERROR(AO43*AO42,"n/a")</f>
        <v>n/a</v>
      </c>
      <c r="AP44" s="636" t="str">
        <f t="shared" ref="AP44" si="53">IFERROR(AP43*AP42,"n/a")</f>
        <v>n/a</v>
      </c>
      <c r="AQ44" s="636" t="str">
        <f t="shared" ref="AQ44" si="54">IFERROR(AQ43*AQ42,"n/a")</f>
        <v>n/a</v>
      </c>
      <c r="AR44" s="636" t="str">
        <f t="shared" ref="AR44" si="55">IFERROR(AR43*AR42,"n/a")</f>
        <v>n/a</v>
      </c>
      <c r="AS44" s="636" t="str">
        <f t="shared" ref="AS44" si="56">IFERROR(AS43*AS42,"n/a")</f>
        <v>n/a</v>
      </c>
      <c r="AT44" s="636" t="str">
        <f t="shared" ref="AT44" si="57">IFERROR(AT43*AT42,"n/a")</f>
        <v>n/a</v>
      </c>
      <c r="AU44" s="636" t="str">
        <f t="shared" ref="AU44" si="58">IFERROR(AU43*AU42,"n/a")</f>
        <v>n/a</v>
      </c>
      <c r="AV44" s="636" t="str">
        <f t="shared" ref="AV44" si="59">IFERROR(AV43*AV42,"n/a")</f>
        <v>n/a</v>
      </c>
    </row>
  </sheetData>
  <mergeCells count="6">
    <mergeCell ref="A34:A37"/>
    <mergeCell ref="A21:A25"/>
    <mergeCell ref="A6:A14"/>
    <mergeCell ref="A15:A20"/>
    <mergeCell ref="A26:A28"/>
    <mergeCell ref="A29:A33"/>
  </mergeCells>
  <conditionalFormatting sqref="D34:D37">
    <cfRule type="containsText" dxfId="5" priority="1" operator="containsText" text="Ja">
      <formula>NOT(ISERROR(SEARCH("Ja",D34)))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8EDD3-3E1A-4FA8-A2D4-FD2B6E5B14F2}">
  <sheetPr>
    <tabColor theme="4" tint="0.59999389629810485"/>
  </sheetPr>
  <dimension ref="A1:IJ749"/>
  <sheetViews>
    <sheetView showGridLines="0" tabSelected="1" topLeftCell="A135" zoomScaleNormal="100" workbookViewId="0">
      <selection activeCell="F148" sqref="F148"/>
    </sheetView>
  </sheetViews>
  <sheetFormatPr defaultColWidth="8" defaultRowHeight="10.199999999999999" outlineLevelCol="1" x14ac:dyDescent="0.2"/>
  <cols>
    <col min="1" max="1" width="40.5546875" style="146" customWidth="1"/>
    <col min="2" max="3" width="9.6640625" style="146" customWidth="1" outlineLevel="1"/>
    <col min="4" max="4" width="9.6640625" style="146" customWidth="1"/>
    <col min="5" max="5" width="9.5546875" style="146" customWidth="1"/>
    <col min="6" max="6" width="9.6640625" style="146" customWidth="1"/>
    <col min="7" max="11" width="9.6640625" style="146" customWidth="1" outlineLevel="1"/>
    <col min="12" max="18" width="8" style="146"/>
    <col min="19" max="19" width="18.5546875" style="146" customWidth="1"/>
    <col min="20" max="20" width="10.88671875" style="146" bestFit="1" customWidth="1"/>
    <col min="21" max="21" width="9.5546875" style="146" bestFit="1" customWidth="1"/>
    <col min="22" max="22" width="10.88671875" style="146" bestFit="1" customWidth="1"/>
    <col min="23" max="23" width="15.5546875" style="146" customWidth="1"/>
    <col min="24" max="24" width="9.5546875" style="146" bestFit="1" customWidth="1"/>
    <col min="25" max="16384" width="8" style="146"/>
  </cols>
  <sheetData>
    <row r="1" spans="1:11" ht="11.25" customHeight="1" x14ac:dyDescent="0.25">
      <c r="A1" s="142" t="s">
        <v>337</v>
      </c>
      <c r="B1" s="143"/>
      <c r="C1" s="143"/>
      <c r="D1" s="143"/>
      <c r="E1" s="144"/>
      <c r="F1" s="144"/>
      <c r="G1" s="144"/>
      <c r="H1" s="144"/>
      <c r="I1" s="144"/>
      <c r="J1" s="145"/>
      <c r="K1" s="145"/>
    </row>
    <row r="2" spans="1:11" ht="13.8" x14ac:dyDescent="0.25">
      <c r="A2" s="472" t="s">
        <v>1049</v>
      </c>
      <c r="B2" s="147"/>
      <c r="C2" s="147"/>
      <c r="D2" s="147"/>
      <c r="E2" s="148"/>
      <c r="F2" s="148"/>
      <c r="G2" s="148"/>
      <c r="H2" s="148"/>
      <c r="I2" s="148"/>
      <c r="J2" s="149"/>
      <c r="K2" s="149"/>
    </row>
    <row r="3" spans="1:11" ht="12" customHeight="1" x14ac:dyDescent="0.25">
      <c r="A3" s="150"/>
      <c r="B3" s="151"/>
      <c r="C3" s="151"/>
      <c r="D3" s="151"/>
      <c r="E3" s="152"/>
      <c r="F3" s="152"/>
      <c r="G3" s="152"/>
      <c r="H3" s="152"/>
      <c r="I3" s="152"/>
      <c r="J3" s="153"/>
      <c r="K3" s="153"/>
    </row>
    <row r="4" spans="1:11" ht="13.8" x14ac:dyDescent="0.25">
      <c r="A4" s="154"/>
      <c r="B4" s="147"/>
      <c r="C4" s="147"/>
      <c r="D4" s="147"/>
      <c r="E4" s="148"/>
      <c r="F4" s="148"/>
      <c r="G4" s="148"/>
      <c r="H4" s="148"/>
      <c r="I4" s="148"/>
      <c r="J4" s="148"/>
      <c r="K4" s="148"/>
    </row>
    <row r="5" spans="1:11" x14ac:dyDescent="0.2">
      <c r="A5" s="632" t="s">
        <v>1010</v>
      </c>
      <c r="B5" s="147"/>
      <c r="C5" s="147"/>
      <c r="D5" s="147"/>
      <c r="E5" s="148"/>
      <c r="F5" s="148"/>
      <c r="G5" s="148"/>
      <c r="H5" s="148"/>
      <c r="I5" s="148"/>
      <c r="J5" s="148"/>
      <c r="K5" s="148"/>
    </row>
    <row r="6" spans="1:11" x14ac:dyDescent="0.2">
      <c r="A6" s="155"/>
      <c r="E6" s="155"/>
      <c r="F6" s="155"/>
      <c r="G6" s="155"/>
      <c r="H6" s="155"/>
      <c r="I6" s="155"/>
      <c r="J6" s="155"/>
      <c r="K6" s="155"/>
    </row>
    <row r="7" spans="1:11" s="159" customFormat="1" ht="13.2" x14ac:dyDescent="0.25">
      <c r="A7" s="156" t="s">
        <v>338</v>
      </c>
      <c r="B7" s="157">
        <f t="shared" ref="B7:C7" si="0">C7-366</f>
        <v>43828</v>
      </c>
      <c r="C7" s="157">
        <f t="shared" si="0"/>
        <v>44194</v>
      </c>
      <c r="D7" s="157">
        <f>E7-366</f>
        <v>44560</v>
      </c>
      <c r="E7" s="664">
        <f>F7-365</f>
        <v>44926</v>
      </c>
      <c r="F7" s="663">
        <v>45291</v>
      </c>
      <c r="G7" s="157">
        <f t="shared" ref="G7:K7" si="1">F7+365</f>
        <v>45656</v>
      </c>
      <c r="H7" s="157">
        <f t="shared" si="1"/>
        <v>46021</v>
      </c>
      <c r="I7" s="157">
        <f t="shared" si="1"/>
        <v>46386</v>
      </c>
      <c r="J7" s="157">
        <f t="shared" si="1"/>
        <v>46751</v>
      </c>
      <c r="K7" s="158">
        <f t="shared" si="1"/>
        <v>47116</v>
      </c>
    </row>
    <row r="8" spans="1:11" ht="6" customHeight="1" x14ac:dyDescent="0.2">
      <c r="A8" s="148"/>
      <c r="B8" s="160"/>
      <c r="C8" s="160"/>
      <c r="D8" s="160"/>
      <c r="E8" s="160"/>
      <c r="F8" s="160"/>
      <c r="G8" s="160"/>
      <c r="H8" s="160"/>
      <c r="I8" s="160"/>
      <c r="J8" s="161"/>
      <c r="K8" s="161"/>
    </row>
    <row r="9" spans="1:11" x14ac:dyDescent="0.2">
      <c r="A9" s="155" t="s">
        <v>339</v>
      </c>
      <c r="B9" s="162">
        <v>12</v>
      </c>
      <c r="C9" s="162">
        <v>12</v>
      </c>
      <c r="D9" s="162">
        <v>12</v>
      </c>
      <c r="E9" s="162">
        <v>12</v>
      </c>
      <c r="F9" s="162">
        <v>12</v>
      </c>
      <c r="G9" s="162">
        <v>12</v>
      </c>
      <c r="H9" s="162">
        <v>12</v>
      </c>
      <c r="I9" s="162">
        <v>12</v>
      </c>
      <c r="J9" s="163">
        <v>12</v>
      </c>
      <c r="K9" s="163">
        <v>12</v>
      </c>
    </row>
    <row r="10" spans="1:11" ht="9.75" customHeight="1" x14ac:dyDescent="0.2">
      <c r="A10" s="155"/>
      <c r="B10" s="164"/>
      <c r="C10" s="164"/>
      <c r="D10" s="164"/>
      <c r="E10" s="164"/>
      <c r="F10" s="164"/>
      <c r="G10" s="164"/>
      <c r="H10" s="164"/>
      <c r="I10" s="164"/>
      <c r="J10" s="165"/>
      <c r="K10" s="165"/>
    </row>
    <row r="11" spans="1:11" x14ac:dyDescent="0.2">
      <c r="A11" s="155" t="s">
        <v>340</v>
      </c>
      <c r="B11" s="166"/>
      <c r="C11" s="166"/>
      <c r="D11" s="166"/>
      <c r="E11" s="166"/>
      <c r="F11" s="166"/>
      <c r="G11" s="166"/>
      <c r="H11" s="166"/>
      <c r="I11" s="166"/>
      <c r="J11" s="167"/>
      <c r="K11" s="167"/>
    </row>
    <row r="12" spans="1:11" x14ac:dyDescent="0.2">
      <c r="A12" s="155" t="s">
        <v>341</v>
      </c>
      <c r="B12" s="166"/>
      <c r="C12" s="166"/>
      <c r="D12" s="166"/>
      <c r="E12" s="166"/>
      <c r="F12" s="166"/>
      <c r="G12" s="166"/>
      <c r="H12" s="166"/>
      <c r="I12" s="166"/>
      <c r="J12" s="167"/>
      <c r="K12" s="167"/>
    </row>
    <row r="13" spans="1:11" x14ac:dyDescent="0.2">
      <c r="A13" s="155" t="str">
        <f>"=========== ACTIVA ================= CODES "</f>
        <v xml:space="preserve">=========== ACTIVA ================= CODES </v>
      </c>
      <c r="B13" s="166"/>
      <c r="C13" s="166"/>
      <c r="D13" s="166"/>
      <c r="E13" s="166"/>
      <c r="F13" s="166"/>
      <c r="G13" s="166"/>
      <c r="H13" s="166"/>
      <c r="I13" s="166"/>
      <c r="J13" s="167"/>
      <c r="K13" s="167"/>
    </row>
    <row r="14" spans="1:11" x14ac:dyDescent="0.2">
      <c r="A14" s="155" t="s">
        <v>341</v>
      </c>
      <c r="B14" s="166"/>
      <c r="C14" s="166"/>
      <c r="D14" s="166"/>
      <c r="E14" s="166"/>
      <c r="F14" s="166"/>
      <c r="G14" s="166"/>
      <c r="H14" s="166"/>
      <c r="I14" s="166"/>
      <c r="J14" s="167"/>
      <c r="K14" s="167"/>
    </row>
    <row r="15" spans="1:11" ht="13.8" x14ac:dyDescent="0.3">
      <c r="A15" s="168" t="s">
        <v>342</v>
      </c>
      <c r="B15" s="169">
        <f t="shared" ref="B15:K15" si="2">B17+B19+B21+B29</f>
        <v>0</v>
      </c>
      <c r="C15" s="169">
        <f t="shared" si="2"/>
        <v>0</v>
      </c>
      <c r="D15" s="169">
        <f t="shared" ref="D15:F15" si="3">D17+D19+D21+D29</f>
        <v>0</v>
      </c>
      <c r="E15" s="169">
        <f t="shared" si="3"/>
        <v>0</v>
      </c>
      <c r="F15" s="169">
        <f t="shared" si="3"/>
        <v>0</v>
      </c>
      <c r="G15" s="169">
        <f t="shared" si="2"/>
        <v>0</v>
      </c>
      <c r="H15" s="169">
        <f t="shared" si="2"/>
        <v>0</v>
      </c>
      <c r="I15" s="169">
        <f t="shared" si="2"/>
        <v>0</v>
      </c>
      <c r="J15" s="170">
        <f t="shared" si="2"/>
        <v>0</v>
      </c>
      <c r="K15" s="170">
        <f t="shared" si="2"/>
        <v>0</v>
      </c>
    </row>
    <row r="16" spans="1:11" x14ac:dyDescent="0.2">
      <c r="A16" s="155" t="s">
        <v>341</v>
      </c>
      <c r="B16" s="171"/>
      <c r="C16" s="171"/>
      <c r="D16" s="171"/>
      <c r="E16" s="171"/>
      <c r="F16" s="171"/>
      <c r="G16" s="171"/>
      <c r="H16" s="171"/>
      <c r="I16" s="171"/>
      <c r="J16" s="172"/>
      <c r="K16" s="172"/>
    </row>
    <row r="17" spans="1:11" x14ac:dyDescent="0.2">
      <c r="A17" s="148" t="s">
        <v>343</v>
      </c>
      <c r="B17" s="173">
        <v>0</v>
      </c>
      <c r="C17" s="173">
        <v>0</v>
      </c>
      <c r="D17" s="173">
        <v>0</v>
      </c>
      <c r="E17" s="173">
        <v>0</v>
      </c>
      <c r="F17" s="173">
        <v>0</v>
      </c>
      <c r="G17" s="173">
        <v>0</v>
      </c>
      <c r="H17" s="173">
        <v>0</v>
      </c>
      <c r="I17" s="173">
        <v>0</v>
      </c>
      <c r="J17" s="174">
        <v>0</v>
      </c>
      <c r="K17" s="174">
        <v>0</v>
      </c>
    </row>
    <row r="18" spans="1:11" ht="12" customHeight="1" x14ac:dyDescent="0.2">
      <c r="A18" s="155" t="s">
        <v>341</v>
      </c>
      <c r="B18" s="171"/>
      <c r="C18" s="171"/>
      <c r="D18" s="171"/>
      <c r="E18" s="171"/>
      <c r="F18" s="171"/>
      <c r="G18" s="171"/>
      <c r="H18" s="171"/>
      <c r="I18" s="171"/>
      <c r="J18" s="172"/>
      <c r="K18" s="172"/>
    </row>
    <row r="19" spans="1:11" x14ac:dyDescent="0.2">
      <c r="A19" s="148" t="s">
        <v>344</v>
      </c>
      <c r="B19" s="173">
        <v>0</v>
      </c>
      <c r="C19" s="173">
        <v>0</v>
      </c>
      <c r="D19" s="173">
        <v>0</v>
      </c>
      <c r="E19" s="173">
        <v>0</v>
      </c>
      <c r="F19" s="173">
        <v>0</v>
      </c>
      <c r="G19" s="173">
        <v>0</v>
      </c>
      <c r="H19" s="173">
        <v>0</v>
      </c>
      <c r="I19" s="173">
        <v>0</v>
      </c>
      <c r="J19" s="174">
        <v>0</v>
      </c>
      <c r="K19" s="174">
        <v>0</v>
      </c>
    </row>
    <row r="20" spans="1:11" ht="12" customHeight="1" x14ac:dyDescent="0.2">
      <c r="A20" s="155" t="s">
        <v>341</v>
      </c>
      <c r="B20" s="171"/>
      <c r="C20" s="171"/>
      <c r="D20" s="171"/>
      <c r="E20" s="171"/>
      <c r="F20" s="171"/>
      <c r="G20" s="171"/>
      <c r="H20" s="171"/>
      <c r="I20" s="171"/>
      <c r="J20" s="172"/>
      <c r="K20" s="172"/>
    </row>
    <row r="21" spans="1:11" x14ac:dyDescent="0.2">
      <c r="A21" s="148" t="s">
        <v>345</v>
      </c>
      <c r="B21" s="175">
        <f>SUM(B22:B27)</f>
        <v>0</v>
      </c>
      <c r="C21" s="175">
        <f t="shared" ref="C21:K21" si="4">SUM(C22:C27)</f>
        <v>0</v>
      </c>
      <c r="D21" s="175">
        <f t="shared" ref="D21:F21" si="5">SUM(D22:D27)</f>
        <v>0</v>
      </c>
      <c r="E21" s="175">
        <f t="shared" si="5"/>
        <v>0</v>
      </c>
      <c r="F21" s="175">
        <f t="shared" si="5"/>
        <v>0</v>
      </c>
      <c r="G21" s="175">
        <f t="shared" si="4"/>
        <v>0</v>
      </c>
      <c r="H21" s="175">
        <f t="shared" si="4"/>
        <v>0</v>
      </c>
      <c r="I21" s="175">
        <f t="shared" si="4"/>
        <v>0</v>
      </c>
      <c r="J21" s="176">
        <f t="shared" si="4"/>
        <v>0</v>
      </c>
      <c r="K21" s="176">
        <f t="shared" si="4"/>
        <v>0</v>
      </c>
    </row>
    <row r="22" spans="1:11" x14ac:dyDescent="0.2">
      <c r="A22" s="155" t="s">
        <v>346</v>
      </c>
      <c r="B22" s="177">
        <v>0</v>
      </c>
      <c r="C22" s="177">
        <v>0</v>
      </c>
      <c r="D22" s="177">
        <v>0</v>
      </c>
      <c r="E22" s="177">
        <v>0</v>
      </c>
      <c r="F22" s="177">
        <v>0</v>
      </c>
      <c r="G22" s="177">
        <v>0</v>
      </c>
      <c r="H22" s="177">
        <v>0</v>
      </c>
      <c r="I22" s="177">
        <v>0</v>
      </c>
      <c r="J22" s="178">
        <v>0</v>
      </c>
      <c r="K22" s="178">
        <v>0</v>
      </c>
    </row>
    <row r="23" spans="1:11" x14ac:dyDescent="0.2">
      <c r="A23" s="155" t="s">
        <v>347</v>
      </c>
      <c r="B23" s="177">
        <v>0</v>
      </c>
      <c r="C23" s="177">
        <v>0</v>
      </c>
      <c r="D23" s="177">
        <v>0</v>
      </c>
      <c r="E23" s="177">
        <v>0</v>
      </c>
      <c r="F23" s="177">
        <v>0</v>
      </c>
      <c r="G23" s="177">
        <v>0</v>
      </c>
      <c r="H23" s="177">
        <v>0</v>
      </c>
      <c r="I23" s="177">
        <v>0</v>
      </c>
      <c r="J23" s="178">
        <v>0</v>
      </c>
      <c r="K23" s="178">
        <v>0</v>
      </c>
    </row>
    <row r="24" spans="1:11" x14ac:dyDescent="0.2">
      <c r="A24" s="155" t="s">
        <v>348</v>
      </c>
      <c r="B24" s="177">
        <v>0</v>
      </c>
      <c r="C24" s="177">
        <v>0</v>
      </c>
      <c r="D24" s="177">
        <v>0</v>
      </c>
      <c r="E24" s="177">
        <v>0</v>
      </c>
      <c r="F24" s="177">
        <v>0</v>
      </c>
      <c r="G24" s="177">
        <v>0</v>
      </c>
      <c r="H24" s="177">
        <v>0</v>
      </c>
      <c r="I24" s="177">
        <v>0</v>
      </c>
      <c r="J24" s="178">
        <v>0</v>
      </c>
      <c r="K24" s="178">
        <v>0</v>
      </c>
    </row>
    <row r="25" spans="1:11" x14ac:dyDescent="0.2">
      <c r="A25" s="155" t="s">
        <v>349</v>
      </c>
      <c r="B25" s="177">
        <v>0</v>
      </c>
      <c r="C25" s="177">
        <v>0</v>
      </c>
      <c r="D25" s="177">
        <v>0</v>
      </c>
      <c r="E25" s="177">
        <v>0</v>
      </c>
      <c r="F25" s="177">
        <v>0</v>
      </c>
      <c r="G25" s="177">
        <v>0</v>
      </c>
      <c r="H25" s="177">
        <v>0</v>
      </c>
      <c r="I25" s="177">
        <v>0</v>
      </c>
      <c r="J25" s="178">
        <v>0</v>
      </c>
      <c r="K25" s="178">
        <v>0</v>
      </c>
    </row>
    <row r="26" spans="1:11" x14ac:dyDescent="0.2">
      <c r="A26" s="155" t="s">
        <v>350</v>
      </c>
      <c r="B26" s="177">
        <v>0</v>
      </c>
      <c r="C26" s="177">
        <v>0</v>
      </c>
      <c r="D26" s="177">
        <v>0</v>
      </c>
      <c r="E26" s="177">
        <v>0</v>
      </c>
      <c r="F26" s="177">
        <v>0</v>
      </c>
      <c r="G26" s="177">
        <v>0</v>
      </c>
      <c r="H26" s="177">
        <v>0</v>
      </c>
      <c r="I26" s="177">
        <v>0</v>
      </c>
      <c r="J26" s="178">
        <v>0</v>
      </c>
      <c r="K26" s="178">
        <v>0</v>
      </c>
    </row>
    <row r="27" spans="1:11" x14ac:dyDescent="0.2">
      <c r="A27" s="155" t="s">
        <v>351</v>
      </c>
      <c r="B27" s="177">
        <v>0</v>
      </c>
      <c r="C27" s="177">
        <v>0</v>
      </c>
      <c r="D27" s="177">
        <v>0</v>
      </c>
      <c r="E27" s="177">
        <v>0</v>
      </c>
      <c r="F27" s="177">
        <v>0</v>
      </c>
      <c r="G27" s="177">
        <v>0</v>
      </c>
      <c r="H27" s="177">
        <v>0</v>
      </c>
      <c r="I27" s="177">
        <v>0</v>
      </c>
      <c r="J27" s="178">
        <v>0</v>
      </c>
      <c r="K27" s="178">
        <v>0</v>
      </c>
    </row>
    <row r="28" spans="1:11" ht="12" customHeight="1" x14ac:dyDescent="0.2">
      <c r="A28" s="155" t="s">
        <v>341</v>
      </c>
      <c r="B28" s="171"/>
      <c r="C28" s="171"/>
      <c r="D28" s="171"/>
      <c r="E28" s="171"/>
      <c r="F28" s="171"/>
      <c r="G28" s="171"/>
      <c r="H28" s="171"/>
      <c r="I28" s="171"/>
      <c r="J28" s="172"/>
      <c r="K28" s="172"/>
    </row>
    <row r="29" spans="1:11" x14ac:dyDescent="0.2">
      <c r="A29" s="148" t="s">
        <v>352</v>
      </c>
      <c r="B29" s="175">
        <f t="shared" ref="B29:K29" si="6">B30+B34+B37</f>
        <v>0</v>
      </c>
      <c r="C29" s="175">
        <f t="shared" si="6"/>
        <v>0</v>
      </c>
      <c r="D29" s="175">
        <f t="shared" ref="D29:F29" si="7">D30+D34+D37</f>
        <v>0</v>
      </c>
      <c r="E29" s="175">
        <f t="shared" si="7"/>
        <v>0</v>
      </c>
      <c r="F29" s="175">
        <f t="shared" si="7"/>
        <v>0</v>
      </c>
      <c r="G29" s="175">
        <f t="shared" si="6"/>
        <v>0</v>
      </c>
      <c r="H29" s="175">
        <f t="shared" si="6"/>
        <v>0</v>
      </c>
      <c r="I29" s="175">
        <f t="shared" si="6"/>
        <v>0</v>
      </c>
      <c r="J29" s="176">
        <f t="shared" si="6"/>
        <v>0</v>
      </c>
      <c r="K29" s="176">
        <f t="shared" si="6"/>
        <v>0</v>
      </c>
    </row>
    <row r="30" spans="1:11" x14ac:dyDescent="0.2">
      <c r="A30" s="155" t="s">
        <v>353</v>
      </c>
      <c r="B30" s="171">
        <f t="shared" ref="B30:K30" si="8">B31+B32</f>
        <v>0</v>
      </c>
      <c r="C30" s="171">
        <f t="shared" si="8"/>
        <v>0</v>
      </c>
      <c r="D30" s="171">
        <f t="shared" ref="D30:F30" si="9">D31+D32</f>
        <v>0</v>
      </c>
      <c r="E30" s="171">
        <f t="shared" si="9"/>
        <v>0</v>
      </c>
      <c r="F30" s="171">
        <f t="shared" si="9"/>
        <v>0</v>
      </c>
      <c r="G30" s="171">
        <f t="shared" si="8"/>
        <v>0</v>
      </c>
      <c r="H30" s="171">
        <f t="shared" si="8"/>
        <v>0</v>
      </c>
      <c r="I30" s="171">
        <f t="shared" si="8"/>
        <v>0</v>
      </c>
      <c r="J30" s="172">
        <f t="shared" si="8"/>
        <v>0</v>
      </c>
      <c r="K30" s="172">
        <f t="shared" si="8"/>
        <v>0</v>
      </c>
    </row>
    <row r="31" spans="1:11" x14ac:dyDescent="0.2">
      <c r="A31" s="155" t="s">
        <v>354</v>
      </c>
      <c r="B31" s="177">
        <v>0</v>
      </c>
      <c r="C31" s="177">
        <v>0</v>
      </c>
      <c r="D31" s="177">
        <v>0</v>
      </c>
      <c r="E31" s="177">
        <v>0</v>
      </c>
      <c r="F31" s="177">
        <v>0</v>
      </c>
      <c r="G31" s="177">
        <v>0</v>
      </c>
      <c r="H31" s="177">
        <v>0</v>
      </c>
      <c r="I31" s="177">
        <v>0</v>
      </c>
      <c r="J31" s="178">
        <v>0</v>
      </c>
      <c r="K31" s="178">
        <v>0</v>
      </c>
    </row>
    <row r="32" spans="1:11" x14ac:dyDescent="0.2">
      <c r="A32" s="155" t="s">
        <v>355</v>
      </c>
      <c r="B32" s="177">
        <v>0</v>
      </c>
      <c r="C32" s="177">
        <v>0</v>
      </c>
      <c r="D32" s="177">
        <v>0</v>
      </c>
      <c r="E32" s="177">
        <v>0</v>
      </c>
      <c r="F32" s="177">
        <v>0</v>
      </c>
      <c r="G32" s="177">
        <v>0</v>
      </c>
      <c r="H32" s="177">
        <v>0</v>
      </c>
      <c r="I32" s="177">
        <v>0</v>
      </c>
      <c r="J32" s="178">
        <v>0</v>
      </c>
      <c r="K32" s="178">
        <v>0</v>
      </c>
    </row>
    <row r="33" spans="1:11" x14ac:dyDescent="0.2">
      <c r="A33" s="155" t="s">
        <v>356</v>
      </c>
      <c r="B33" s="171"/>
      <c r="C33" s="171"/>
      <c r="D33" s="171"/>
      <c r="E33" s="171"/>
      <c r="F33" s="171"/>
      <c r="G33" s="171"/>
      <c r="H33" s="171"/>
      <c r="I33" s="171"/>
      <c r="J33" s="172"/>
      <c r="K33" s="172"/>
    </row>
    <row r="34" spans="1:11" x14ac:dyDescent="0.2">
      <c r="A34" s="155" t="s">
        <v>357</v>
      </c>
      <c r="B34" s="171">
        <f t="shared" ref="B34:K34" si="10">B35+B36</f>
        <v>0</v>
      </c>
      <c r="C34" s="171">
        <f t="shared" si="10"/>
        <v>0</v>
      </c>
      <c r="D34" s="171">
        <f t="shared" ref="D34:F34" si="11">D35+D36</f>
        <v>0</v>
      </c>
      <c r="E34" s="171">
        <f t="shared" si="11"/>
        <v>0</v>
      </c>
      <c r="F34" s="171">
        <f t="shared" si="11"/>
        <v>0</v>
      </c>
      <c r="G34" s="171">
        <f t="shared" si="10"/>
        <v>0</v>
      </c>
      <c r="H34" s="171">
        <f t="shared" si="10"/>
        <v>0</v>
      </c>
      <c r="I34" s="171">
        <f t="shared" si="10"/>
        <v>0</v>
      </c>
      <c r="J34" s="172">
        <f t="shared" si="10"/>
        <v>0</v>
      </c>
      <c r="K34" s="172">
        <f t="shared" si="10"/>
        <v>0</v>
      </c>
    </row>
    <row r="35" spans="1:11" x14ac:dyDescent="0.2">
      <c r="A35" s="155" t="s">
        <v>358</v>
      </c>
      <c r="B35" s="177">
        <v>0</v>
      </c>
      <c r="C35" s="177">
        <v>0</v>
      </c>
      <c r="D35" s="177">
        <v>0</v>
      </c>
      <c r="E35" s="177">
        <v>0</v>
      </c>
      <c r="F35" s="177">
        <v>0</v>
      </c>
      <c r="G35" s="177">
        <v>0</v>
      </c>
      <c r="H35" s="177">
        <v>0</v>
      </c>
      <c r="I35" s="177">
        <v>0</v>
      </c>
      <c r="J35" s="178">
        <v>0</v>
      </c>
      <c r="K35" s="178">
        <v>0</v>
      </c>
    </row>
    <row r="36" spans="1:11" x14ac:dyDescent="0.2">
      <c r="A36" s="155" t="s">
        <v>359</v>
      </c>
      <c r="B36" s="177">
        <v>0</v>
      </c>
      <c r="C36" s="177">
        <v>0</v>
      </c>
      <c r="D36" s="177">
        <v>0</v>
      </c>
      <c r="E36" s="177">
        <v>0</v>
      </c>
      <c r="F36" s="177">
        <v>0</v>
      </c>
      <c r="G36" s="177">
        <v>0</v>
      </c>
      <c r="H36" s="177">
        <v>0</v>
      </c>
      <c r="I36" s="177">
        <v>0</v>
      </c>
      <c r="J36" s="178">
        <v>0</v>
      </c>
      <c r="K36" s="178">
        <v>0</v>
      </c>
    </row>
    <row r="37" spans="1:11" x14ac:dyDescent="0.2">
      <c r="A37" s="155" t="s">
        <v>360</v>
      </c>
      <c r="B37" s="171">
        <f>SUM(B38:B39)</f>
        <v>0</v>
      </c>
      <c r="C37" s="171">
        <f t="shared" ref="C37:K37" si="12">SUM(C38:C39)</f>
        <v>0</v>
      </c>
      <c r="D37" s="171">
        <f t="shared" ref="D37:F37" si="13">SUM(D38:D39)</f>
        <v>0</v>
      </c>
      <c r="E37" s="171">
        <f t="shared" si="13"/>
        <v>0</v>
      </c>
      <c r="F37" s="171">
        <f t="shared" si="13"/>
        <v>0</v>
      </c>
      <c r="G37" s="171">
        <f t="shared" si="12"/>
        <v>0</v>
      </c>
      <c r="H37" s="171">
        <f t="shared" si="12"/>
        <v>0</v>
      </c>
      <c r="I37" s="171">
        <f t="shared" si="12"/>
        <v>0</v>
      </c>
      <c r="J37" s="172">
        <f t="shared" si="12"/>
        <v>0</v>
      </c>
      <c r="K37" s="172">
        <f t="shared" si="12"/>
        <v>0</v>
      </c>
    </row>
    <row r="38" spans="1:11" x14ac:dyDescent="0.2">
      <c r="A38" s="155" t="s">
        <v>361</v>
      </c>
      <c r="B38" s="177">
        <v>0</v>
      </c>
      <c r="C38" s="177">
        <v>0</v>
      </c>
      <c r="D38" s="177">
        <v>0</v>
      </c>
      <c r="E38" s="177">
        <v>0</v>
      </c>
      <c r="F38" s="177">
        <v>0</v>
      </c>
      <c r="G38" s="177">
        <v>0</v>
      </c>
      <c r="H38" s="177">
        <v>0</v>
      </c>
      <c r="I38" s="177">
        <v>0</v>
      </c>
      <c r="J38" s="178">
        <v>0</v>
      </c>
      <c r="K38" s="178">
        <v>0</v>
      </c>
    </row>
    <row r="39" spans="1:11" x14ac:dyDescent="0.2">
      <c r="A39" s="155" t="s">
        <v>362</v>
      </c>
      <c r="B39" s="177">
        <v>0</v>
      </c>
      <c r="C39" s="177">
        <v>0</v>
      </c>
      <c r="D39" s="177">
        <v>0</v>
      </c>
      <c r="E39" s="177">
        <v>0</v>
      </c>
      <c r="F39" s="177">
        <v>0</v>
      </c>
      <c r="G39" s="177">
        <v>0</v>
      </c>
      <c r="H39" s="177">
        <v>0</v>
      </c>
      <c r="I39" s="177">
        <v>0</v>
      </c>
      <c r="J39" s="178">
        <v>0</v>
      </c>
      <c r="K39" s="178">
        <v>0</v>
      </c>
    </row>
    <row r="40" spans="1:11" ht="12" customHeight="1" x14ac:dyDescent="0.2">
      <c r="A40" s="155" t="s">
        <v>341</v>
      </c>
      <c r="B40" s="171"/>
      <c r="C40" s="171"/>
      <c r="D40" s="171"/>
      <c r="E40" s="171"/>
      <c r="F40" s="171"/>
      <c r="G40" s="171"/>
      <c r="H40" s="171"/>
      <c r="I40" s="171"/>
      <c r="J40" s="172"/>
      <c r="K40" s="172"/>
    </row>
    <row r="41" spans="1:11" ht="13.8" x14ac:dyDescent="0.3">
      <c r="A41" s="168" t="s">
        <v>363</v>
      </c>
      <c r="B41" s="169">
        <f t="shared" ref="B41:K41" si="14">B43+B47+B57+B61+B65+B67</f>
        <v>0</v>
      </c>
      <c r="C41" s="169">
        <f t="shared" si="14"/>
        <v>0</v>
      </c>
      <c r="D41" s="169">
        <f t="shared" ref="D41:F41" si="15">D43+D47+D57+D61+D65+D67</f>
        <v>0</v>
      </c>
      <c r="E41" s="169">
        <f t="shared" si="15"/>
        <v>0</v>
      </c>
      <c r="F41" s="169">
        <f t="shared" si="15"/>
        <v>0</v>
      </c>
      <c r="G41" s="169">
        <f t="shared" si="14"/>
        <v>0</v>
      </c>
      <c r="H41" s="169">
        <f t="shared" si="14"/>
        <v>0</v>
      </c>
      <c r="I41" s="169">
        <f t="shared" si="14"/>
        <v>0</v>
      </c>
      <c r="J41" s="170">
        <f t="shared" si="14"/>
        <v>0</v>
      </c>
      <c r="K41" s="170">
        <f t="shared" si="14"/>
        <v>0</v>
      </c>
    </row>
    <row r="42" spans="1:11" ht="11.25" customHeight="1" x14ac:dyDescent="0.2">
      <c r="A42" s="155" t="s">
        <v>341</v>
      </c>
      <c r="B42" s="171"/>
      <c r="C42" s="171"/>
      <c r="D42" s="171"/>
      <c r="E42" s="171"/>
      <c r="F42" s="171"/>
      <c r="G42" s="171"/>
      <c r="H42" s="171"/>
      <c r="I42" s="171"/>
      <c r="J42" s="172"/>
      <c r="K42" s="172"/>
    </row>
    <row r="43" spans="1:11" x14ac:dyDescent="0.2">
      <c r="A43" s="148" t="s">
        <v>364</v>
      </c>
      <c r="B43" s="175">
        <f>SUM(B44:B45)</f>
        <v>0</v>
      </c>
      <c r="C43" s="175">
        <f t="shared" ref="C43:K43" si="16">SUM(C44:C45)</f>
        <v>0</v>
      </c>
      <c r="D43" s="175">
        <f t="shared" ref="D43:F43" si="17">SUM(D44:D45)</f>
        <v>0</v>
      </c>
      <c r="E43" s="175">
        <f t="shared" si="17"/>
        <v>0</v>
      </c>
      <c r="F43" s="175">
        <f t="shared" si="17"/>
        <v>0</v>
      </c>
      <c r="G43" s="175">
        <f t="shared" si="16"/>
        <v>0</v>
      </c>
      <c r="H43" s="175">
        <f t="shared" si="16"/>
        <v>0</v>
      </c>
      <c r="I43" s="175">
        <f t="shared" si="16"/>
        <v>0</v>
      </c>
      <c r="J43" s="176">
        <f t="shared" si="16"/>
        <v>0</v>
      </c>
      <c r="K43" s="176">
        <f t="shared" si="16"/>
        <v>0</v>
      </c>
    </row>
    <row r="44" spans="1:11" x14ac:dyDescent="0.2">
      <c r="A44" s="155" t="s">
        <v>365</v>
      </c>
      <c r="B44" s="177">
        <v>0</v>
      </c>
      <c r="C44" s="177">
        <v>0</v>
      </c>
      <c r="D44" s="177">
        <v>0</v>
      </c>
      <c r="E44" s="177">
        <v>0</v>
      </c>
      <c r="F44" s="177">
        <v>0</v>
      </c>
      <c r="G44" s="177">
        <v>0</v>
      </c>
      <c r="H44" s="177">
        <v>0</v>
      </c>
      <c r="I44" s="177">
        <v>0</v>
      </c>
      <c r="J44" s="178">
        <v>0</v>
      </c>
      <c r="K44" s="178">
        <v>0</v>
      </c>
    </row>
    <row r="45" spans="1:11" x14ac:dyDescent="0.2">
      <c r="A45" s="155" t="s">
        <v>366</v>
      </c>
      <c r="B45" s="177">
        <v>0</v>
      </c>
      <c r="C45" s="177">
        <v>0</v>
      </c>
      <c r="D45" s="177">
        <v>0</v>
      </c>
      <c r="E45" s="177">
        <v>0</v>
      </c>
      <c r="F45" s="177">
        <v>0</v>
      </c>
      <c r="G45" s="177">
        <v>0</v>
      </c>
      <c r="H45" s="177">
        <v>0</v>
      </c>
      <c r="I45" s="177">
        <v>0</v>
      </c>
      <c r="J45" s="178">
        <v>0</v>
      </c>
      <c r="K45" s="178">
        <v>0</v>
      </c>
    </row>
    <row r="46" spans="1:11" ht="11.25" customHeight="1" x14ac:dyDescent="0.2">
      <c r="A46" s="155" t="s">
        <v>341</v>
      </c>
      <c r="B46" s="171"/>
      <c r="C46" s="171"/>
      <c r="D46" s="171"/>
      <c r="E46" s="171"/>
      <c r="F46" s="171"/>
      <c r="G46" s="171"/>
      <c r="H46" s="171"/>
      <c r="I46" s="171"/>
      <c r="J46" s="172"/>
      <c r="K46" s="172"/>
    </row>
    <row r="47" spans="1:11" x14ac:dyDescent="0.2">
      <c r="A47" s="148" t="s">
        <v>367</v>
      </c>
      <c r="B47" s="175">
        <f t="shared" ref="B47:K47" si="18">B48+B55</f>
        <v>0</v>
      </c>
      <c r="C47" s="175">
        <f t="shared" si="18"/>
        <v>0</v>
      </c>
      <c r="D47" s="175">
        <f t="shared" ref="D47:F47" si="19">D48+D55</f>
        <v>0</v>
      </c>
      <c r="E47" s="175">
        <f t="shared" si="19"/>
        <v>0</v>
      </c>
      <c r="F47" s="175">
        <f t="shared" si="19"/>
        <v>0</v>
      </c>
      <c r="G47" s="175">
        <f t="shared" si="18"/>
        <v>0</v>
      </c>
      <c r="H47" s="175">
        <f t="shared" si="18"/>
        <v>0</v>
      </c>
      <c r="I47" s="175">
        <f t="shared" si="18"/>
        <v>0</v>
      </c>
      <c r="J47" s="176">
        <f t="shared" si="18"/>
        <v>0</v>
      </c>
      <c r="K47" s="176">
        <f t="shared" si="18"/>
        <v>0</v>
      </c>
    </row>
    <row r="48" spans="1:11" x14ac:dyDescent="0.2">
      <c r="A48" s="155" t="s">
        <v>368</v>
      </c>
      <c r="B48" s="171">
        <f t="shared" ref="B48:K48" si="20">SUM(B49:B54)</f>
        <v>0</v>
      </c>
      <c r="C48" s="171">
        <f t="shared" si="20"/>
        <v>0</v>
      </c>
      <c r="D48" s="171">
        <f t="shared" ref="D48:F48" si="21">SUM(D49:D54)</f>
        <v>0</v>
      </c>
      <c r="E48" s="171">
        <f t="shared" si="21"/>
        <v>0</v>
      </c>
      <c r="F48" s="171">
        <f t="shared" si="21"/>
        <v>0</v>
      </c>
      <c r="G48" s="171">
        <f t="shared" si="20"/>
        <v>0</v>
      </c>
      <c r="H48" s="171">
        <f t="shared" si="20"/>
        <v>0</v>
      </c>
      <c r="I48" s="171">
        <f t="shared" si="20"/>
        <v>0</v>
      </c>
      <c r="J48" s="172">
        <f t="shared" si="20"/>
        <v>0</v>
      </c>
      <c r="K48" s="172">
        <f t="shared" si="20"/>
        <v>0</v>
      </c>
    </row>
    <row r="49" spans="1:11" x14ac:dyDescent="0.2">
      <c r="A49" s="155" t="s">
        <v>369</v>
      </c>
      <c r="B49" s="177">
        <v>0</v>
      </c>
      <c r="C49" s="177">
        <v>0</v>
      </c>
      <c r="D49" s="177">
        <v>0</v>
      </c>
      <c r="E49" s="177">
        <v>0</v>
      </c>
      <c r="F49" s="177">
        <v>0</v>
      </c>
      <c r="G49" s="177">
        <v>0</v>
      </c>
      <c r="H49" s="177">
        <v>0</v>
      </c>
      <c r="I49" s="177">
        <v>0</v>
      </c>
      <c r="J49" s="178">
        <v>0</v>
      </c>
      <c r="K49" s="178">
        <v>0</v>
      </c>
    </row>
    <row r="50" spans="1:11" x14ac:dyDescent="0.2">
      <c r="A50" s="155" t="s">
        <v>370</v>
      </c>
      <c r="B50" s="177">
        <v>0</v>
      </c>
      <c r="C50" s="177">
        <v>0</v>
      </c>
      <c r="D50" s="177">
        <v>0</v>
      </c>
      <c r="E50" s="177">
        <v>0</v>
      </c>
      <c r="F50" s="177">
        <v>0</v>
      </c>
      <c r="G50" s="177">
        <v>0</v>
      </c>
      <c r="H50" s="177">
        <v>0</v>
      </c>
      <c r="I50" s="177">
        <v>0</v>
      </c>
      <c r="J50" s="178">
        <v>0</v>
      </c>
      <c r="K50" s="178">
        <v>0</v>
      </c>
    </row>
    <row r="51" spans="1:11" x14ac:dyDescent="0.2">
      <c r="A51" s="155" t="s">
        <v>371</v>
      </c>
      <c r="B51" s="177">
        <v>0</v>
      </c>
      <c r="C51" s="177">
        <v>0</v>
      </c>
      <c r="D51" s="177">
        <v>0</v>
      </c>
      <c r="E51" s="177">
        <v>0</v>
      </c>
      <c r="F51" s="177">
        <v>0</v>
      </c>
      <c r="G51" s="177">
        <v>0</v>
      </c>
      <c r="H51" s="177">
        <v>0</v>
      </c>
      <c r="I51" s="177">
        <v>0</v>
      </c>
      <c r="J51" s="178">
        <v>0</v>
      </c>
      <c r="K51" s="178">
        <v>0</v>
      </c>
    </row>
    <row r="52" spans="1:11" x14ac:dyDescent="0.2">
      <c r="A52" s="155" t="s">
        <v>372</v>
      </c>
      <c r="B52" s="177">
        <v>0</v>
      </c>
      <c r="C52" s="177">
        <v>0</v>
      </c>
      <c r="D52" s="177">
        <v>0</v>
      </c>
      <c r="E52" s="177">
        <v>0</v>
      </c>
      <c r="F52" s="177">
        <v>0</v>
      </c>
      <c r="G52" s="177">
        <v>0</v>
      </c>
      <c r="H52" s="177">
        <v>0</v>
      </c>
      <c r="I52" s="177">
        <v>0</v>
      </c>
      <c r="J52" s="178">
        <v>0</v>
      </c>
      <c r="K52" s="178">
        <v>0</v>
      </c>
    </row>
    <row r="53" spans="1:11" x14ac:dyDescent="0.2">
      <c r="A53" s="155" t="s">
        <v>373</v>
      </c>
      <c r="B53" s="177">
        <v>0</v>
      </c>
      <c r="C53" s="177">
        <v>0</v>
      </c>
      <c r="D53" s="177">
        <v>0</v>
      </c>
      <c r="E53" s="177">
        <v>0</v>
      </c>
      <c r="F53" s="177">
        <v>0</v>
      </c>
      <c r="G53" s="177">
        <v>0</v>
      </c>
      <c r="H53" s="177">
        <v>0</v>
      </c>
      <c r="I53" s="177">
        <v>0</v>
      </c>
      <c r="J53" s="178">
        <v>0</v>
      </c>
      <c r="K53" s="178">
        <v>0</v>
      </c>
    </row>
    <row r="54" spans="1:11" x14ac:dyDescent="0.2">
      <c r="A54" s="155" t="s">
        <v>374</v>
      </c>
      <c r="B54" s="177">
        <v>0</v>
      </c>
      <c r="C54" s="177">
        <v>0</v>
      </c>
      <c r="D54" s="177">
        <v>0</v>
      </c>
      <c r="E54" s="177">
        <v>0</v>
      </c>
      <c r="F54" s="177">
        <v>0</v>
      </c>
      <c r="G54" s="177">
        <v>0</v>
      </c>
      <c r="H54" s="177">
        <v>0</v>
      </c>
      <c r="I54" s="177">
        <v>0</v>
      </c>
      <c r="J54" s="178">
        <v>0</v>
      </c>
      <c r="K54" s="178">
        <v>0</v>
      </c>
    </row>
    <row r="55" spans="1:11" x14ac:dyDescent="0.2">
      <c r="A55" s="155" t="s">
        <v>375</v>
      </c>
      <c r="B55" s="177">
        <v>0</v>
      </c>
      <c r="C55" s="177">
        <v>0</v>
      </c>
      <c r="D55" s="177">
        <v>0</v>
      </c>
      <c r="E55" s="177">
        <v>0</v>
      </c>
      <c r="F55" s="177">
        <v>0</v>
      </c>
      <c r="G55" s="177">
        <v>0</v>
      </c>
      <c r="H55" s="177">
        <v>0</v>
      </c>
      <c r="I55" s="177">
        <v>0</v>
      </c>
      <c r="J55" s="178">
        <v>0</v>
      </c>
      <c r="K55" s="178">
        <v>0</v>
      </c>
    </row>
    <row r="56" spans="1:11" ht="12.75" customHeight="1" x14ac:dyDescent="0.2">
      <c r="A56" s="155" t="s">
        <v>341</v>
      </c>
      <c r="B56" s="171"/>
      <c r="C56" s="171"/>
      <c r="D56" s="171"/>
      <c r="E56" s="171"/>
      <c r="F56" s="171"/>
      <c r="G56" s="171"/>
      <c r="H56" s="171"/>
      <c r="I56" s="171"/>
      <c r="J56" s="172"/>
      <c r="K56" s="172"/>
    </row>
    <row r="57" spans="1:11" x14ac:dyDescent="0.2">
      <c r="A57" s="148" t="s">
        <v>376</v>
      </c>
      <c r="B57" s="175">
        <f t="shared" ref="B57:K57" si="22">B58+B59</f>
        <v>0</v>
      </c>
      <c r="C57" s="175">
        <f t="shared" si="22"/>
        <v>0</v>
      </c>
      <c r="D57" s="175">
        <f t="shared" ref="D57:F57" si="23">D58+D59</f>
        <v>0</v>
      </c>
      <c r="E57" s="175">
        <f t="shared" si="23"/>
        <v>0</v>
      </c>
      <c r="F57" s="175">
        <f t="shared" si="23"/>
        <v>0</v>
      </c>
      <c r="G57" s="175">
        <f t="shared" si="22"/>
        <v>0</v>
      </c>
      <c r="H57" s="175">
        <f t="shared" si="22"/>
        <v>0</v>
      </c>
      <c r="I57" s="175">
        <f t="shared" si="22"/>
        <v>0</v>
      </c>
      <c r="J57" s="176">
        <f t="shared" si="22"/>
        <v>0</v>
      </c>
      <c r="K57" s="176">
        <f t="shared" si="22"/>
        <v>0</v>
      </c>
    </row>
    <row r="58" spans="1:11" x14ac:dyDescent="0.2">
      <c r="A58" s="155" t="s">
        <v>377</v>
      </c>
      <c r="B58" s="177">
        <v>0</v>
      </c>
      <c r="C58" s="177">
        <v>0</v>
      </c>
      <c r="D58" s="177">
        <v>0</v>
      </c>
      <c r="E58" s="177">
        <v>0</v>
      </c>
      <c r="F58" s="177">
        <v>0</v>
      </c>
      <c r="G58" s="177">
        <v>0</v>
      </c>
      <c r="H58" s="177">
        <v>0</v>
      </c>
      <c r="I58" s="177">
        <v>0</v>
      </c>
      <c r="J58" s="178">
        <v>0</v>
      </c>
      <c r="K58" s="178">
        <v>0</v>
      </c>
    </row>
    <row r="59" spans="1:11" x14ac:dyDescent="0.2">
      <c r="A59" s="155" t="s">
        <v>378</v>
      </c>
      <c r="B59" s="177">
        <v>0</v>
      </c>
      <c r="C59" s="177">
        <v>0</v>
      </c>
      <c r="D59" s="177">
        <v>0</v>
      </c>
      <c r="E59" s="177">
        <v>0</v>
      </c>
      <c r="F59" s="177">
        <v>0</v>
      </c>
      <c r="G59" s="177">
        <v>0</v>
      </c>
      <c r="H59" s="177">
        <v>0</v>
      </c>
      <c r="I59" s="177">
        <v>0</v>
      </c>
      <c r="J59" s="178">
        <v>0</v>
      </c>
      <c r="K59" s="178">
        <v>0</v>
      </c>
    </row>
    <row r="60" spans="1:11" x14ac:dyDescent="0.2">
      <c r="A60" s="155" t="s">
        <v>341</v>
      </c>
      <c r="B60" s="171"/>
      <c r="C60" s="171"/>
      <c r="D60" s="171"/>
      <c r="E60" s="171"/>
      <c r="F60" s="171"/>
      <c r="G60" s="171"/>
      <c r="H60" s="171"/>
      <c r="I60" s="171"/>
      <c r="J60" s="172"/>
      <c r="K60" s="172"/>
    </row>
    <row r="61" spans="1:11" x14ac:dyDescent="0.2">
      <c r="A61" s="148" t="s">
        <v>379</v>
      </c>
      <c r="B61" s="175">
        <f t="shared" ref="B61:K61" si="24">B62+B63</f>
        <v>0</v>
      </c>
      <c r="C61" s="175">
        <f t="shared" si="24"/>
        <v>0</v>
      </c>
      <c r="D61" s="175">
        <f t="shared" ref="D61:F61" si="25">D62+D63</f>
        <v>0</v>
      </c>
      <c r="E61" s="175">
        <f t="shared" si="25"/>
        <v>0</v>
      </c>
      <c r="F61" s="175">
        <f t="shared" si="25"/>
        <v>0</v>
      </c>
      <c r="G61" s="175">
        <f t="shared" si="24"/>
        <v>0</v>
      </c>
      <c r="H61" s="175">
        <f t="shared" si="24"/>
        <v>0</v>
      </c>
      <c r="I61" s="175">
        <f t="shared" si="24"/>
        <v>0</v>
      </c>
      <c r="J61" s="176">
        <f t="shared" si="24"/>
        <v>0</v>
      </c>
      <c r="K61" s="176">
        <f t="shared" si="24"/>
        <v>0</v>
      </c>
    </row>
    <row r="62" spans="1:11" x14ac:dyDescent="0.2">
      <c r="A62" s="155" t="s">
        <v>380</v>
      </c>
      <c r="B62" s="177">
        <v>0</v>
      </c>
      <c r="C62" s="177">
        <v>0</v>
      </c>
      <c r="D62" s="177">
        <v>0</v>
      </c>
      <c r="E62" s="177">
        <v>0</v>
      </c>
      <c r="F62" s="177">
        <v>0</v>
      </c>
      <c r="G62" s="177">
        <v>0</v>
      </c>
      <c r="H62" s="177">
        <v>0</v>
      </c>
      <c r="I62" s="177">
        <v>0</v>
      </c>
      <c r="J62" s="178">
        <v>0</v>
      </c>
      <c r="K62" s="178">
        <v>0</v>
      </c>
    </row>
    <row r="63" spans="1:11" x14ac:dyDescent="0.2">
      <c r="A63" s="155" t="s">
        <v>381</v>
      </c>
      <c r="B63" s="177">
        <v>0</v>
      </c>
      <c r="C63" s="177">
        <v>0</v>
      </c>
      <c r="D63" s="177">
        <v>0</v>
      </c>
      <c r="E63" s="177">
        <v>0</v>
      </c>
      <c r="F63" s="177">
        <v>0</v>
      </c>
      <c r="G63" s="177">
        <v>0</v>
      </c>
      <c r="H63" s="177">
        <v>0</v>
      </c>
      <c r="I63" s="177">
        <v>0</v>
      </c>
      <c r="J63" s="178">
        <v>0</v>
      </c>
      <c r="K63" s="178">
        <v>0</v>
      </c>
    </row>
    <row r="64" spans="1:11" ht="12.75" customHeight="1" x14ac:dyDescent="0.2">
      <c r="A64" s="155" t="s">
        <v>341</v>
      </c>
      <c r="B64" s="171"/>
      <c r="C64" s="171"/>
      <c r="D64" s="171"/>
      <c r="E64" s="171"/>
      <c r="F64" s="171"/>
      <c r="G64" s="171"/>
      <c r="H64" s="171"/>
      <c r="I64" s="171"/>
      <c r="J64" s="172"/>
      <c r="K64" s="172"/>
    </row>
    <row r="65" spans="1:11" x14ac:dyDescent="0.2">
      <c r="A65" s="148" t="s">
        <v>382</v>
      </c>
      <c r="B65" s="173">
        <v>0</v>
      </c>
      <c r="C65" s="173">
        <v>0</v>
      </c>
      <c r="D65" s="173">
        <v>0</v>
      </c>
      <c r="E65" s="173">
        <v>0</v>
      </c>
      <c r="F65" s="173">
        <v>0</v>
      </c>
      <c r="G65" s="173">
        <v>0</v>
      </c>
      <c r="H65" s="173">
        <v>0</v>
      </c>
      <c r="I65" s="173">
        <v>0</v>
      </c>
      <c r="J65" s="174">
        <v>0</v>
      </c>
      <c r="K65" s="174">
        <v>0</v>
      </c>
    </row>
    <row r="66" spans="1:11" ht="12" customHeight="1" x14ac:dyDescent="0.2">
      <c r="A66" s="155" t="s">
        <v>341</v>
      </c>
      <c r="B66" s="171"/>
      <c r="C66" s="171"/>
      <c r="D66" s="171"/>
      <c r="E66" s="171"/>
      <c r="F66" s="171"/>
      <c r="G66" s="171"/>
      <c r="H66" s="171"/>
      <c r="I66" s="171"/>
      <c r="J66" s="172"/>
      <c r="K66" s="172"/>
    </row>
    <row r="67" spans="1:11" x14ac:dyDescent="0.2">
      <c r="A67" s="148" t="s">
        <v>383</v>
      </c>
      <c r="B67" s="173">
        <v>0</v>
      </c>
      <c r="C67" s="173">
        <v>0</v>
      </c>
      <c r="D67" s="173">
        <v>0</v>
      </c>
      <c r="E67" s="173">
        <v>0</v>
      </c>
      <c r="F67" s="173">
        <v>0</v>
      </c>
      <c r="G67" s="173">
        <v>0</v>
      </c>
      <c r="H67" s="173">
        <v>0</v>
      </c>
      <c r="I67" s="173">
        <v>0</v>
      </c>
      <c r="J67" s="174">
        <v>0</v>
      </c>
      <c r="K67" s="174">
        <v>0</v>
      </c>
    </row>
    <row r="68" spans="1:11" ht="12" customHeight="1" x14ac:dyDescent="0.2">
      <c r="A68" s="155" t="s">
        <v>341</v>
      </c>
      <c r="B68" s="171"/>
      <c r="C68" s="171"/>
      <c r="D68" s="171"/>
      <c r="E68" s="171"/>
      <c r="F68" s="171"/>
      <c r="G68" s="171"/>
      <c r="H68" s="171"/>
      <c r="I68" s="171"/>
      <c r="J68" s="179"/>
      <c r="K68" s="179"/>
    </row>
    <row r="69" spans="1:11" ht="13.2" x14ac:dyDescent="0.25">
      <c r="A69" s="180" t="s">
        <v>384</v>
      </c>
      <c r="B69" s="181">
        <f t="shared" ref="B69:K69" si="26">B41+B15</f>
        <v>0</v>
      </c>
      <c r="C69" s="181">
        <f t="shared" si="26"/>
        <v>0</v>
      </c>
      <c r="D69" s="181">
        <f t="shared" ref="D69:F69" si="27">D41+D15</f>
        <v>0</v>
      </c>
      <c r="E69" s="181">
        <f t="shared" si="27"/>
        <v>0</v>
      </c>
      <c r="F69" s="181">
        <f t="shared" si="27"/>
        <v>0</v>
      </c>
      <c r="G69" s="181">
        <f t="shared" si="26"/>
        <v>0</v>
      </c>
      <c r="H69" s="181">
        <f t="shared" si="26"/>
        <v>0</v>
      </c>
      <c r="I69" s="181">
        <f t="shared" si="26"/>
        <v>0</v>
      </c>
      <c r="J69" s="182">
        <f t="shared" si="26"/>
        <v>0</v>
      </c>
      <c r="K69" s="182">
        <f t="shared" si="26"/>
        <v>0</v>
      </c>
    </row>
    <row r="70" spans="1:11" s="159" customFormat="1" ht="13.2" x14ac:dyDescent="0.25">
      <c r="A70" s="156" t="s">
        <v>337</v>
      </c>
      <c r="B70" s="157">
        <f t="shared" ref="B70:K70" si="28">B7</f>
        <v>43828</v>
      </c>
      <c r="C70" s="157">
        <f t="shared" si="28"/>
        <v>44194</v>
      </c>
      <c r="D70" s="157">
        <f t="shared" ref="D70:F70" si="29">D7</f>
        <v>44560</v>
      </c>
      <c r="E70" s="157">
        <f t="shared" si="29"/>
        <v>44926</v>
      </c>
      <c r="F70" s="157">
        <f t="shared" si="29"/>
        <v>45291</v>
      </c>
      <c r="G70" s="157">
        <f t="shared" si="28"/>
        <v>45656</v>
      </c>
      <c r="H70" s="157">
        <f t="shared" si="28"/>
        <v>46021</v>
      </c>
      <c r="I70" s="157">
        <f t="shared" si="28"/>
        <v>46386</v>
      </c>
      <c r="J70" s="158">
        <f t="shared" si="28"/>
        <v>46751</v>
      </c>
      <c r="K70" s="158">
        <f t="shared" si="28"/>
        <v>47116</v>
      </c>
    </row>
    <row r="71" spans="1:11" x14ac:dyDescent="0.2">
      <c r="A71" s="155"/>
      <c r="B71" s="183"/>
      <c r="C71" s="183"/>
      <c r="D71" s="183"/>
      <c r="E71" s="183"/>
      <c r="F71" s="183"/>
      <c r="G71" s="183"/>
      <c r="H71" s="183"/>
      <c r="I71" s="183"/>
      <c r="J71" s="184"/>
      <c r="K71" s="184"/>
    </row>
    <row r="72" spans="1:11" x14ac:dyDescent="0.2">
      <c r="A72" s="155"/>
      <c r="B72" s="166"/>
      <c r="C72" s="166"/>
      <c r="D72" s="166"/>
      <c r="E72" s="166"/>
      <c r="F72" s="166"/>
      <c r="G72" s="166"/>
      <c r="H72" s="166"/>
      <c r="I72" s="166"/>
      <c r="J72" s="185"/>
      <c r="K72" s="185"/>
    </row>
    <row r="73" spans="1:11" x14ac:dyDescent="0.2">
      <c r="A73" s="155" t="s">
        <v>385</v>
      </c>
      <c r="B73" s="166"/>
      <c r="C73" s="166"/>
      <c r="D73" s="166"/>
      <c r="E73" s="166"/>
      <c r="F73" s="166"/>
      <c r="G73" s="166"/>
      <c r="H73" s="166"/>
      <c r="I73" s="166"/>
      <c r="J73" s="167"/>
      <c r="K73" s="167"/>
    </row>
    <row r="74" spans="1:11" x14ac:dyDescent="0.2">
      <c r="A74" s="155" t="s">
        <v>341</v>
      </c>
      <c r="B74" s="166"/>
      <c r="C74" s="166"/>
      <c r="D74" s="166"/>
      <c r="E74" s="166"/>
      <c r="F74" s="166"/>
      <c r="G74" s="166"/>
      <c r="H74" s="166"/>
      <c r="I74" s="166"/>
      <c r="J74" s="167"/>
      <c r="K74" s="167"/>
    </row>
    <row r="75" spans="1:11" ht="13.8" x14ac:dyDescent="0.3">
      <c r="A75" s="168" t="s">
        <v>386</v>
      </c>
      <c r="B75" s="169">
        <f t="shared" ref="B75:K75" si="30">B77+B81+B83+B85+B91+B92+B94</f>
        <v>0</v>
      </c>
      <c r="C75" s="169">
        <f t="shared" si="30"/>
        <v>0</v>
      </c>
      <c r="D75" s="169">
        <f t="shared" ref="D75:F75" si="31">D77+D81+D83+D85+D91+D92+D94</f>
        <v>0</v>
      </c>
      <c r="E75" s="169">
        <f t="shared" si="31"/>
        <v>0</v>
      </c>
      <c r="F75" s="169">
        <f t="shared" si="31"/>
        <v>0</v>
      </c>
      <c r="G75" s="169">
        <f t="shared" si="30"/>
        <v>0</v>
      </c>
      <c r="H75" s="169">
        <f t="shared" si="30"/>
        <v>0</v>
      </c>
      <c r="I75" s="169">
        <f t="shared" si="30"/>
        <v>0</v>
      </c>
      <c r="J75" s="170">
        <f t="shared" si="30"/>
        <v>0</v>
      </c>
      <c r="K75" s="170">
        <f t="shared" si="30"/>
        <v>0</v>
      </c>
    </row>
    <row r="76" spans="1:11" x14ac:dyDescent="0.2">
      <c r="A76" s="155" t="s">
        <v>341</v>
      </c>
      <c r="B76" s="171"/>
      <c r="C76" s="171"/>
      <c r="D76" s="171"/>
      <c r="E76" s="171"/>
      <c r="F76" s="171"/>
      <c r="G76" s="171"/>
      <c r="H76" s="171"/>
      <c r="I76" s="171"/>
      <c r="J76" s="172"/>
      <c r="K76" s="172"/>
    </row>
    <row r="77" spans="1:11" x14ac:dyDescent="0.2">
      <c r="A77" s="148" t="s">
        <v>387</v>
      </c>
      <c r="B77" s="175">
        <f t="shared" ref="B77:K77" si="32">B78+B79</f>
        <v>0</v>
      </c>
      <c r="C77" s="175">
        <f t="shared" si="32"/>
        <v>0</v>
      </c>
      <c r="D77" s="175">
        <f t="shared" ref="D77:F77" si="33">D78+D79</f>
        <v>0</v>
      </c>
      <c r="E77" s="175">
        <f t="shared" si="33"/>
        <v>0</v>
      </c>
      <c r="F77" s="175">
        <f t="shared" si="33"/>
        <v>0</v>
      </c>
      <c r="G77" s="175">
        <f t="shared" si="32"/>
        <v>0</v>
      </c>
      <c r="H77" s="175">
        <f t="shared" si="32"/>
        <v>0</v>
      </c>
      <c r="I77" s="175">
        <f t="shared" si="32"/>
        <v>0</v>
      </c>
      <c r="J77" s="176">
        <f t="shared" si="32"/>
        <v>0</v>
      </c>
      <c r="K77" s="176">
        <f t="shared" si="32"/>
        <v>0</v>
      </c>
    </row>
    <row r="78" spans="1:11" x14ac:dyDescent="0.2">
      <c r="A78" s="155" t="s">
        <v>388</v>
      </c>
      <c r="B78" s="177">
        <v>0</v>
      </c>
      <c r="C78" s="177">
        <v>0</v>
      </c>
      <c r="D78" s="177">
        <v>0</v>
      </c>
      <c r="E78" s="177">
        <v>0</v>
      </c>
      <c r="F78" s="177">
        <v>0</v>
      </c>
      <c r="G78" s="177">
        <v>0</v>
      </c>
      <c r="H78" s="177">
        <v>0</v>
      </c>
      <c r="I78" s="177">
        <v>0</v>
      </c>
      <c r="J78" s="177">
        <v>0</v>
      </c>
      <c r="K78" s="178">
        <v>0</v>
      </c>
    </row>
    <row r="79" spans="1:11" x14ac:dyDescent="0.2">
      <c r="A79" s="155" t="s">
        <v>389</v>
      </c>
      <c r="B79" s="177">
        <v>0</v>
      </c>
      <c r="C79" s="177">
        <v>0</v>
      </c>
      <c r="D79" s="177">
        <v>0</v>
      </c>
      <c r="E79" s="177">
        <v>0</v>
      </c>
      <c r="F79" s="177">
        <v>0</v>
      </c>
      <c r="G79" s="177">
        <v>0</v>
      </c>
      <c r="H79" s="177">
        <v>0</v>
      </c>
      <c r="I79" s="177">
        <v>0</v>
      </c>
      <c r="J79" s="178">
        <v>0</v>
      </c>
      <c r="K79" s="178">
        <v>0</v>
      </c>
    </row>
    <row r="80" spans="1:11" x14ac:dyDescent="0.2">
      <c r="A80" s="155" t="s">
        <v>341</v>
      </c>
      <c r="B80" s="171"/>
      <c r="C80" s="171"/>
      <c r="D80" s="171"/>
      <c r="E80" s="171"/>
      <c r="F80" s="171"/>
      <c r="G80" s="171"/>
      <c r="H80" s="171"/>
      <c r="I80" s="171"/>
      <c r="J80" s="172"/>
      <c r="K80" s="172"/>
    </row>
    <row r="81" spans="1:11" x14ac:dyDescent="0.2">
      <c r="A81" s="148" t="s">
        <v>390</v>
      </c>
      <c r="B81" s="173">
        <v>0</v>
      </c>
      <c r="C81" s="173">
        <v>0</v>
      </c>
      <c r="D81" s="173">
        <v>0</v>
      </c>
      <c r="E81" s="173">
        <v>0</v>
      </c>
      <c r="F81" s="173">
        <v>0</v>
      </c>
      <c r="G81" s="173">
        <v>0</v>
      </c>
      <c r="H81" s="173">
        <v>0</v>
      </c>
      <c r="I81" s="173">
        <v>0</v>
      </c>
      <c r="J81" s="173">
        <v>0</v>
      </c>
      <c r="K81" s="174">
        <v>0</v>
      </c>
    </row>
    <row r="82" spans="1:11" x14ac:dyDescent="0.2">
      <c r="A82" s="155" t="s">
        <v>341</v>
      </c>
      <c r="B82" s="171"/>
      <c r="C82" s="171"/>
      <c r="D82" s="171"/>
      <c r="E82" s="171"/>
      <c r="F82" s="171"/>
      <c r="G82" s="171"/>
      <c r="H82" s="171"/>
      <c r="I82" s="171"/>
      <c r="J82" s="172"/>
      <c r="K82" s="172"/>
    </row>
    <row r="83" spans="1:11" x14ac:dyDescent="0.2">
      <c r="A83" s="148" t="s">
        <v>391</v>
      </c>
      <c r="B83" s="173">
        <v>0</v>
      </c>
      <c r="C83" s="173">
        <v>0</v>
      </c>
      <c r="D83" s="173">
        <v>0</v>
      </c>
      <c r="E83" s="173">
        <v>0</v>
      </c>
      <c r="F83" s="173">
        <v>0</v>
      </c>
      <c r="G83" s="173">
        <v>0</v>
      </c>
      <c r="H83" s="173">
        <v>0</v>
      </c>
      <c r="I83" s="173">
        <v>0</v>
      </c>
      <c r="J83" s="174">
        <v>0</v>
      </c>
      <c r="K83" s="174">
        <v>0</v>
      </c>
    </row>
    <row r="84" spans="1:11" x14ac:dyDescent="0.2">
      <c r="A84" s="155" t="s">
        <v>341</v>
      </c>
      <c r="B84" s="171"/>
      <c r="C84" s="171"/>
      <c r="D84" s="171"/>
      <c r="E84" s="171"/>
      <c r="F84" s="171"/>
      <c r="G84" s="171"/>
      <c r="H84" s="171"/>
      <c r="I84" s="171"/>
      <c r="J84" s="172"/>
      <c r="K84" s="172"/>
    </row>
    <row r="85" spans="1:11" x14ac:dyDescent="0.2">
      <c r="A85" s="148" t="s">
        <v>392</v>
      </c>
      <c r="B85" s="175">
        <f t="shared" ref="B85:K85" si="34">B86+B87+B88+B89</f>
        <v>0</v>
      </c>
      <c r="C85" s="175">
        <f t="shared" si="34"/>
        <v>0</v>
      </c>
      <c r="D85" s="175">
        <f t="shared" ref="D85:F85" si="35">D86+D87+D88+D89</f>
        <v>0</v>
      </c>
      <c r="E85" s="175">
        <f t="shared" si="35"/>
        <v>0</v>
      </c>
      <c r="F85" s="175">
        <f t="shared" si="35"/>
        <v>0</v>
      </c>
      <c r="G85" s="175">
        <f t="shared" si="34"/>
        <v>0</v>
      </c>
      <c r="H85" s="175">
        <f t="shared" si="34"/>
        <v>0</v>
      </c>
      <c r="I85" s="175">
        <f t="shared" si="34"/>
        <v>0</v>
      </c>
      <c r="J85" s="176">
        <f t="shared" si="34"/>
        <v>0</v>
      </c>
      <c r="K85" s="176">
        <f t="shared" si="34"/>
        <v>0</v>
      </c>
    </row>
    <row r="86" spans="1:11" x14ac:dyDescent="0.2">
      <c r="A86" s="155" t="s">
        <v>393</v>
      </c>
      <c r="B86" s="177">
        <v>0</v>
      </c>
      <c r="C86" s="177">
        <v>0</v>
      </c>
      <c r="D86" s="177">
        <v>0</v>
      </c>
      <c r="E86" s="177">
        <v>0</v>
      </c>
      <c r="F86" s="177">
        <v>0</v>
      </c>
      <c r="G86" s="177">
        <v>0</v>
      </c>
      <c r="H86" s="177">
        <v>0</v>
      </c>
      <c r="I86" s="177">
        <v>0</v>
      </c>
      <c r="J86" s="177">
        <v>0</v>
      </c>
      <c r="K86" s="178">
        <v>0</v>
      </c>
    </row>
    <row r="87" spans="1:11" x14ac:dyDescent="0.2">
      <c r="A87" s="155" t="s">
        <v>394</v>
      </c>
      <c r="B87" s="177">
        <v>0</v>
      </c>
      <c r="C87" s="177">
        <v>0</v>
      </c>
      <c r="D87" s="177">
        <v>0</v>
      </c>
      <c r="E87" s="177">
        <v>0</v>
      </c>
      <c r="F87" s="177">
        <v>0</v>
      </c>
      <c r="G87" s="177">
        <v>0</v>
      </c>
      <c r="H87" s="177">
        <v>0</v>
      </c>
      <c r="I87" s="177">
        <v>0</v>
      </c>
      <c r="J87" s="178">
        <v>0</v>
      </c>
      <c r="K87" s="178">
        <v>0</v>
      </c>
    </row>
    <row r="88" spans="1:11" x14ac:dyDescent="0.2">
      <c r="A88" s="155" t="s">
        <v>395</v>
      </c>
      <c r="B88" s="177">
        <v>0</v>
      </c>
      <c r="C88" s="177">
        <v>0</v>
      </c>
      <c r="D88" s="177">
        <v>0</v>
      </c>
      <c r="E88" s="177">
        <v>0</v>
      </c>
      <c r="F88" s="177">
        <v>0</v>
      </c>
      <c r="G88" s="177">
        <v>0</v>
      </c>
      <c r="H88" s="177">
        <v>0</v>
      </c>
      <c r="I88" s="177">
        <v>0</v>
      </c>
      <c r="J88" s="178">
        <v>0</v>
      </c>
      <c r="K88" s="178">
        <v>0</v>
      </c>
    </row>
    <row r="89" spans="1:11" x14ac:dyDescent="0.2">
      <c r="A89" s="155" t="s">
        <v>396</v>
      </c>
      <c r="B89" s="177">
        <v>0</v>
      </c>
      <c r="C89" s="177">
        <v>0</v>
      </c>
      <c r="D89" s="177">
        <v>0</v>
      </c>
      <c r="E89" s="177">
        <v>0</v>
      </c>
      <c r="F89" s="177">
        <v>0</v>
      </c>
      <c r="G89" s="177">
        <v>0</v>
      </c>
      <c r="H89" s="177">
        <v>0</v>
      </c>
      <c r="I89" s="177">
        <v>0</v>
      </c>
      <c r="J89" s="178">
        <v>0</v>
      </c>
      <c r="K89" s="178">
        <v>0</v>
      </c>
    </row>
    <row r="90" spans="1:11" x14ac:dyDescent="0.2">
      <c r="A90" s="155" t="s">
        <v>341</v>
      </c>
      <c r="B90" s="171"/>
      <c r="C90" s="171"/>
      <c r="D90" s="171"/>
      <c r="E90" s="171"/>
      <c r="F90" s="171"/>
      <c r="G90" s="171"/>
      <c r="H90" s="171"/>
      <c r="I90" s="171"/>
      <c r="J90" s="172"/>
      <c r="K90" s="172"/>
    </row>
    <row r="91" spans="1:11" x14ac:dyDescent="0.2">
      <c r="A91" s="148" t="s">
        <v>397</v>
      </c>
      <c r="B91" s="173">
        <v>0</v>
      </c>
      <c r="C91" s="173">
        <v>0</v>
      </c>
      <c r="D91" s="173">
        <v>0</v>
      </c>
      <c r="E91" s="173">
        <v>0</v>
      </c>
      <c r="F91" s="173">
        <v>0</v>
      </c>
      <c r="G91" s="173">
        <v>0</v>
      </c>
      <c r="H91" s="173">
        <v>0</v>
      </c>
      <c r="I91" s="173">
        <v>0</v>
      </c>
      <c r="J91" s="174">
        <v>0</v>
      </c>
      <c r="K91" s="174">
        <v>0</v>
      </c>
    </row>
    <row r="92" spans="1:11" x14ac:dyDescent="0.2">
      <c r="A92" s="148" t="s">
        <v>398</v>
      </c>
      <c r="B92" s="173">
        <v>0</v>
      </c>
      <c r="C92" s="173">
        <v>0</v>
      </c>
      <c r="D92" s="173">
        <v>0</v>
      </c>
      <c r="E92" s="173">
        <v>0</v>
      </c>
      <c r="F92" s="173">
        <v>0</v>
      </c>
      <c r="G92" s="173">
        <v>0</v>
      </c>
      <c r="H92" s="173">
        <v>0</v>
      </c>
      <c r="I92" s="173">
        <v>0</v>
      </c>
      <c r="J92" s="174">
        <v>0</v>
      </c>
      <c r="K92" s="174">
        <v>0</v>
      </c>
    </row>
    <row r="93" spans="1:11" x14ac:dyDescent="0.2">
      <c r="A93" s="155" t="s">
        <v>341</v>
      </c>
      <c r="B93" s="171"/>
      <c r="C93" s="171"/>
      <c r="D93" s="171"/>
      <c r="E93" s="171"/>
      <c r="F93" s="171"/>
      <c r="G93" s="171"/>
      <c r="H93" s="171"/>
      <c r="I93" s="171"/>
      <c r="J93" s="172"/>
      <c r="K93" s="172"/>
    </row>
    <row r="94" spans="1:11" x14ac:dyDescent="0.2">
      <c r="A94" s="148" t="s">
        <v>399</v>
      </c>
      <c r="B94" s="173">
        <v>0</v>
      </c>
      <c r="C94" s="173">
        <v>0</v>
      </c>
      <c r="D94" s="173">
        <v>0</v>
      </c>
      <c r="E94" s="173">
        <v>0</v>
      </c>
      <c r="F94" s="173">
        <v>0</v>
      </c>
      <c r="G94" s="173">
        <v>0</v>
      </c>
      <c r="H94" s="173">
        <v>0</v>
      </c>
      <c r="I94" s="173">
        <v>0</v>
      </c>
      <c r="J94" s="174">
        <v>0</v>
      </c>
      <c r="K94" s="174">
        <v>0</v>
      </c>
    </row>
    <row r="95" spans="1:11" x14ac:dyDescent="0.2">
      <c r="A95" s="155" t="s">
        <v>341</v>
      </c>
      <c r="B95" s="171"/>
      <c r="C95" s="171"/>
      <c r="D95" s="171"/>
      <c r="E95" s="171"/>
      <c r="F95" s="171"/>
      <c r="G95" s="171"/>
      <c r="H95" s="171"/>
      <c r="I95" s="171"/>
      <c r="J95" s="172"/>
      <c r="K95" s="172"/>
    </row>
    <row r="96" spans="1:11" ht="13.8" x14ac:dyDescent="0.3">
      <c r="A96" s="168" t="s">
        <v>400</v>
      </c>
      <c r="B96" s="169">
        <f t="shared" ref="B96:K96" si="36">B98+B103</f>
        <v>0</v>
      </c>
      <c r="C96" s="169">
        <f t="shared" si="36"/>
        <v>0</v>
      </c>
      <c r="D96" s="169">
        <f t="shared" ref="D96:F96" si="37">D98+D103</f>
        <v>0</v>
      </c>
      <c r="E96" s="169">
        <f t="shared" si="37"/>
        <v>0</v>
      </c>
      <c r="F96" s="169">
        <f t="shared" si="37"/>
        <v>0</v>
      </c>
      <c r="G96" s="169">
        <f t="shared" si="36"/>
        <v>0</v>
      </c>
      <c r="H96" s="169">
        <f t="shared" si="36"/>
        <v>0</v>
      </c>
      <c r="I96" s="169">
        <f t="shared" si="36"/>
        <v>0</v>
      </c>
      <c r="J96" s="170">
        <f t="shared" si="36"/>
        <v>0</v>
      </c>
      <c r="K96" s="170">
        <f t="shared" si="36"/>
        <v>0</v>
      </c>
    </row>
    <row r="97" spans="1:11" x14ac:dyDescent="0.2">
      <c r="A97" s="155" t="s">
        <v>341</v>
      </c>
      <c r="B97" s="171"/>
      <c r="C97" s="171"/>
      <c r="D97" s="171"/>
      <c r="E97" s="171"/>
      <c r="F97" s="171"/>
      <c r="G97" s="171"/>
      <c r="H97" s="171"/>
      <c r="I97" s="171"/>
      <c r="J97" s="172"/>
      <c r="K97" s="172"/>
    </row>
    <row r="98" spans="1:11" x14ac:dyDescent="0.2">
      <c r="A98" s="148" t="s">
        <v>401</v>
      </c>
      <c r="B98" s="175">
        <f>SUM(B99:B102)</f>
        <v>0</v>
      </c>
      <c r="C98" s="175">
        <f t="shared" ref="C98:K98" si="38">SUM(C99:C102)</f>
        <v>0</v>
      </c>
      <c r="D98" s="175">
        <f t="shared" ref="D98:F98" si="39">SUM(D99:D102)</f>
        <v>0</v>
      </c>
      <c r="E98" s="175">
        <f t="shared" si="39"/>
        <v>0</v>
      </c>
      <c r="F98" s="175">
        <f t="shared" si="39"/>
        <v>0</v>
      </c>
      <c r="G98" s="175">
        <f t="shared" si="38"/>
        <v>0</v>
      </c>
      <c r="H98" s="175">
        <f t="shared" si="38"/>
        <v>0</v>
      </c>
      <c r="I98" s="175">
        <f t="shared" si="38"/>
        <v>0</v>
      </c>
      <c r="J98" s="176">
        <f t="shared" si="38"/>
        <v>0</v>
      </c>
      <c r="K98" s="176">
        <f t="shared" si="38"/>
        <v>0</v>
      </c>
    </row>
    <row r="99" spans="1:11" x14ac:dyDescent="0.2">
      <c r="A99" s="155" t="s">
        <v>402</v>
      </c>
      <c r="B99" s="177">
        <v>0</v>
      </c>
      <c r="C99" s="177">
        <v>0</v>
      </c>
      <c r="D99" s="177">
        <v>0</v>
      </c>
      <c r="E99" s="177">
        <v>0</v>
      </c>
      <c r="F99" s="177">
        <v>0</v>
      </c>
      <c r="G99" s="177">
        <v>0</v>
      </c>
      <c r="H99" s="177">
        <v>0</v>
      </c>
      <c r="I99" s="177">
        <v>0</v>
      </c>
      <c r="J99" s="178">
        <v>0</v>
      </c>
      <c r="K99" s="178">
        <v>0</v>
      </c>
    </row>
    <row r="100" spans="1:11" x14ac:dyDescent="0.2">
      <c r="A100" s="155" t="s">
        <v>403</v>
      </c>
      <c r="B100" s="177">
        <v>0</v>
      </c>
      <c r="C100" s="177">
        <v>0</v>
      </c>
      <c r="D100" s="177">
        <v>0</v>
      </c>
      <c r="E100" s="177">
        <v>0</v>
      </c>
      <c r="F100" s="177">
        <v>0</v>
      </c>
      <c r="G100" s="177">
        <v>0</v>
      </c>
      <c r="H100" s="177">
        <v>0</v>
      </c>
      <c r="I100" s="177">
        <v>0</v>
      </c>
      <c r="J100" s="178">
        <v>0</v>
      </c>
      <c r="K100" s="178">
        <v>0</v>
      </c>
    </row>
    <row r="101" spans="1:11" x14ac:dyDescent="0.2">
      <c r="A101" s="155" t="s">
        <v>404</v>
      </c>
      <c r="B101" s="177">
        <v>0</v>
      </c>
      <c r="C101" s="177">
        <v>0</v>
      </c>
      <c r="D101" s="177">
        <v>0</v>
      </c>
      <c r="E101" s="177">
        <v>0</v>
      </c>
      <c r="F101" s="177">
        <v>0</v>
      </c>
      <c r="G101" s="177">
        <v>0</v>
      </c>
      <c r="H101" s="177">
        <v>0</v>
      </c>
      <c r="I101" s="177">
        <v>0</v>
      </c>
      <c r="J101" s="178">
        <v>0</v>
      </c>
      <c r="K101" s="178">
        <v>0</v>
      </c>
    </row>
    <row r="102" spans="1:11" x14ac:dyDescent="0.2">
      <c r="A102" s="155" t="s">
        <v>405</v>
      </c>
      <c r="B102" s="177">
        <v>0</v>
      </c>
      <c r="C102" s="177">
        <v>0</v>
      </c>
      <c r="D102" s="177">
        <v>0</v>
      </c>
      <c r="E102" s="177">
        <v>0</v>
      </c>
      <c r="F102" s="177">
        <v>0</v>
      </c>
      <c r="G102" s="177">
        <v>0</v>
      </c>
      <c r="H102" s="177">
        <v>0</v>
      </c>
      <c r="I102" s="177">
        <v>0</v>
      </c>
      <c r="J102" s="178">
        <v>0</v>
      </c>
      <c r="K102" s="178">
        <v>0</v>
      </c>
    </row>
    <row r="103" spans="1:11" x14ac:dyDescent="0.2">
      <c r="A103" s="148" t="s">
        <v>406</v>
      </c>
      <c r="B103" s="173">
        <v>0</v>
      </c>
      <c r="C103" s="173">
        <v>0</v>
      </c>
      <c r="D103" s="173">
        <v>0</v>
      </c>
      <c r="E103" s="173">
        <v>0</v>
      </c>
      <c r="F103" s="173">
        <v>0</v>
      </c>
      <c r="G103" s="173">
        <v>0</v>
      </c>
      <c r="H103" s="173">
        <v>0</v>
      </c>
      <c r="I103" s="173">
        <v>0</v>
      </c>
      <c r="J103" s="174">
        <v>0</v>
      </c>
      <c r="K103" s="174">
        <v>0</v>
      </c>
    </row>
    <row r="104" spans="1:11" x14ac:dyDescent="0.2">
      <c r="A104" s="155" t="s">
        <v>341</v>
      </c>
      <c r="B104" s="171"/>
      <c r="C104" s="171"/>
      <c r="D104" s="171"/>
      <c r="E104" s="171"/>
      <c r="F104" s="171"/>
      <c r="G104" s="171"/>
      <c r="H104" s="171"/>
      <c r="I104" s="171"/>
      <c r="J104" s="172"/>
      <c r="K104" s="172"/>
    </row>
    <row r="105" spans="1:11" ht="13.8" x14ac:dyDescent="0.3">
      <c r="A105" s="168" t="s">
        <v>407</v>
      </c>
      <c r="B105" s="169">
        <f t="shared" ref="B105:K105" si="40">B107+B120+B134</f>
        <v>0</v>
      </c>
      <c r="C105" s="169">
        <f t="shared" si="40"/>
        <v>0</v>
      </c>
      <c r="D105" s="169">
        <f t="shared" ref="D105:F105" si="41">D107+D120+D134</f>
        <v>0</v>
      </c>
      <c r="E105" s="169">
        <f t="shared" si="41"/>
        <v>0</v>
      </c>
      <c r="F105" s="169">
        <f t="shared" si="41"/>
        <v>0</v>
      </c>
      <c r="G105" s="169">
        <f t="shared" si="40"/>
        <v>0</v>
      </c>
      <c r="H105" s="169">
        <f t="shared" si="40"/>
        <v>0</v>
      </c>
      <c r="I105" s="169">
        <f t="shared" si="40"/>
        <v>0</v>
      </c>
      <c r="J105" s="170">
        <f t="shared" si="40"/>
        <v>0</v>
      </c>
      <c r="K105" s="170">
        <f t="shared" si="40"/>
        <v>0</v>
      </c>
    </row>
    <row r="106" spans="1:11" x14ac:dyDescent="0.2">
      <c r="A106" s="155" t="s">
        <v>341</v>
      </c>
      <c r="B106" s="171"/>
      <c r="C106" s="171"/>
      <c r="D106" s="171"/>
      <c r="E106" s="171"/>
      <c r="F106" s="171"/>
      <c r="G106" s="171"/>
      <c r="H106" s="171"/>
      <c r="I106" s="171"/>
      <c r="J106" s="172"/>
      <c r="K106" s="172"/>
    </row>
    <row r="107" spans="1:11" x14ac:dyDescent="0.2">
      <c r="A107" s="148" t="s">
        <v>408</v>
      </c>
      <c r="B107" s="175">
        <f t="shared" ref="B107:K107" si="42">B108+B114+B117+B118</f>
        <v>0</v>
      </c>
      <c r="C107" s="175">
        <f t="shared" si="42"/>
        <v>0</v>
      </c>
      <c r="D107" s="175">
        <f t="shared" ref="D107:F107" si="43">D108+D114+D117+D118</f>
        <v>0</v>
      </c>
      <c r="E107" s="175">
        <f t="shared" si="43"/>
        <v>0</v>
      </c>
      <c r="F107" s="175">
        <f t="shared" si="43"/>
        <v>0</v>
      </c>
      <c r="G107" s="175">
        <f t="shared" si="42"/>
        <v>0</v>
      </c>
      <c r="H107" s="175">
        <f t="shared" si="42"/>
        <v>0</v>
      </c>
      <c r="I107" s="175">
        <f t="shared" si="42"/>
        <v>0</v>
      </c>
      <c r="J107" s="176">
        <f t="shared" si="42"/>
        <v>0</v>
      </c>
      <c r="K107" s="176">
        <f t="shared" si="42"/>
        <v>0</v>
      </c>
    </row>
    <row r="108" spans="1:11" x14ac:dyDescent="0.2">
      <c r="A108" s="155" t="s">
        <v>409</v>
      </c>
      <c r="B108" s="171">
        <f>SUM(B109:B113)</f>
        <v>0</v>
      </c>
      <c r="C108" s="171">
        <f t="shared" ref="C108:K108" si="44">SUM(C109:C113)</f>
        <v>0</v>
      </c>
      <c r="D108" s="171">
        <f t="shared" ref="D108:F108" si="45">SUM(D109:D113)</f>
        <v>0</v>
      </c>
      <c r="E108" s="171">
        <f t="shared" si="45"/>
        <v>0</v>
      </c>
      <c r="F108" s="171">
        <f t="shared" si="45"/>
        <v>0</v>
      </c>
      <c r="G108" s="171">
        <f t="shared" si="44"/>
        <v>0</v>
      </c>
      <c r="H108" s="171">
        <f t="shared" si="44"/>
        <v>0</v>
      </c>
      <c r="I108" s="171">
        <f t="shared" si="44"/>
        <v>0</v>
      </c>
      <c r="J108" s="172">
        <f t="shared" si="44"/>
        <v>0</v>
      </c>
      <c r="K108" s="172">
        <f t="shared" si="44"/>
        <v>0</v>
      </c>
    </row>
    <row r="109" spans="1:11" x14ac:dyDescent="0.2">
      <c r="A109" s="155" t="s">
        <v>410</v>
      </c>
      <c r="B109" s="177">
        <v>0</v>
      </c>
      <c r="C109" s="177">
        <v>0</v>
      </c>
      <c r="D109" s="177">
        <v>0</v>
      </c>
      <c r="E109" s="177">
        <v>0</v>
      </c>
      <c r="F109" s="177">
        <v>0</v>
      </c>
      <c r="G109" s="177">
        <v>0</v>
      </c>
      <c r="H109" s="177">
        <v>0</v>
      </c>
      <c r="I109" s="177">
        <v>0</v>
      </c>
      <c r="J109" s="178">
        <v>0</v>
      </c>
      <c r="K109" s="178">
        <v>0</v>
      </c>
    </row>
    <row r="110" spans="1:11" x14ac:dyDescent="0.2">
      <c r="A110" s="155" t="s">
        <v>411</v>
      </c>
      <c r="B110" s="177">
        <v>0</v>
      </c>
      <c r="C110" s="177">
        <v>0</v>
      </c>
      <c r="D110" s="177">
        <v>0</v>
      </c>
      <c r="E110" s="177">
        <v>0</v>
      </c>
      <c r="F110" s="177">
        <v>0</v>
      </c>
      <c r="G110" s="177">
        <v>0</v>
      </c>
      <c r="H110" s="177">
        <v>0</v>
      </c>
      <c r="I110" s="177">
        <v>0</v>
      </c>
      <c r="J110" s="178">
        <v>0</v>
      </c>
      <c r="K110" s="178">
        <v>0</v>
      </c>
    </row>
    <row r="111" spans="1:11" x14ac:dyDescent="0.2">
      <c r="A111" s="155" t="s">
        <v>412</v>
      </c>
      <c r="B111" s="177">
        <v>0</v>
      </c>
      <c r="C111" s="177">
        <v>0</v>
      </c>
      <c r="D111" s="177">
        <v>0</v>
      </c>
      <c r="E111" s="177">
        <v>0</v>
      </c>
      <c r="F111" s="177">
        <v>0</v>
      </c>
      <c r="G111" s="177">
        <v>0</v>
      </c>
      <c r="H111" s="177">
        <v>0</v>
      </c>
      <c r="I111" s="177">
        <v>0</v>
      </c>
      <c r="J111" s="178">
        <v>0</v>
      </c>
      <c r="K111" s="178">
        <v>0</v>
      </c>
    </row>
    <row r="112" spans="1:11" x14ac:dyDescent="0.2">
      <c r="A112" s="155" t="s">
        <v>413</v>
      </c>
      <c r="B112" s="177">
        <v>0</v>
      </c>
      <c r="C112" s="177">
        <v>0</v>
      </c>
      <c r="D112" s="177">
        <v>0</v>
      </c>
      <c r="E112" s="177">
        <v>0</v>
      </c>
      <c r="F112" s="177">
        <v>0</v>
      </c>
      <c r="G112" s="177">
        <v>0</v>
      </c>
      <c r="H112" s="177">
        <v>0</v>
      </c>
      <c r="I112" s="177">
        <v>0</v>
      </c>
      <c r="J112" s="178">
        <v>0</v>
      </c>
      <c r="K112" s="178">
        <v>0</v>
      </c>
    </row>
    <row r="113" spans="1:11" x14ac:dyDescent="0.2">
      <c r="A113" s="155" t="s">
        <v>414</v>
      </c>
      <c r="B113" s="177">
        <v>0</v>
      </c>
      <c r="C113" s="177">
        <v>0</v>
      </c>
      <c r="D113" s="177">
        <v>0</v>
      </c>
      <c r="E113" s="177">
        <v>0</v>
      </c>
      <c r="F113" s="177">
        <v>0</v>
      </c>
      <c r="G113" s="177">
        <v>0</v>
      </c>
      <c r="H113" s="177">
        <v>0</v>
      </c>
      <c r="I113" s="177">
        <v>0</v>
      </c>
      <c r="J113" s="178">
        <v>0</v>
      </c>
      <c r="K113" s="178">
        <v>0</v>
      </c>
    </row>
    <row r="114" spans="1:11" x14ac:dyDescent="0.2">
      <c r="A114" s="155" t="s">
        <v>415</v>
      </c>
      <c r="B114" s="171">
        <f t="shared" ref="B114:K114" si="46">B115+B116</f>
        <v>0</v>
      </c>
      <c r="C114" s="171">
        <f t="shared" si="46"/>
        <v>0</v>
      </c>
      <c r="D114" s="171">
        <f t="shared" ref="D114:F114" si="47">D115+D116</f>
        <v>0</v>
      </c>
      <c r="E114" s="171">
        <f t="shared" si="47"/>
        <v>0</v>
      </c>
      <c r="F114" s="171">
        <f t="shared" si="47"/>
        <v>0</v>
      </c>
      <c r="G114" s="171">
        <f t="shared" si="46"/>
        <v>0</v>
      </c>
      <c r="H114" s="171">
        <f t="shared" si="46"/>
        <v>0</v>
      </c>
      <c r="I114" s="171">
        <f t="shared" si="46"/>
        <v>0</v>
      </c>
      <c r="J114" s="172">
        <f t="shared" si="46"/>
        <v>0</v>
      </c>
      <c r="K114" s="172">
        <f t="shared" si="46"/>
        <v>0</v>
      </c>
    </row>
    <row r="115" spans="1:11" x14ac:dyDescent="0.2">
      <c r="A115" s="155" t="s">
        <v>416</v>
      </c>
      <c r="B115" s="177">
        <v>0</v>
      </c>
      <c r="C115" s="177">
        <v>0</v>
      </c>
      <c r="D115" s="177">
        <v>0</v>
      </c>
      <c r="E115" s="177">
        <v>0</v>
      </c>
      <c r="F115" s="177">
        <v>0</v>
      </c>
      <c r="G115" s="177">
        <v>0</v>
      </c>
      <c r="H115" s="177">
        <v>0</v>
      </c>
      <c r="I115" s="177">
        <v>0</v>
      </c>
      <c r="J115" s="178">
        <v>0</v>
      </c>
      <c r="K115" s="178">
        <v>0</v>
      </c>
    </row>
    <row r="116" spans="1:11" x14ac:dyDescent="0.2">
      <c r="A116" s="155" t="s">
        <v>417</v>
      </c>
      <c r="B116" s="177">
        <v>0</v>
      </c>
      <c r="C116" s="177">
        <v>0</v>
      </c>
      <c r="D116" s="177">
        <v>0</v>
      </c>
      <c r="E116" s="177">
        <v>0</v>
      </c>
      <c r="F116" s="177">
        <v>0</v>
      </c>
      <c r="G116" s="177">
        <v>0</v>
      </c>
      <c r="H116" s="177">
        <v>0</v>
      </c>
      <c r="I116" s="177">
        <v>0</v>
      </c>
      <c r="J116" s="178">
        <v>0</v>
      </c>
      <c r="K116" s="178">
        <v>0</v>
      </c>
    </row>
    <row r="117" spans="1:11" x14ac:dyDescent="0.2">
      <c r="A117" s="155" t="s">
        <v>418</v>
      </c>
      <c r="B117" s="177">
        <v>0</v>
      </c>
      <c r="C117" s="177">
        <v>0</v>
      </c>
      <c r="D117" s="177">
        <v>0</v>
      </c>
      <c r="E117" s="177">
        <v>0</v>
      </c>
      <c r="F117" s="177">
        <v>0</v>
      </c>
      <c r="G117" s="177">
        <v>0</v>
      </c>
      <c r="H117" s="177">
        <v>0</v>
      </c>
      <c r="I117" s="177">
        <v>0</v>
      </c>
      <c r="J117" s="178">
        <v>0</v>
      </c>
      <c r="K117" s="178">
        <v>0</v>
      </c>
    </row>
    <row r="118" spans="1:11" x14ac:dyDescent="0.2">
      <c r="A118" s="155" t="s">
        <v>419</v>
      </c>
      <c r="B118" s="177">
        <v>0</v>
      </c>
      <c r="C118" s="177">
        <v>0</v>
      </c>
      <c r="D118" s="177">
        <v>0</v>
      </c>
      <c r="E118" s="177">
        <v>0</v>
      </c>
      <c r="F118" s="177">
        <v>0</v>
      </c>
      <c r="G118" s="177">
        <v>0</v>
      </c>
      <c r="H118" s="177">
        <v>0</v>
      </c>
      <c r="I118" s="177">
        <v>0</v>
      </c>
      <c r="J118" s="178">
        <v>0</v>
      </c>
      <c r="K118" s="178">
        <v>0</v>
      </c>
    </row>
    <row r="119" spans="1:11" x14ac:dyDescent="0.2">
      <c r="A119" s="155" t="s">
        <v>341</v>
      </c>
      <c r="B119" s="171"/>
      <c r="C119" s="171"/>
      <c r="D119" s="171"/>
      <c r="E119" s="171"/>
      <c r="F119" s="171"/>
      <c r="G119" s="171"/>
      <c r="H119" s="171"/>
      <c r="I119" s="171"/>
      <c r="J119" s="172"/>
      <c r="K119" s="172"/>
    </row>
    <row r="120" spans="1:11" x14ac:dyDescent="0.2">
      <c r="A120" s="148" t="s">
        <v>420</v>
      </c>
      <c r="B120" s="175">
        <f t="shared" ref="B120:K120" si="48">B121+B122+B125+B128+B129+B132</f>
        <v>0</v>
      </c>
      <c r="C120" s="175">
        <f t="shared" si="48"/>
        <v>0</v>
      </c>
      <c r="D120" s="175">
        <f t="shared" ref="D120:F120" si="49">D121+D122+D125+D128+D129+D132</f>
        <v>0</v>
      </c>
      <c r="E120" s="175">
        <f t="shared" si="49"/>
        <v>0</v>
      </c>
      <c r="F120" s="175">
        <f t="shared" si="49"/>
        <v>0</v>
      </c>
      <c r="G120" s="175">
        <f t="shared" si="48"/>
        <v>0</v>
      </c>
      <c r="H120" s="175">
        <f t="shared" si="48"/>
        <v>0</v>
      </c>
      <c r="I120" s="175">
        <f t="shared" si="48"/>
        <v>0</v>
      </c>
      <c r="J120" s="176">
        <f t="shared" si="48"/>
        <v>0</v>
      </c>
      <c r="K120" s="176">
        <f t="shared" si="48"/>
        <v>0</v>
      </c>
    </row>
    <row r="121" spans="1:11" x14ac:dyDescent="0.2">
      <c r="A121" s="155" t="s">
        <v>421</v>
      </c>
      <c r="B121" s="177">
        <v>0</v>
      </c>
      <c r="C121" s="177">
        <v>0</v>
      </c>
      <c r="D121" s="177">
        <v>0</v>
      </c>
      <c r="E121" s="177">
        <v>0</v>
      </c>
      <c r="F121" s="177">
        <v>0</v>
      </c>
      <c r="G121" s="177">
        <v>0</v>
      </c>
      <c r="H121" s="177">
        <v>0</v>
      </c>
      <c r="I121" s="177">
        <v>0</v>
      </c>
      <c r="J121" s="178">
        <v>0</v>
      </c>
      <c r="K121" s="178">
        <v>0</v>
      </c>
    </row>
    <row r="122" spans="1:11" x14ac:dyDescent="0.2">
      <c r="A122" s="155" t="s">
        <v>422</v>
      </c>
      <c r="B122" s="171">
        <f t="shared" ref="B122:K122" si="50">B123+B124</f>
        <v>0</v>
      </c>
      <c r="C122" s="171">
        <f t="shared" si="50"/>
        <v>0</v>
      </c>
      <c r="D122" s="171">
        <f t="shared" ref="D122:F122" si="51">D123+D124</f>
        <v>0</v>
      </c>
      <c r="E122" s="171">
        <f t="shared" si="51"/>
        <v>0</v>
      </c>
      <c r="F122" s="171">
        <f t="shared" si="51"/>
        <v>0</v>
      </c>
      <c r="G122" s="171">
        <f t="shared" si="50"/>
        <v>0</v>
      </c>
      <c r="H122" s="171">
        <f t="shared" si="50"/>
        <v>0</v>
      </c>
      <c r="I122" s="171">
        <f t="shared" si="50"/>
        <v>0</v>
      </c>
      <c r="J122" s="172">
        <f t="shared" si="50"/>
        <v>0</v>
      </c>
      <c r="K122" s="172">
        <f t="shared" si="50"/>
        <v>0</v>
      </c>
    </row>
    <row r="123" spans="1:11" x14ac:dyDescent="0.2">
      <c r="A123" s="155" t="s">
        <v>423</v>
      </c>
      <c r="B123" s="177">
        <v>0</v>
      </c>
      <c r="C123" s="177">
        <v>0</v>
      </c>
      <c r="D123" s="177">
        <v>0</v>
      </c>
      <c r="E123" s="177">
        <v>0</v>
      </c>
      <c r="F123" s="177">
        <v>0</v>
      </c>
      <c r="G123" s="177">
        <v>0</v>
      </c>
      <c r="H123" s="177">
        <v>0</v>
      </c>
      <c r="I123" s="177">
        <v>0</v>
      </c>
      <c r="J123" s="178">
        <v>0</v>
      </c>
      <c r="K123" s="178">
        <v>0</v>
      </c>
    </row>
    <row r="124" spans="1:11" x14ac:dyDescent="0.2">
      <c r="A124" s="155" t="s">
        <v>424</v>
      </c>
      <c r="B124" s="177">
        <v>0</v>
      </c>
      <c r="C124" s="177">
        <v>0</v>
      </c>
      <c r="D124" s="177">
        <v>0</v>
      </c>
      <c r="E124" s="177">
        <v>0</v>
      </c>
      <c r="F124" s="177">
        <v>0</v>
      </c>
      <c r="G124" s="177">
        <v>0</v>
      </c>
      <c r="H124" s="177">
        <v>0</v>
      </c>
      <c r="I124" s="177">
        <v>0</v>
      </c>
      <c r="J124" s="178">
        <v>0</v>
      </c>
      <c r="K124" s="178">
        <v>0</v>
      </c>
    </row>
    <row r="125" spans="1:11" x14ac:dyDescent="0.2">
      <c r="A125" s="155" t="s">
        <v>425</v>
      </c>
      <c r="B125" s="171">
        <f t="shared" ref="B125:K125" si="52">B126+B127</f>
        <v>0</v>
      </c>
      <c r="C125" s="171">
        <f t="shared" si="52"/>
        <v>0</v>
      </c>
      <c r="D125" s="171">
        <f t="shared" ref="D125:F125" si="53">D126+D127</f>
        <v>0</v>
      </c>
      <c r="E125" s="171">
        <f t="shared" si="53"/>
        <v>0</v>
      </c>
      <c r="F125" s="171">
        <f t="shared" si="53"/>
        <v>0</v>
      </c>
      <c r="G125" s="171">
        <f t="shared" si="52"/>
        <v>0</v>
      </c>
      <c r="H125" s="171">
        <f t="shared" si="52"/>
        <v>0</v>
      </c>
      <c r="I125" s="171">
        <f t="shared" si="52"/>
        <v>0</v>
      </c>
      <c r="J125" s="171">
        <f t="shared" si="52"/>
        <v>0</v>
      </c>
      <c r="K125" s="172">
        <f t="shared" si="52"/>
        <v>0</v>
      </c>
    </row>
    <row r="126" spans="1:11" x14ac:dyDescent="0.2">
      <c r="A126" s="155" t="s">
        <v>426</v>
      </c>
      <c r="B126" s="177">
        <v>0</v>
      </c>
      <c r="C126" s="177">
        <v>0</v>
      </c>
      <c r="D126" s="177">
        <v>0</v>
      </c>
      <c r="E126" s="177">
        <v>0</v>
      </c>
      <c r="F126" s="177">
        <v>0</v>
      </c>
      <c r="G126" s="177">
        <v>0</v>
      </c>
      <c r="H126" s="177">
        <v>0</v>
      </c>
      <c r="I126" s="177">
        <v>0</v>
      </c>
      <c r="J126" s="172">
        <v>0</v>
      </c>
      <c r="K126" s="178">
        <v>0</v>
      </c>
    </row>
    <row r="127" spans="1:11" x14ac:dyDescent="0.2">
      <c r="A127" s="155" t="s">
        <v>427</v>
      </c>
      <c r="B127" s="177">
        <v>0</v>
      </c>
      <c r="C127" s="177">
        <v>0</v>
      </c>
      <c r="D127" s="177">
        <v>0</v>
      </c>
      <c r="E127" s="177">
        <v>0</v>
      </c>
      <c r="F127" s="177">
        <v>0</v>
      </c>
      <c r="G127" s="177">
        <v>0</v>
      </c>
      <c r="H127" s="177">
        <v>0</v>
      </c>
      <c r="I127" s="177">
        <v>0</v>
      </c>
      <c r="J127" s="178">
        <v>0</v>
      </c>
      <c r="K127" s="178">
        <v>0</v>
      </c>
    </row>
    <row r="128" spans="1:11" x14ac:dyDescent="0.2">
      <c r="A128" s="155" t="s">
        <v>428</v>
      </c>
      <c r="B128" s="177">
        <v>0</v>
      </c>
      <c r="C128" s="177">
        <v>0</v>
      </c>
      <c r="D128" s="177">
        <v>0</v>
      </c>
      <c r="E128" s="177">
        <v>0</v>
      </c>
      <c r="F128" s="177">
        <v>0</v>
      </c>
      <c r="G128" s="177">
        <v>0</v>
      </c>
      <c r="H128" s="177">
        <v>0</v>
      </c>
      <c r="I128" s="177">
        <v>0</v>
      </c>
      <c r="J128" s="178">
        <v>0</v>
      </c>
      <c r="K128" s="178">
        <v>0</v>
      </c>
    </row>
    <row r="129" spans="1:25" x14ac:dyDescent="0.2">
      <c r="A129" s="155" t="s">
        <v>429</v>
      </c>
      <c r="B129" s="171">
        <f t="shared" ref="B129:K129" si="54">B130+B131</f>
        <v>0</v>
      </c>
      <c r="C129" s="171">
        <f t="shared" si="54"/>
        <v>0</v>
      </c>
      <c r="D129" s="171">
        <f t="shared" ref="D129:F129" si="55">D130+D131</f>
        <v>0</v>
      </c>
      <c r="E129" s="171">
        <f t="shared" si="55"/>
        <v>0</v>
      </c>
      <c r="F129" s="171">
        <f t="shared" si="55"/>
        <v>0</v>
      </c>
      <c r="G129" s="171">
        <f t="shared" si="54"/>
        <v>0</v>
      </c>
      <c r="H129" s="171">
        <f t="shared" si="54"/>
        <v>0</v>
      </c>
      <c r="I129" s="171">
        <f t="shared" si="54"/>
        <v>0</v>
      </c>
      <c r="J129" s="172">
        <f t="shared" si="54"/>
        <v>0</v>
      </c>
      <c r="K129" s="172">
        <f t="shared" si="54"/>
        <v>0</v>
      </c>
    </row>
    <row r="130" spans="1:25" x14ac:dyDescent="0.2">
      <c r="A130" s="155" t="s">
        <v>430</v>
      </c>
      <c r="B130" s="177">
        <v>0</v>
      </c>
      <c r="C130" s="177">
        <v>0</v>
      </c>
      <c r="D130" s="177">
        <v>0</v>
      </c>
      <c r="E130" s="177">
        <v>0</v>
      </c>
      <c r="F130" s="177">
        <v>0</v>
      </c>
      <c r="G130" s="177">
        <v>0</v>
      </c>
      <c r="H130" s="177">
        <v>0</v>
      </c>
      <c r="I130" s="177">
        <v>0</v>
      </c>
      <c r="J130" s="178">
        <v>0</v>
      </c>
      <c r="K130" s="178">
        <v>0</v>
      </c>
    </row>
    <row r="131" spans="1:25" x14ac:dyDescent="0.2">
      <c r="A131" s="155" t="s">
        <v>431</v>
      </c>
      <c r="B131" s="177">
        <v>0</v>
      </c>
      <c r="C131" s="177">
        <v>0</v>
      </c>
      <c r="D131" s="177">
        <v>0</v>
      </c>
      <c r="E131" s="177">
        <v>0</v>
      </c>
      <c r="F131" s="177">
        <v>0</v>
      </c>
      <c r="G131" s="177">
        <v>0</v>
      </c>
      <c r="H131" s="177">
        <v>0</v>
      </c>
      <c r="I131" s="177">
        <v>0</v>
      </c>
      <c r="J131" s="178">
        <v>0</v>
      </c>
      <c r="K131" s="178">
        <v>0</v>
      </c>
    </row>
    <row r="132" spans="1:25" x14ac:dyDescent="0.2">
      <c r="A132" s="155" t="s">
        <v>432</v>
      </c>
      <c r="B132" s="177">
        <v>0</v>
      </c>
      <c r="C132" s="177">
        <v>0</v>
      </c>
      <c r="D132" s="177">
        <v>0</v>
      </c>
      <c r="E132" s="177">
        <v>0</v>
      </c>
      <c r="F132" s="177">
        <v>0</v>
      </c>
      <c r="G132" s="177">
        <v>0</v>
      </c>
      <c r="H132" s="177">
        <v>0</v>
      </c>
      <c r="I132" s="177">
        <v>0</v>
      </c>
      <c r="J132" s="178">
        <v>0</v>
      </c>
      <c r="K132" s="178">
        <v>0</v>
      </c>
    </row>
    <row r="133" spans="1:25" x14ac:dyDescent="0.2">
      <c r="A133" s="155" t="s">
        <v>341</v>
      </c>
      <c r="B133" s="171"/>
      <c r="C133" s="171"/>
      <c r="D133" s="171"/>
      <c r="E133" s="171"/>
      <c r="F133" s="171"/>
      <c r="G133" s="171"/>
      <c r="H133" s="171"/>
      <c r="I133" s="171"/>
      <c r="J133" s="172"/>
      <c r="K133" s="172"/>
    </row>
    <row r="134" spans="1:25" x14ac:dyDescent="0.2">
      <c r="A134" s="148" t="s">
        <v>433</v>
      </c>
      <c r="B134" s="173">
        <v>0</v>
      </c>
      <c r="C134" s="173">
        <v>0</v>
      </c>
      <c r="D134" s="173">
        <v>0</v>
      </c>
      <c r="E134" s="173">
        <v>0</v>
      </c>
      <c r="F134" s="173">
        <v>0</v>
      </c>
      <c r="G134" s="173">
        <v>0</v>
      </c>
      <c r="H134" s="173">
        <v>0</v>
      </c>
      <c r="I134" s="173">
        <v>0</v>
      </c>
      <c r="J134" s="174">
        <v>0</v>
      </c>
      <c r="K134" s="174">
        <v>0</v>
      </c>
    </row>
    <row r="135" spans="1:25" x14ac:dyDescent="0.2">
      <c r="A135" s="155" t="s">
        <v>341</v>
      </c>
      <c r="B135" s="171"/>
      <c r="C135" s="171"/>
      <c r="D135" s="171"/>
      <c r="E135" s="171"/>
      <c r="F135" s="171"/>
      <c r="G135" s="171"/>
      <c r="H135" s="171"/>
      <c r="I135" s="171"/>
      <c r="J135" s="172"/>
      <c r="K135" s="172"/>
    </row>
    <row r="136" spans="1:25" ht="13.2" x14ac:dyDescent="0.25">
      <c r="A136" s="180" t="s">
        <v>434</v>
      </c>
      <c r="B136" s="181">
        <f t="shared" ref="B136:K136" si="56">B105+B75+B96</f>
        <v>0</v>
      </c>
      <c r="C136" s="181">
        <f t="shared" si="56"/>
        <v>0</v>
      </c>
      <c r="D136" s="181">
        <f t="shared" ref="D136:F136" si="57">D105+D75+D96</f>
        <v>0</v>
      </c>
      <c r="E136" s="181">
        <f t="shared" si="57"/>
        <v>0</v>
      </c>
      <c r="F136" s="181">
        <f t="shared" si="57"/>
        <v>0</v>
      </c>
      <c r="G136" s="181">
        <f t="shared" si="56"/>
        <v>0</v>
      </c>
      <c r="H136" s="181">
        <f t="shared" si="56"/>
        <v>0</v>
      </c>
      <c r="I136" s="181">
        <f t="shared" si="56"/>
        <v>0</v>
      </c>
      <c r="J136" s="182">
        <f t="shared" si="56"/>
        <v>0</v>
      </c>
      <c r="K136" s="182">
        <f t="shared" si="56"/>
        <v>0</v>
      </c>
    </row>
    <row r="137" spans="1:25" ht="13.2" x14ac:dyDescent="0.25">
      <c r="A137" s="180"/>
      <c r="B137" s="186"/>
      <c r="C137" s="186"/>
      <c r="D137" s="186"/>
      <c r="E137" s="186"/>
      <c r="F137" s="186"/>
      <c r="G137" s="186"/>
      <c r="H137" s="186"/>
      <c r="I137" s="186"/>
      <c r="J137" s="186"/>
      <c r="K137" s="186"/>
    </row>
    <row r="138" spans="1:25" ht="13.2" x14ac:dyDescent="0.25">
      <c r="A138" s="187" t="s">
        <v>435</v>
      </c>
      <c r="B138" s="188">
        <f t="shared" ref="B138:K138" si="58">B69-B136</f>
        <v>0</v>
      </c>
      <c r="C138" s="188">
        <f t="shared" si="58"/>
        <v>0</v>
      </c>
      <c r="D138" s="188">
        <f t="shared" ref="D138:F138" si="59">D69-D136</f>
        <v>0</v>
      </c>
      <c r="E138" s="188">
        <f t="shared" si="59"/>
        <v>0</v>
      </c>
      <c r="F138" s="188">
        <f t="shared" si="59"/>
        <v>0</v>
      </c>
      <c r="G138" s="188">
        <f t="shared" si="58"/>
        <v>0</v>
      </c>
      <c r="H138" s="188">
        <f t="shared" si="58"/>
        <v>0</v>
      </c>
      <c r="I138" s="188">
        <f t="shared" si="58"/>
        <v>0</v>
      </c>
      <c r="J138" s="188">
        <f t="shared" si="58"/>
        <v>0</v>
      </c>
      <c r="K138" s="188">
        <f t="shared" si="58"/>
        <v>0</v>
      </c>
    </row>
    <row r="139" spans="1:25" s="159" customFormat="1" ht="13.2" x14ac:dyDescent="0.25">
      <c r="A139" s="189"/>
      <c r="B139" s="157">
        <f t="shared" ref="B139:K139" si="60">B7</f>
        <v>43828</v>
      </c>
      <c r="C139" s="157">
        <f t="shared" si="60"/>
        <v>44194</v>
      </c>
      <c r="D139" s="157">
        <f t="shared" ref="D139:F139" si="61">D7</f>
        <v>44560</v>
      </c>
      <c r="E139" s="157">
        <f t="shared" si="61"/>
        <v>44926</v>
      </c>
      <c r="F139" s="157">
        <f t="shared" si="61"/>
        <v>45291</v>
      </c>
      <c r="G139" s="157">
        <f t="shared" si="60"/>
        <v>45656</v>
      </c>
      <c r="H139" s="157">
        <f t="shared" si="60"/>
        <v>46021</v>
      </c>
      <c r="I139" s="157">
        <f t="shared" si="60"/>
        <v>46386</v>
      </c>
      <c r="J139" s="158">
        <f t="shared" si="60"/>
        <v>46751</v>
      </c>
      <c r="K139" s="158">
        <f t="shared" si="60"/>
        <v>47116</v>
      </c>
    </row>
    <row r="140" spans="1:25" x14ac:dyDescent="0.2">
      <c r="A140" s="155"/>
      <c r="B140" s="183"/>
      <c r="C140" s="183"/>
      <c r="D140" s="183"/>
      <c r="E140" s="183"/>
      <c r="F140" s="183"/>
      <c r="G140" s="183"/>
      <c r="H140" s="183"/>
      <c r="I140" s="183"/>
      <c r="J140" s="184"/>
      <c r="K140" s="184"/>
    </row>
    <row r="141" spans="1:25" x14ac:dyDescent="0.2">
      <c r="A141" s="155" t="s">
        <v>436</v>
      </c>
      <c r="B141" s="166"/>
      <c r="C141" s="166"/>
      <c r="D141" s="166"/>
      <c r="E141" s="166"/>
      <c r="F141" s="166"/>
      <c r="G141" s="166"/>
      <c r="H141" s="166"/>
      <c r="I141" s="166"/>
      <c r="J141" s="167"/>
      <c r="K141" s="167"/>
    </row>
    <row r="142" spans="1:25" x14ac:dyDescent="0.2">
      <c r="A142" s="155" t="s">
        <v>341</v>
      </c>
      <c r="B142" s="166"/>
      <c r="C142" s="166"/>
      <c r="D142" s="166"/>
      <c r="E142" s="166"/>
      <c r="F142" s="166"/>
      <c r="G142" s="166"/>
      <c r="H142" s="166"/>
      <c r="I142" s="166"/>
      <c r="J142" s="167"/>
      <c r="K142" s="167"/>
      <c r="V142" s="190"/>
    </row>
    <row r="143" spans="1:25" x14ac:dyDescent="0.2">
      <c r="A143" s="155" t="str">
        <f>"============ RESULTATEN ========== CODES"</f>
        <v>============ RESULTATEN ========== CODES</v>
      </c>
      <c r="B143" s="166"/>
      <c r="C143" s="166"/>
      <c r="D143" s="166"/>
      <c r="E143" s="166"/>
      <c r="F143" s="166"/>
      <c r="G143" s="166"/>
      <c r="H143" s="166"/>
      <c r="I143" s="166"/>
      <c r="J143" s="167"/>
      <c r="K143" s="167"/>
      <c r="V143" s="190"/>
      <c r="X143" s="190"/>
      <c r="Y143" s="191"/>
    </row>
    <row r="144" spans="1:25" x14ac:dyDescent="0.2">
      <c r="A144" s="155" t="s">
        <v>341</v>
      </c>
      <c r="B144" s="166"/>
      <c r="C144" s="166"/>
      <c r="D144" s="166"/>
      <c r="E144" s="166"/>
      <c r="F144" s="166"/>
      <c r="G144" s="166"/>
      <c r="H144" s="166"/>
      <c r="I144" s="166"/>
      <c r="J144" s="167"/>
      <c r="K144" s="167"/>
      <c r="V144" s="190"/>
      <c r="X144" s="190"/>
    </row>
    <row r="145" spans="1:25" x14ac:dyDescent="0.2">
      <c r="A145" s="155" t="s">
        <v>437</v>
      </c>
      <c r="B145" s="177">
        <f t="shared" ref="B145:K145" si="62">B147-B156-B159-B155</f>
        <v>0</v>
      </c>
      <c r="C145" s="177">
        <f t="shared" si="62"/>
        <v>0</v>
      </c>
      <c r="D145" s="177">
        <f t="shared" ref="D145:F145" si="63">D147-D156-D159-D155</f>
        <v>0</v>
      </c>
      <c r="E145" s="177">
        <f t="shared" si="63"/>
        <v>0</v>
      </c>
      <c r="F145" s="177">
        <f t="shared" si="63"/>
        <v>0</v>
      </c>
      <c r="G145" s="177">
        <f t="shared" si="62"/>
        <v>0</v>
      </c>
      <c r="H145" s="177">
        <f t="shared" si="62"/>
        <v>0</v>
      </c>
      <c r="I145" s="177">
        <f t="shared" si="62"/>
        <v>0</v>
      </c>
      <c r="J145" s="178">
        <f t="shared" si="62"/>
        <v>0</v>
      </c>
      <c r="K145" s="178">
        <f t="shared" si="62"/>
        <v>0</v>
      </c>
      <c r="X145" s="190"/>
    </row>
    <row r="146" spans="1:25" x14ac:dyDescent="0.2">
      <c r="A146" s="155" t="s">
        <v>341</v>
      </c>
      <c r="B146" s="171"/>
      <c r="C146" s="171"/>
      <c r="D146" s="171"/>
      <c r="E146" s="171"/>
      <c r="F146" s="171"/>
      <c r="G146" s="171"/>
      <c r="H146" s="171"/>
      <c r="I146" s="171"/>
      <c r="J146" s="172"/>
      <c r="K146" s="172"/>
      <c r="X146" s="190"/>
      <c r="Y146" s="191"/>
    </row>
    <row r="147" spans="1:25" x14ac:dyDescent="0.2">
      <c r="A147" s="148" t="s">
        <v>438</v>
      </c>
      <c r="B147" s="175">
        <f>SUM(B148:B151)</f>
        <v>0</v>
      </c>
      <c r="C147" s="175">
        <f t="shared" ref="C147:K147" si="64">SUM(C148:C151)</f>
        <v>0</v>
      </c>
      <c r="D147" s="175">
        <f t="shared" ref="D147:F147" si="65">SUM(D148:D151)</f>
        <v>0</v>
      </c>
      <c r="E147" s="175">
        <f t="shared" si="65"/>
        <v>0</v>
      </c>
      <c r="F147" s="175">
        <f t="shared" si="65"/>
        <v>0</v>
      </c>
      <c r="G147" s="175">
        <f t="shared" si="64"/>
        <v>0</v>
      </c>
      <c r="H147" s="175">
        <f t="shared" si="64"/>
        <v>0</v>
      </c>
      <c r="I147" s="175">
        <f t="shared" si="64"/>
        <v>0</v>
      </c>
      <c r="J147" s="176">
        <f t="shared" si="64"/>
        <v>0</v>
      </c>
      <c r="K147" s="176">
        <f t="shared" si="64"/>
        <v>0</v>
      </c>
    </row>
    <row r="148" spans="1:25" x14ac:dyDescent="0.2">
      <c r="A148" s="155" t="s">
        <v>439</v>
      </c>
      <c r="B148" s="177">
        <v>0</v>
      </c>
      <c r="C148" s="177">
        <v>0</v>
      </c>
      <c r="D148" s="177">
        <v>0</v>
      </c>
      <c r="E148" s="177">
        <v>0</v>
      </c>
      <c r="F148" s="177">
        <v>0</v>
      </c>
      <c r="G148" s="177">
        <v>0</v>
      </c>
      <c r="H148" s="177">
        <v>0</v>
      </c>
      <c r="I148" s="177">
        <v>0</v>
      </c>
      <c r="J148" s="178">
        <v>0</v>
      </c>
      <c r="K148" s="178">
        <v>0</v>
      </c>
    </row>
    <row r="149" spans="1:25" x14ac:dyDescent="0.2">
      <c r="A149" s="155" t="s">
        <v>440</v>
      </c>
      <c r="B149" s="177">
        <v>0</v>
      </c>
      <c r="C149" s="177">
        <v>0</v>
      </c>
      <c r="D149" s="177">
        <v>0</v>
      </c>
      <c r="E149" s="177">
        <v>0</v>
      </c>
      <c r="F149" s="177">
        <v>0</v>
      </c>
      <c r="G149" s="177">
        <v>0</v>
      </c>
      <c r="H149" s="177">
        <v>0</v>
      </c>
      <c r="I149" s="177">
        <v>0</v>
      </c>
      <c r="J149" s="178">
        <v>0</v>
      </c>
      <c r="K149" s="178">
        <v>0</v>
      </c>
    </row>
    <row r="150" spans="1:25" x14ac:dyDescent="0.2">
      <c r="A150" s="155" t="s">
        <v>441</v>
      </c>
      <c r="B150" s="177">
        <v>0</v>
      </c>
      <c r="C150" s="177">
        <v>0</v>
      </c>
      <c r="D150" s="177">
        <v>0</v>
      </c>
      <c r="E150" s="177">
        <v>0</v>
      </c>
      <c r="F150" s="177">
        <v>0</v>
      </c>
      <c r="G150" s="177">
        <v>0</v>
      </c>
      <c r="H150" s="177">
        <v>0</v>
      </c>
      <c r="I150" s="177">
        <v>0</v>
      </c>
      <c r="J150" s="178">
        <v>0</v>
      </c>
      <c r="K150" s="178">
        <v>0</v>
      </c>
    </row>
    <row r="151" spans="1:25" x14ac:dyDescent="0.2">
      <c r="A151" s="155" t="s">
        <v>442</v>
      </c>
      <c r="B151" s="177">
        <v>0</v>
      </c>
      <c r="C151" s="177">
        <v>0</v>
      </c>
      <c r="D151" s="177">
        <v>0</v>
      </c>
      <c r="E151" s="177">
        <v>0</v>
      </c>
      <c r="F151" s="177">
        <v>0</v>
      </c>
      <c r="G151" s="177">
        <v>0</v>
      </c>
      <c r="H151" s="177">
        <v>0</v>
      </c>
      <c r="I151" s="177">
        <v>0</v>
      </c>
      <c r="J151" s="178">
        <v>0</v>
      </c>
      <c r="K151" s="178">
        <v>0</v>
      </c>
    </row>
    <row r="152" spans="1:25" x14ac:dyDescent="0.2">
      <c r="A152" s="155" t="s">
        <v>341</v>
      </c>
      <c r="B152" s="171"/>
      <c r="C152" s="171"/>
      <c r="D152" s="171"/>
      <c r="E152" s="171"/>
      <c r="F152" s="171"/>
      <c r="G152" s="171"/>
      <c r="H152" s="171"/>
      <c r="I152" s="171"/>
      <c r="J152" s="172"/>
      <c r="K152" s="172"/>
    </row>
    <row r="153" spans="1:25" ht="13.2" x14ac:dyDescent="0.25">
      <c r="A153" s="148" t="s">
        <v>443</v>
      </c>
      <c r="B153" s="175">
        <f t="shared" ref="B153:K153" si="66">B155+B157+B158+B159+B160+B161+B162+B163+B164+B165</f>
        <v>0</v>
      </c>
      <c r="C153" s="175">
        <f t="shared" si="66"/>
        <v>0</v>
      </c>
      <c r="D153" s="175">
        <f t="shared" ref="D153:F153" si="67">D155+D157+D158+D159+D160+D161+D162+D163+D164+D165</f>
        <v>0</v>
      </c>
      <c r="E153" s="175">
        <f t="shared" si="67"/>
        <v>0</v>
      </c>
      <c r="F153" s="175">
        <f t="shared" si="67"/>
        <v>0</v>
      </c>
      <c r="G153" s="175">
        <f t="shared" si="66"/>
        <v>0</v>
      </c>
      <c r="H153" s="175">
        <f t="shared" si="66"/>
        <v>0</v>
      </c>
      <c r="I153" s="175">
        <f t="shared" si="66"/>
        <v>0</v>
      </c>
      <c r="J153" s="176">
        <f t="shared" si="66"/>
        <v>0</v>
      </c>
      <c r="K153" s="176">
        <f t="shared" si="66"/>
        <v>0</v>
      </c>
      <c r="S153" s="192"/>
      <c r="T153" s="193"/>
    </row>
    <row r="154" spans="1:25" x14ac:dyDescent="0.2">
      <c r="A154" s="155" t="s">
        <v>444</v>
      </c>
      <c r="B154" s="171"/>
      <c r="C154" s="171"/>
      <c r="D154" s="171"/>
      <c r="E154" s="171"/>
      <c r="F154" s="171"/>
      <c r="G154" s="171"/>
      <c r="H154" s="171"/>
      <c r="I154" s="171"/>
      <c r="J154" s="172"/>
      <c r="K154" s="172"/>
    </row>
    <row r="155" spans="1:25" x14ac:dyDescent="0.2">
      <c r="A155" s="155" t="s">
        <v>445</v>
      </c>
      <c r="B155" s="177">
        <v>0</v>
      </c>
      <c r="C155" s="177">
        <v>0</v>
      </c>
      <c r="D155" s="177">
        <v>0</v>
      </c>
      <c r="E155" s="177">
        <v>0</v>
      </c>
      <c r="F155" s="177">
        <v>0</v>
      </c>
      <c r="G155" s="177">
        <v>0</v>
      </c>
      <c r="H155" s="177">
        <v>0</v>
      </c>
      <c r="I155" s="177">
        <v>0</v>
      </c>
      <c r="J155" s="178">
        <v>0</v>
      </c>
      <c r="K155" s="178">
        <v>0</v>
      </c>
      <c r="S155" s="194"/>
      <c r="T155" s="195"/>
    </row>
    <row r="156" spans="1:25" x14ac:dyDescent="0.2">
      <c r="A156" s="155" t="s">
        <v>446</v>
      </c>
      <c r="B156" s="171">
        <f t="shared" ref="B156:K156" si="68">B157+B158</f>
        <v>0</v>
      </c>
      <c r="C156" s="171">
        <f t="shared" si="68"/>
        <v>0</v>
      </c>
      <c r="D156" s="171">
        <f t="shared" ref="D156:F156" si="69">D157+D158</f>
        <v>0</v>
      </c>
      <c r="E156" s="171">
        <f t="shared" si="69"/>
        <v>0</v>
      </c>
      <c r="F156" s="171">
        <f t="shared" si="69"/>
        <v>0</v>
      </c>
      <c r="G156" s="171">
        <f t="shared" si="68"/>
        <v>0</v>
      </c>
      <c r="H156" s="171">
        <f t="shared" si="68"/>
        <v>0</v>
      </c>
      <c r="I156" s="171">
        <f t="shared" si="68"/>
        <v>0</v>
      </c>
      <c r="J156" s="172">
        <f t="shared" si="68"/>
        <v>0</v>
      </c>
      <c r="K156" s="172">
        <f t="shared" si="68"/>
        <v>0</v>
      </c>
    </row>
    <row r="157" spans="1:25" x14ac:dyDescent="0.2">
      <c r="A157" s="155" t="s">
        <v>447</v>
      </c>
      <c r="B157" s="177">
        <v>0</v>
      </c>
      <c r="C157" s="177">
        <v>0</v>
      </c>
      <c r="D157" s="177">
        <v>0</v>
      </c>
      <c r="E157" s="177">
        <v>0</v>
      </c>
      <c r="F157" s="177">
        <v>0</v>
      </c>
      <c r="G157" s="177">
        <v>0</v>
      </c>
      <c r="H157" s="177">
        <v>0</v>
      </c>
      <c r="I157" s="177">
        <v>0</v>
      </c>
      <c r="J157" s="178">
        <v>0</v>
      </c>
      <c r="K157" s="178">
        <v>0</v>
      </c>
    </row>
    <row r="158" spans="1:25" x14ac:dyDescent="0.2">
      <c r="A158" s="155" t="s">
        <v>448</v>
      </c>
      <c r="B158" s="177">
        <v>0</v>
      </c>
      <c r="C158" s="177">
        <v>0</v>
      </c>
      <c r="D158" s="177">
        <v>0</v>
      </c>
      <c r="E158" s="177">
        <v>0</v>
      </c>
      <c r="F158" s="177">
        <v>0</v>
      </c>
      <c r="G158" s="177">
        <v>0</v>
      </c>
      <c r="H158" s="177">
        <v>0</v>
      </c>
      <c r="I158" s="177">
        <v>0</v>
      </c>
      <c r="J158" s="178">
        <v>0</v>
      </c>
      <c r="K158" s="178">
        <v>0</v>
      </c>
      <c r="W158" s="191"/>
      <c r="Y158" s="191"/>
    </row>
    <row r="159" spans="1:25" x14ac:dyDescent="0.2">
      <c r="A159" s="155" t="s">
        <v>449</v>
      </c>
      <c r="B159" s="177">
        <v>0</v>
      </c>
      <c r="C159" s="177">
        <v>0</v>
      </c>
      <c r="D159" s="177">
        <v>0</v>
      </c>
      <c r="E159" s="177">
        <v>0</v>
      </c>
      <c r="F159" s="177">
        <v>0</v>
      </c>
      <c r="G159" s="177">
        <v>0</v>
      </c>
      <c r="H159" s="177">
        <v>0</v>
      </c>
      <c r="I159" s="177">
        <v>0</v>
      </c>
      <c r="J159" s="178">
        <v>0</v>
      </c>
      <c r="K159" s="178">
        <v>0</v>
      </c>
      <c r="V159" s="191"/>
      <c r="W159" s="191"/>
    </row>
    <row r="160" spans="1:25" x14ac:dyDescent="0.2">
      <c r="A160" s="155" t="s">
        <v>450</v>
      </c>
      <c r="B160" s="177">
        <v>0</v>
      </c>
      <c r="C160" s="177">
        <v>0</v>
      </c>
      <c r="D160" s="177">
        <v>0</v>
      </c>
      <c r="E160" s="177">
        <v>0</v>
      </c>
      <c r="F160" s="177">
        <v>0</v>
      </c>
      <c r="G160" s="177">
        <v>0</v>
      </c>
      <c r="H160" s="177">
        <v>0</v>
      </c>
      <c r="I160" s="177">
        <v>0</v>
      </c>
      <c r="J160" s="178">
        <v>0</v>
      </c>
      <c r="K160" s="178">
        <v>0</v>
      </c>
      <c r="T160" s="196"/>
      <c r="W160" s="191"/>
    </row>
    <row r="161" spans="1:23" x14ac:dyDescent="0.2">
      <c r="A161" s="155" t="s">
        <v>451</v>
      </c>
      <c r="B161" s="177">
        <v>0</v>
      </c>
      <c r="C161" s="177">
        <v>0</v>
      </c>
      <c r="D161" s="177">
        <v>0</v>
      </c>
      <c r="E161" s="177">
        <v>0</v>
      </c>
      <c r="F161" s="177">
        <v>0</v>
      </c>
      <c r="G161" s="177">
        <v>0</v>
      </c>
      <c r="H161" s="177">
        <v>0</v>
      </c>
      <c r="I161" s="177">
        <v>0</v>
      </c>
      <c r="J161" s="178">
        <v>0</v>
      </c>
      <c r="K161" s="178">
        <v>0</v>
      </c>
      <c r="W161" s="191"/>
    </row>
    <row r="162" spans="1:23" x14ac:dyDescent="0.2">
      <c r="A162" s="155" t="s">
        <v>452</v>
      </c>
      <c r="B162" s="177">
        <v>0</v>
      </c>
      <c r="C162" s="177">
        <v>0</v>
      </c>
      <c r="D162" s="177">
        <v>0</v>
      </c>
      <c r="E162" s="177">
        <v>0</v>
      </c>
      <c r="F162" s="177">
        <v>0</v>
      </c>
      <c r="G162" s="177">
        <v>0</v>
      </c>
      <c r="H162" s="177">
        <v>0</v>
      </c>
      <c r="I162" s="177">
        <v>0</v>
      </c>
      <c r="J162" s="178">
        <v>0</v>
      </c>
      <c r="K162" s="178">
        <v>0</v>
      </c>
    </row>
    <row r="163" spans="1:23" ht="13.2" x14ac:dyDescent="0.25">
      <c r="A163" s="155" t="s">
        <v>453</v>
      </c>
      <c r="B163" s="177">
        <v>0</v>
      </c>
      <c r="C163" s="177">
        <v>0</v>
      </c>
      <c r="D163" s="177">
        <v>0</v>
      </c>
      <c r="E163" s="177">
        <v>0</v>
      </c>
      <c r="F163" s="177">
        <v>0</v>
      </c>
      <c r="G163" s="177">
        <v>0</v>
      </c>
      <c r="H163" s="177">
        <v>0</v>
      </c>
      <c r="I163" s="177">
        <v>0</v>
      </c>
      <c r="J163" s="178">
        <v>0</v>
      </c>
      <c r="K163" s="178">
        <v>0</v>
      </c>
      <c r="S163" s="192"/>
      <c r="T163" s="193"/>
    </row>
    <row r="164" spans="1:23" x14ac:dyDescent="0.2">
      <c r="A164" s="155" t="s">
        <v>454</v>
      </c>
      <c r="B164" s="177">
        <v>0</v>
      </c>
      <c r="C164" s="177">
        <v>0</v>
      </c>
      <c r="D164" s="177">
        <v>0</v>
      </c>
      <c r="E164" s="177">
        <v>0</v>
      </c>
      <c r="F164" s="177">
        <v>0</v>
      </c>
      <c r="G164" s="177">
        <v>0</v>
      </c>
      <c r="H164" s="177">
        <v>0</v>
      </c>
      <c r="I164" s="177">
        <v>0</v>
      </c>
      <c r="J164" s="178">
        <v>0</v>
      </c>
      <c r="K164" s="178">
        <v>0</v>
      </c>
      <c r="T164" s="196"/>
    </row>
    <row r="165" spans="1:23" x14ac:dyDescent="0.2">
      <c r="A165" s="155" t="s">
        <v>455</v>
      </c>
      <c r="B165" s="177">
        <v>0</v>
      </c>
      <c r="C165" s="177">
        <v>0</v>
      </c>
      <c r="D165" s="177">
        <v>0</v>
      </c>
      <c r="E165" s="177">
        <v>0</v>
      </c>
      <c r="F165" s="177">
        <v>0</v>
      </c>
      <c r="G165" s="177">
        <v>0</v>
      </c>
      <c r="H165" s="177">
        <v>0</v>
      </c>
      <c r="I165" s="177">
        <v>0</v>
      </c>
      <c r="J165" s="178">
        <v>0</v>
      </c>
      <c r="K165" s="178">
        <v>0</v>
      </c>
      <c r="T165" s="190"/>
    </row>
    <row r="166" spans="1:23" x14ac:dyDescent="0.2">
      <c r="A166" s="155" t="s">
        <v>341</v>
      </c>
      <c r="B166" s="171"/>
      <c r="C166" s="171"/>
      <c r="D166" s="171"/>
      <c r="E166" s="171"/>
      <c r="F166" s="171"/>
      <c r="G166" s="171"/>
      <c r="H166" s="171"/>
      <c r="I166" s="171"/>
      <c r="J166" s="172"/>
      <c r="K166" s="172"/>
    </row>
    <row r="167" spans="1:23" ht="13.8" x14ac:dyDescent="0.3">
      <c r="A167" s="168" t="s">
        <v>456</v>
      </c>
      <c r="B167" s="197">
        <f t="shared" ref="B167:K167" si="70">B147-B153</f>
        <v>0</v>
      </c>
      <c r="C167" s="197">
        <f t="shared" si="70"/>
        <v>0</v>
      </c>
      <c r="D167" s="197">
        <f t="shared" ref="D167:F167" si="71">D147-D153</f>
        <v>0</v>
      </c>
      <c r="E167" s="197">
        <f t="shared" si="71"/>
        <v>0</v>
      </c>
      <c r="F167" s="197">
        <f t="shared" si="71"/>
        <v>0</v>
      </c>
      <c r="G167" s="197">
        <f t="shared" si="70"/>
        <v>0</v>
      </c>
      <c r="H167" s="197">
        <f t="shared" si="70"/>
        <v>0</v>
      </c>
      <c r="I167" s="197">
        <f t="shared" si="70"/>
        <v>0</v>
      </c>
      <c r="J167" s="198">
        <f t="shared" si="70"/>
        <v>0</v>
      </c>
      <c r="K167" s="198">
        <f t="shared" si="70"/>
        <v>0</v>
      </c>
    </row>
    <row r="168" spans="1:23" x14ac:dyDescent="0.2">
      <c r="A168" s="155" t="s">
        <v>341</v>
      </c>
      <c r="B168" s="171"/>
      <c r="C168" s="171"/>
      <c r="D168" s="171"/>
      <c r="E168" s="171"/>
      <c r="F168" s="171"/>
      <c r="G168" s="171"/>
      <c r="H168" s="171"/>
      <c r="I168" s="171"/>
      <c r="J168" s="172"/>
      <c r="K168" s="172"/>
    </row>
    <row r="169" spans="1:23" x14ac:dyDescent="0.2">
      <c r="A169" s="148" t="s">
        <v>457</v>
      </c>
      <c r="B169" s="175">
        <f>SUM(B170:B172)</f>
        <v>0</v>
      </c>
      <c r="C169" s="175">
        <f t="shared" ref="C169:K169" si="72">SUM(C170:C172)</f>
        <v>0</v>
      </c>
      <c r="D169" s="175">
        <f t="shared" ref="D169:F169" si="73">SUM(D170:D172)</f>
        <v>0</v>
      </c>
      <c r="E169" s="175">
        <f t="shared" si="73"/>
        <v>0</v>
      </c>
      <c r="F169" s="175">
        <f t="shared" si="73"/>
        <v>0</v>
      </c>
      <c r="G169" s="175">
        <f t="shared" si="72"/>
        <v>0</v>
      </c>
      <c r="H169" s="175">
        <f t="shared" si="72"/>
        <v>0</v>
      </c>
      <c r="I169" s="175">
        <f t="shared" si="72"/>
        <v>0</v>
      </c>
      <c r="J169" s="176">
        <f t="shared" si="72"/>
        <v>0</v>
      </c>
      <c r="K169" s="176">
        <f t="shared" si="72"/>
        <v>0</v>
      </c>
    </row>
    <row r="170" spans="1:23" x14ac:dyDescent="0.2">
      <c r="A170" s="155" t="s">
        <v>458</v>
      </c>
      <c r="B170" s="177">
        <v>0</v>
      </c>
      <c r="C170" s="177">
        <v>0</v>
      </c>
      <c r="D170" s="177">
        <v>0</v>
      </c>
      <c r="E170" s="177">
        <v>0</v>
      </c>
      <c r="F170" s="177">
        <v>0</v>
      </c>
      <c r="G170" s="177">
        <v>0</v>
      </c>
      <c r="H170" s="177">
        <v>0</v>
      </c>
      <c r="I170" s="177">
        <v>0</v>
      </c>
      <c r="J170" s="178">
        <v>0</v>
      </c>
      <c r="K170" s="178">
        <v>0</v>
      </c>
    </row>
    <row r="171" spans="1:23" x14ac:dyDescent="0.2">
      <c r="A171" s="155" t="s">
        <v>459</v>
      </c>
      <c r="B171" s="177">
        <v>0</v>
      </c>
      <c r="C171" s="177">
        <v>0</v>
      </c>
      <c r="D171" s="177">
        <v>0</v>
      </c>
      <c r="E171" s="177">
        <v>0</v>
      </c>
      <c r="F171" s="177">
        <v>0</v>
      </c>
      <c r="G171" s="177">
        <v>0</v>
      </c>
      <c r="H171" s="177">
        <v>0</v>
      </c>
      <c r="I171" s="177">
        <v>0</v>
      </c>
      <c r="J171" s="178">
        <v>0</v>
      </c>
      <c r="K171" s="178">
        <v>0</v>
      </c>
    </row>
    <row r="172" spans="1:23" x14ac:dyDescent="0.2">
      <c r="A172" s="155" t="s">
        <v>460</v>
      </c>
      <c r="B172" s="177">
        <v>0</v>
      </c>
      <c r="C172" s="177">
        <v>0</v>
      </c>
      <c r="D172" s="177">
        <v>0</v>
      </c>
      <c r="E172" s="177">
        <v>0</v>
      </c>
      <c r="F172" s="177">
        <v>0</v>
      </c>
      <c r="G172" s="177">
        <v>0</v>
      </c>
      <c r="H172" s="177">
        <v>0</v>
      </c>
      <c r="I172" s="177">
        <v>0</v>
      </c>
      <c r="J172" s="178">
        <v>0</v>
      </c>
      <c r="K172" s="178">
        <v>0</v>
      </c>
      <c r="T172" s="196"/>
    </row>
    <row r="173" spans="1:23" x14ac:dyDescent="0.2">
      <c r="A173" s="155" t="s">
        <v>341</v>
      </c>
      <c r="B173" s="177"/>
      <c r="C173" s="171"/>
      <c r="D173" s="177"/>
      <c r="E173" s="177"/>
      <c r="F173" s="177"/>
      <c r="G173" s="177"/>
      <c r="H173" s="177"/>
      <c r="I173" s="177"/>
      <c r="J173" s="178"/>
      <c r="K173" s="178"/>
      <c r="S173" s="194"/>
      <c r="T173" s="194"/>
    </row>
    <row r="174" spans="1:23" x14ac:dyDescent="0.2">
      <c r="A174" s="148" t="s">
        <v>461</v>
      </c>
      <c r="B174" s="175">
        <f t="shared" ref="B174:K174" si="74">SUM(B175:B177)</f>
        <v>0</v>
      </c>
      <c r="C174" s="175">
        <f t="shared" si="74"/>
        <v>0</v>
      </c>
      <c r="D174" s="175">
        <f t="shared" ref="D174:F174" si="75">SUM(D175:D177)</f>
        <v>0</v>
      </c>
      <c r="E174" s="175">
        <f t="shared" si="75"/>
        <v>0</v>
      </c>
      <c r="F174" s="175">
        <f t="shared" si="75"/>
        <v>0</v>
      </c>
      <c r="G174" s="175">
        <f t="shared" si="74"/>
        <v>0</v>
      </c>
      <c r="H174" s="175">
        <f t="shared" si="74"/>
        <v>0</v>
      </c>
      <c r="I174" s="175">
        <f t="shared" si="74"/>
        <v>0</v>
      </c>
      <c r="J174" s="176">
        <f t="shared" si="74"/>
        <v>0</v>
      </c>
      <c r="K174" s="176">
        <f t="shared" si="74"/>
        <v>0</v>
      </c>
    </row>
    <row r="175" spans="1:23" x14ac:dyDescent="0.2">
      <c r="A175" s="155" t="s">
        <v>462</v>
      </c>
      <c r="B175" s="177">
        <v>0</v>
      </c>
      <c r="C175" s="177">
        <v>0</v>
      </c>
      <c r="D175" s="177">
        <v>0</v>
      </c>
      <c r="E175" s="177">
        <v>0</v>
      </c>
      <c r="F175" s="177">
        <v>0</v>
      </c>
      <c r="G175" s="177">
        <v>0</v>
      </c>
      <c r="H175" s="177">
        <v>0</v>
      </c>
      <c r="I175" s="177">
        <v>0</v>
      </c>
      <c r="J175" s="178">
        <v>0</v>
      </c>
      <c r="K175" s="178">
        <v>0</v>
      </c>
      <c r="T175" s="191"/>
      <c r="U175" s="191"/>
      <c r="V175" s="194"/>
    </row>
    <row r="176" spans="1:23" x14ac:dyDescent="0.2">
      <c r="A176" s="155" t="s">
        <v>463</v>
      </c>
      <c r="B176" s="177">
        <v>0</v>
      </c>
      <c r="C176" s="177">
        <v>0</v>
      </c>
      <c r="D176" s="177">
        <v>0</v>
      </c>
      <c r="E176" s="177">
        <v>0</v>
      </c>
      <c r="F176" s="177">
        <v>0</v>
      </c>
      <c r="G176" s="177">
        <v>0</v>
      </c>
      <c r="H176" s="177">
        <v>0</v>
      </c>
      <c r="I176" s="177">
        <v>0</v>
      </c>
      <c r="J176" s="178">
        <v>0</v>
      </c>
      <c r="K176" s="178">
        <v>0</v>
      </c>
    </row>
    <row r="177" spans="1:22" x14ac:dyDescent="0.2">
      <c r="A177" s="155" t="s">
        <v>464</v>
      </c>
      <c r="B177" s="177">
        <v>0</v>
      </c>
      <c r="C177" s="177">
        <v>0</v>
      </c>
      <c r="D177" s="177">
        <v>0</v>
      </c>
      <c r="E177" s="177">
        <v>0</v>
      </c>
      <c r="F177" s="177">
        <v>0</v>
      </c>
      <c r="G177" s="177">
        <v>0</v>
      </c>
      <c r="H177" s="177">
        <v>0</v>
      </c>
      <c r="I177" s="177">
        <v>0</v>
      </c>
      <c r="J177" s="178">
        <v>0</v>
      </c>
      <c r="K177" s="178">
        <v>0</v>
      </c>
    </row>
    <row r="178" spans="1:22" x14ac:dyDescent="0.2">
      <c r="A178" s="155" t="s">
        <v>341</v>
      </c>
      <c r="B178" s="171"/>
      <c r="C178" s="171"/>
      <c r="D178" s="171"/>
      <c r="E178" s="171"/>
      <c r="F178" s="171"/>
      <c r="G178" s="171"/>
      <c r="H178" s="171"/>
      <c r="I178" s="171"/>
      <c r="J178" s="172"/>
      <c r="K178" s="172"/>
    </row>
    <row r="179" spans="1:22" ht="13.8" x14ac:dyDescent="0.3">
      <c r="A179" s="168" t="s">
        <v>465</v>
      </c>
      <c r="B179" s="197">
        <f t="shared" ref="B179:K179" si="76">B167+B169-B174</f>
        <v>0</v>
      </c>
      <c r="C179" s="197">
        <f t="shared" si="76"/>
        <v>0</v>
      </c>
      <c r="D179" s="197">
        <f t="shared" ref="D179:F179" si="77">D167+D169-D174</f>
        <v>0</v>
      </c>
      <c r="E179" s="197">
        <f t="shared" si="77"/>
        <v>0</v>
      </c>
      <c r="F179" s="197">
        <f t="shared" si="77"/>
        <v>0</v>
      </c>
      <c r="G179" s="197">
        <f t="shared" si="76"/>
        <v>0</v>
      </c>
      <c r="H179" s="197">
        <f t="shared" si="76"/>
        <v>0</v>
      </c>
      <c r="I179" s="197">
        <f t="shared" si="76"/>
        <v>0</v>
      </c>
      <c r="J179" s="198">
        <f t="shared" si="76"/>
        <v>0</v>
      </c>
      <c r="K179" s="198">
        <f t="shared" si="76"/>
        <v>0</v>
      </c>
    </row>
    <row r="180" spans="1:22" x14ac:dyDescent="0.2">
      <c r="A180" s="155" t="s">
        <v>341</v>
      </c>
      <c r="B180" s="171"/>
      <c r="C180" s="171"/>
      <c r="D180" s="171"/>
      <c r="E180" s="171"/>
      <c r="F180" s="171"/>
      <c r="G180" s="171"/>
      <c r="H180" s="171"/>
      <c r="I180" s="171"/>
      <c r="J180" s="172"/>
      <c r="K180" s="172"/>
      <c r="T180" s="196"/>
    </row>
    <row r="181" spans="1:22" x14ac:dyDescent="0.2">
      <c r="A181" s="148" t="s">
        <v>466</v>
      </c>
      <c r="B181" s="175">
        <f>SUM(B182:B186)</f>
        <v>0</v>
      </c>
      <c r="C181" s="175">
        <f t="shared" ref="C181:K181" si="78">SUM(C182:C186)</f>
        <v>0</v>
      </c>
      <c r="D181" s="175">
        <f t="shared" ref="D181:F181" si="79">SUM(D182:D186)</f>
        <v>0</v>
      </c>
      <c r="E181" s="175">
        <f t="shared" si="79"/>
        <v>0</v>
      </c>
      <c r="F181" s="175">
        <f t="shared" si="79"/>
        <v>0</v>
      </c>
      <c r="G181" s="175">
        <f t="shared" si="78"/>
        <v>0</v>
      </c>
      <c r="H181" s="175">
        <f t="shared" si="78"/>
        <v>0</v>
      </c>
      <c r="I181" s="175">
        <f t="shared" si="78"/>
        <v>0</v>
      </c>
      <c r="J181" s="176">
        <f t="shared" si="78"/>
        <v>0</v>
      </c>
      <c r="K181" s="176">
        <f t="shared" si="78"/>
        <v>0</v>
      </c>
    </row>
    <row r="182" spans="1:22" x14ac:dyDescent="0.2">
      <c r="A182" s="155" t="s">
        <v>467</v>
      </c>
      <c r="B182" s="177">
        <v>0</v>
      </c>
      <c r="C182" s="177">
        <v>0</v>
      </c>
      <c r="D182" s="177">
        <v>0</v>
      </c>
      <c r="E182" s="177">
        <v>0</v>
      </c>
      <c r="F182" s="177">
        <v>0</v>
      </c>
      <c r="G182" s="177">
        <v>0</v>
      </c>
      <c r="H182" s="177">
        <v>0</v>
      </c>
      <c r="I182" s="177">
        <v>0</v>
      </c>
      <c r="J182" s="178">
        <v>0</v>
      </c>
      <c r="K182" s="178">
        <v>0</v>
      </c>
      <c r="T182" s="191"/>
      <c r="V182" s="191"/>
    </row>
    <row r="183" spans="1:22" x14ac:dyDescent="0.2">
      <c r="A183" s="155" t="s">
        <v>468</v>
      </c>
      <c r="B183" s="177">
        <v>0</v>
      </c>
      <c r="C183" s="177">
        <v>0</v>
      </c>
      <c r="D183" s="177">
        <v>0</v>
      </c>
      <c r="E183" s="177">
        <v>0</v>
      </c>
      <c r="F183" s="177">
        <v>0</v>
      </c>
      <c r="G183" s="177">
        <v>0</v>
      </c>
      <c r="H183" s="177">
        <v>0</v>
      </c>
      <c r="I183" s="177">
        <v>0</v>
      </c>
      <c r="J183" s="178">
        <v>0</v>
      </c>
      <c r="K183" s="178">
        <v>0</v>
      </c>
    </row>
    <row r="184" spans="1:22" x14ac:dyDescent="0.2">
      <c r="A184" s="155" t="s">
        <v>469</v>
      </c>
      <c r="B184" s="177">
        <v>0</v>
      </c>
      <c r="C184" s="177">
        <v>0</v>
      </c>
      <c r="D184" s="177">
        <v>0</v>
      </c>
      <c r="E184" s="177">
        <v>0</v>
      </c>
      <c r="F184" s="177">
        <v>0</v>
      </c>
      <c r="G184" s="177">
        <v>0</v>
      </c>
      <c r="H184" s="177">
        <v>0</v>
      </c>
      <c r="I184" s="177">
        <v>0</v>
      </c>
      <c r="J184" s="178">
        <v>0</v>
      </c>
      <c r="K184" s="178">
        <v>0</v>
      </c>
    </row>
    <row r="185" spans="1:22" x14ac:dyDescent="0.2">
      <c r="A185" s="155" t="s">
        <v>470</v>
      </c>
      <c r="B185" s="177">
        <v>0</v>
      </c>
      <c r="C185" s="177">
        <v>0</v>
      </c>
      <c r="D185" s="177">
        <v>0</v>
      </c>
      <c r="E185" s="177">
        <v>0</v>
      </c>
      <c r="F185" s="177">
        <v>0</v>
      </c>
      <c r="G185" s="177">
        <v>0</v>
      </c>
      <c r="H185" s="177">
        <v>0</v>
      </c>
      <c r="I185" s="177">
        <v>0</v>
      </c>
      <c r="J185" s="178">
        <v>0</v>
      </c>
      <c r="K185" s="178">
        <v>0</v>
      </c>
    </row>
    <row r="186" spans="1:22" x14ac:dyDescent="0.2">
      <c r="A186" s="155" t="s">
        <v>471</v>
      </c>
      <c r="B186" s="177">
        <v>0</v>
      </c>
      <c r="C186" s="177">
        <v>0</v>
      </c>
      <c r="D186" s="177">
        <v>0</v>
      </c>
      <c r="E186" s="177">
        <v>0</v>
      </c>
      <c r="F186" s="177">
        <v>0</v>
      </c>
      <c r="G186" s="177">
        <v>0</v>
      </c>
      <c r="H186" s="177">
        <v>0</v>
      </c>
      <c r="I186" s="177">
        <v>0</v>
      </c>
      <c r="J186" s="178">
        <v>0</v>
      </c>
      <c r="K186" s="178">
        <v>0</v>
      </c>
    </row>
    <row r="187" spans="1:22" x14ac:dyDescent="0.2">
      <c r="A187" s="155" t="s">
        <v>341</v>
      </c>
      <c r="B187" s="171"/>
      <c r="C187" s="171"/>
      <c r="D187" s="171"/>
      <c r="E187" s="171"/>
      <c r="F187" s="171"/>
      <c r="G187" s="171"/>
      <c r="H187" s="171"/>
      <c r="I187" s="171"/>
      <c r="J187" s="172"/>
      <c r="K187" s="172"/>
    </row>
    <row r="188" spans="1:22" x14ac:dyDescent="0.2">
      <c r="A188" s="148" t="s">
        <v>472</v>
      </c>
      <c r="B188" s="175">
        <f t="shared" ref="B188:K188" si="80">SUM(B189:B194)</f>
        <v>0</v>
      </c>
      <c r="C188" s="175">
        <f t="shared" si="80"/>
        <v>0</v>
      </c>
      <c r="D188" s="175">
        <f t="shared" ref="D188:F188" si="81">SUM(D189:D194)</f>
        <v>0</v>
      </c>
      <c r="E188" s="175">
        <f t="shared" si="81"/>
        <v>0</v>
      </c>
      <c r="F188" s="175">
        <f t="shared" si="81"/>
        <v>0</v>
      </c>
      <c r="G188" s="175">
        <f t="shared" si="80"/>
        <v>0</v>
      </c>
      <c r="H188" s="175">
        <f t="shared" si="80"/>
        <v>0</v>
      </c>
      <c r="I188" s="175">
        <f t="shared" si="80"/>
        <v>0</v>
      </c>
      <c r="J188" s="176">
        <f t="shared" si="80"/>
        <v>0</v>
      </c>
      <c r="K188" s="176">
        <f t="shared" si="80"/>
        <v>0</v>
      </c>
      <c r="T188" s="191"/>
      <c r="U188" s="191"/>
    </row>
    <row r="189" spans="1:22" x14ac:dyDescent="0.2">
      <c r="A189" s="155" t="s">
        <v>473</v>
      </c>
      <c r="B189" s="177">
        <v>0</v>
      </c>
      <c r="C189" s="177">
        <v>0</v>
      </c>
      <c r="D189" s="177">
        <v>0</v>
      </c>
      <c r="E189" s="177">
        <v>0</v>
      </c>
      <c r="F189" s="177">
        <v>0</v>
      </c>
      <c r="G189" s="177">
        <v>0</v>
      </c>
      <c r="H189" s="177">
        <v>0</v>
      </c>
      <c r="I189" s="177">
        <v>0</v>
      </c>
      <c r="J189" s="178">
        <v>0</v>
      </c>
      <c r="K189" s="178">
        <v>0</v>
      </c>
      <c r="T189" s="190"/>
    </row>
    <row r="190" spans="1:22" x14ac:dyDescent="0.2">
      <c r="A190" s="155" t="s">
        <v>474</v>
      </c>
      <c r="B190" s="177">
        <v>0</v>
      </c>
      <c r="C190" s="177">
        <v>0</v>
      </c>
      <c r="D190" s="177">
        <v>0</v>
      </c>
      <c r="E190" s="177">
        <v>0</v>
      </c>
      <c r="F190" s="177">
        <v>0</v>
      </c>
      <c r="G190" s="177">
        <v>0</v>
      </c>
      <c r="H190" s="177">
        <v>0</v>
      </c>
      <c r="I190" s="177">
        <v>0</v>
      </c>
      <c r="J190" s="178">
        <v>0</v>
      </c>
      <c r="K190" s="178">
        <v>0</v>
      </c>
      <c r="T190" s="190"/>
    </row>
    <row r="191" spans="1:22" x14ac:dyDescent="0.2">
      <c r="A191" s="155" t="s">
        <v>475</v>
      </c>
      <c r="B191" s="177">
        <v>0</v>
      </c>
      <c r="C191" s="177">
        <v>0</v>
      </c>
      <c r="D191" s="177">
        <v>0</v>
      </c>
      <c r="E191" s="177">
        <v>0</v>
      </c>
      <c r="F191" s="177">
        <v>0</v>
      </c>
      <c r="G191" s="177">
        <v>0</v>
      </c>
      <c r="H191" s="177">
        <v>0</v>
      </c>
      <c r="I191" s="177">
        <v>0</v>
      </c>
      <c r="J191" s="178">
        <v>0</v>
      </c>
      <c r="K191" s="178">
        <v>0</v>
      </c>
      <c r="T191" s="190"/>
    </row>
    <row r="192" spans="1:22" x14ac:dyDescent="0.2">
      <c r="A192" s="155" t="s">
        <v>476</v>
      </c>
      <c r="B192" s="177">
        <v>0</v>
      </c>
      <c r="C192" s="177">
        <v>0</v>
      </c>
      <c r="D192" s="177">
        <v>0</v>
      </c>
      <c r="E192" s="177">
        <v>0</v>
      </c>
      <c r="F192" s="177">
        <v>0</v>
      </c>
      <c r="G192" s="177">
        <v>0</v>
      </c>
      <c r="H192" s="177">
        <v>0</v>
      </c>
      <c r="I192" s="177">
        <v>0</v>
      </c>
      <c r="J192" s="178">
        <v>0</v>
      </c>
      <c r="K192" s="178">
        <v>0</v>
      </c>
    </row>
    <row r="193" spans="1:11" x14ac:dyDescent="0.2">
      <c r="A193" s="155" t="s">
        <v>477</v>
      </c>
      <c r="B193" s="177">
        <v>0</v>
      </c>
      <c r="C193" s="177">
        <v>0</v>
      </c>
      <c r="D193" s="177">
        <v>0</v>
      </c>
      <c r="E193" s="177">
        <v>0</v>
      </c>
      <c r="F193" s="177">
        <v>0</v>
      </c>
      <c r="G193" s="177">
        <v>0</v>
      </c>
      <c r="H193" s="177">
        <v>0</v>
      </c>
      <c r="I193" s="177">
        <v>0</v>
      </c>
      <c r="J193" s="178">
        <v>0</v>
      </c>
      <c r="K193" s="178">
        <v>0</v>
      </c>
    </row>
    <row r="194" spans="1:11" x14ac:dyDescent="0.2">
      <c r="A194" s="155" t="s">
        <v>478</v>
      </c>
      <c r="B194" s="177">
        <v>0</v>
      </c>
      <c r="C194" s="177">
        <v>0</v>
      </c>
      <c r="D194" s="177">
        <v>0</v>
      </c>
      <c r="E194" s="177">
        <v>0</v>
      </c>
      <c r="F194" s="177">
        <v>0</v>
      </c>
      <c r="G194" s="177">
        <v>0</v>
      </c>
      <c r="H194" s="177">
        <v>0</v>
      </c>
      <c r="I194" s="177">
        <v>0</v>
      </c>
      <c r="J194" s="178">
        <v>0</v>
      </c>
      <c r="K194" s="178">
        <v>0</v>
      </c>
    </row>
    <row r="195" spans="1:11" x14ac:dyDescent="0.2">
      <c r="A195" s="155" t="s">
        <v>341</v>
      </c>
      <c r="B195" s="171"/>
      <c r="C195" s="171"/>
      <c r="D195" s="171"/>
      <c r="E195" s="171"/>
      <c r="F195" s="171"/>
      <c r="G195" s="171"/>
      <c r="H195" s="171"/>
      <c r="I195" s="171"/>
      <c r="J195" s="172"/>
      <c r="K195" s="172"/>
    </row>
    <row r="196" spans="1:11" ht="13.8" x14ac:dyDescent="0.3">
      <c r="A196" s="168" t="s">
        <v>479</v>
      </c>
      <c r="B196" s="197">
        <f t="shared" ref="B196:K196" si="82">B179+B181-B188</f>
        <v>0</v>
      </c>
      <c r="C196" s="197">
        <f t="shared" si="82"/>
        <v>0</v>
      </c>
      <c r="D196" s="197">
        <f t="shared" ref="D196:F196" si="83">D179+D181-D188</f>
        <v>0</v>
      </c>
      <c r="E196" s="197">
        <f t="shared" si="83"/>
        <v>0</v>
      </c>
      <c r="F196" s="197">
        <f t="shared" si="83"/>
        <v>0</v>
      </c>
      <c r="G196" s="197">
        <f t="shared" si="82"/>
        <v>0</v>
      </c>
      <c r="H196" s="197">
        <f t="shared" si="82"/>
        <v>0</v>
      </c>
      <c r="I196" s="197">
        <f t="shared" si="82"/>
        <v>0</v>
      </c>
      <c r="J196" s="198">
        <f t="shared" si="82"/>
        <v>0</v>
      </c>
      <c r="K196" s="198">
        <f t="shared" si="82"/>
        <v>0</v>
      </c>
    </row>
    <row r="197" spans="1:11" ht="13.8" x14ac:dyDescent="0.3">
      <c r="A197" s="168"/>
      <c r="B197" s="168"/>
      <c r="C197" s="168"/>
      <c r="D197" s="168"/>
      <c r="E197" s="168"/>
      <c r="F197" s="168"/>
      <c r="G197" s="168"/>
      <c r="H197" s="168"/>
      <c r="I197" s="168"/>
      <c r="J197" s="168"/>
      <c r="K197" s="168"/>
    </row>
    <row r="198" spans="1:11" s="159" customFormat="1" ht="13.2" x14ac:dyDescent="0.25">
      <c r="A198" s="189"/>
      <c r="B198" s="157">
        <f t="shared" ref="B198:K198" si="84">B7</f>
        <v>43828</v>
      </c>
      <c r="C198" s="157">
        <f t="shared" si="84"/>
        <v>44194</v>
      </c>
      <c r="D198" s="157">
        <f t="shared" ref="D198:F198" si="85">D7</f>
        <v>44560</v>
      </c>
      <c r="E198" s="157">
        <f t="shared" si="85"/>
        <v>44926</v>
      </c>
      <c r="F198" s="157">
        <f t="shared" si="85"/>
        <v>45291</v>
      </c>
      <c r="G198" s="157">
        <f t="shared" si="84"/>
        <v>45656</v>
      </c>
      <c r="H198" s="157">
        <f t="shared" si="84"/>
        <v>46021</v>
      </c>
      <c r="I198" s="157">
        <f t="shared" si="84"/>
        <v>46386</v>
      </c>
      <c r="J198" s="158">
        <f t="shared" si="84"/>
        <v>46751</v>
      </c>
      <c r="K198" s="158">
        <f t="shared" si="84"/>
        <v>47116</v>
      </c>
    </row>
    <row r="199" spans="1:11" x14ac:dyDescent="0.2">
      <c r="A199" s="155"/>
      <c r="B199" s="183"/>
      <c r="C199" s="183"/>
      <c r="D199" s="183"/>
      <c r="E199" s="183"/>
      <c r="F199" s="183"/>
      <c r="G199" s="183"/>
      <c r="H199" s="183"/>
      <c r="I199" s="183"/>
      <c r="J199" s="184"/>
      <c r="K199" s="184"/>
    </row>
    <row r="200" spans="1:11" ht="13.8" x14ac:dyDescent="0.3">
      <c r="A200" s="168"/>
      <c r="B200" s="199"/>
      <c r="C200" s="199"/>
      <c r="D200" s="199"/>
      <c r="E200" s="199"/>
      <c r="F200" s="199"/>
      <c r="G200" s="199"/>
      <c r="H200" s="199"/>
      <c r="I200" s="199"/>
      <c r="J200" s="200"/>
      <c r="K200" s="200"/>
    </row>
    <row r="201" spans="1:11" ht="13.8" x14ac:dyDescent="0.3">
      <c r="A201" s="168"/>
      <c r="B201" s="199"/>
      <c r="C201" s="199"/>
      <c r="D201" s="199"/>
      <c r="E201" s="199"/>
      <c r="F201" s="199"/>
      <c r="G201" s="199"/>
      <c r="H201" s="199"/>
      <c r="I201" s="199"/>
      <c r="J201" s="200"/>
      <c r="K201" s="200"/>
    </row>
    <row r="202" spans="1:11" ht="13.8" x14ac:dyDescent="0.3">
      <c r="A202" s="168" t="s">
        <v>479</v>
      </c>
      <c r="B202" s="197">
        <f t="shared" ref="B202:K202" si="86">B196</f>
        <v>0</v>
      </c>
      <c r="C202" s="197">
        <f t="shared" si="86"/>
        <v>0</v>
      </c>
      <c r="D202" s="197">
        <f t="shared" ref="D202:F202" si="87">D196</f>
        <v>0</v>
      </c>
      <c r="E202" s="197">
        <f t="shared" si="87"/>
        <v>0</v>
      </c>
      <c r="F202" s="197">
        <f t="shared" si="87"/>
        <v>0</v>
      </c>
      <c r="G202" s="197">
        <f t="shared" si="86"/>
        <v>0</v>
      </c>
      <c r="H202" s="197">
        <f t="shared" si="86"/>
        <v>0</v>
      </c>
      <c r="I202" s="197">
        <f t="shared" si="86"/>
        <v>0</v>
      </c>
      <c r="J202" s="198">
        <f t="shared" si="86"/>
        <v>0</v>
      </c>
      <c r="K202" s="198">
        <f t="shared" si="86"/>
        <v>0</v>
      </c>
    </row>
    <row r="203" spans="1:11" ht="13.8" x14ac:dyDescent="0.3">
      <c r="A203" s="168"/>
      <c r="B203" s="201"/>
      <c r="C203" s="201"/>
      <c r="D203" s="201"/>
      <c r="E203" s="201"/>
      <c r="F203" s="201"/>
      <c r="G203" s="201"/>
      <c r="H203" s="201"/>
      <c r="I203" s="201"/>
      <c r="J203" s="202"/>
      <c r="K203" s="202"/>
    </row>
    <row r="204" spans="1:11" x14ac:dyDescent="0.2">
      <c r="A204" s="155" t="s">
        <v>480</v>
      </c>
      <c r="B204" s="177">
        <v>0</v>
      </c>
      <c r="C204" s="177">
        <v>0</v>
      </c>
      <c r="D204" s="177">
        <v>0</v>
      </c>
      <c r="E204" s="177">
        <v>0</v>
      </c>
      <c r="F204" s="177">
        <v>0</v>
      </c>
      <c r="G204" s="177">
        <v>0</v>
      </c>
      <c r="H204" s="177">
        <v>0</v>
      </c>
      <c r="I204" s="177">
        <v>0</v>
      </c>
      <c r="J204" s="178">
        <v>0</v>
      </c>
      <c r="K204" s="178">
        <v>0</v>
      </c>
    </row>
    <row r="205" spans="1:11" x14ac:dyDescent="0.2">
      <c r="A205" s="155" t="s">
        <v>481</v>
      </c>
      <c r="B205" s="177">
        <v>0</v>
      </c>
      <c r="C205" s="177">
        <v>0</v>
      </c>
      <c r="D205" s="177">
        <v>0</v>
      </c>
      <c r="E205" s="177">
        <v>0</v>
      </c>
      <c r="F205" s="177">
        <v>0</v>
      </c>
      <c r="G205" s="177">
        <v>0</v>
      </c>
      <c r="H205" s="177">
        <v>0</v>
      </c>
      <c r="I205" s="177">
        <v>0</v>
      </c>
      <c r="J205" s="178">
        <v>0</v>
      </c>
      <c r="K205" s="178">
        <v>0</v>
      </c>
    </row>
    <row r="206" spans="1:11" x14ac:dyDescent="0.2">
      <c r="A206" s="155" t="s">
        <v>341</v>
      </c>
      <c r="B206" s="171"/>
      <c r="C206" s="171"/>
      <c r="D206" s="171"/>
      <c r="E206" s="171"/>
      <c r="F206" s="171"/>
      <c r="G206" s="171"/>
      <c r="H206" s="171"/>
      <c r="I206" s="171"/>
      <c r="J206" s="172"/>
      <c r="K206" s="172"/>
    </row>
    <row r="207" spans="1:11" x14ac:dyDescent="0.2">
      <c r="A207" s="148" t="s">
        <v>482</v>
      </c>
      <c r="B207" s="175">
        <f t="shared" ref="B207:K207" si="88">B208+B210</f>
        <v>0</v>
      </c>
      <c r="C207" s="175">
        <f t="shared" si="88"/>
        <v>0</v>
      </c>
      <c r="D207" s="175">
        <f t="shared" ref="D207:F207" si="89">D208+D210</f>
        <v>0</v>
      </c>
      <c r="E207" s="175">
        <f t="shared" si="89"/>
        <v>0</v>
      </c>
      <c r="F207" s="175">
        <f t="shared" si="89"/>
        <v>0</v>
      </c>
      <c r="G207" s="175">
        <f t="shared" si="88"/>
        <v>0</v>
      </c>
      <c r="H207" s="175">
        <f t="shared" si="88"/>
        <v>0</v>
      </c>
      <c r="I207" s="175">
        <f t="shared" si="88"/>
        <v>0</v>
      </c>
      <c r="J207" s="176">
        <f t="shared" si="88"/>
        <v>0</v>
      </c>
      <c r="K207" s="176">
        <f t="shared" si="88"/>
        <v>0</v>
      </c>
    </row>
    <row r="208" spans="1:11" x14ac:dyDescent="0.2">
      <c r="A208" s="155" t="s">
        <v>483</v>
      </c>
      <c r="B208" s="177">
        <v>0</v>
      </c>
      <c r="C208" s="177">
        <v>0</v>
      </c>
      <c r="D208" s="177">
        <v>0</v>
      </c>
      <c r="E208" s="177">
        <v>0</v>
      </c>
      <c r="F208" s="177">
        <v>0</v>
      </c>
      <c r="G208" s="177">
        <v>0</v>
      </c>
      <c r="H208" s="177">
        <v>0</v>
      </c>
      <c r="I208" s="177">
        <v>0</v>
      </c>
      <c r="J208" s="178">
        <v>0</v>
      </c>
      <c r="K208" s="178">
        <v>0</v>
      </c>
    </row>
    <row r="209" spans="1:11" x14ac:dyDescent="0.2">
      <c r="A209" s="155" t="s">
        <v>484</v>
      </c>
      <c r="B209" s="171"/>
      <c r="C209" s="171"/>
      <c r="D209" s="171"/>
      <c r="E209" s="171"/>
      <c r="F209" s="171"/>
      <c r="G209" s="171"/>
      <c r="H209" s="171"/>
      <c r="I209" s="171"/>
      <c r="J209" s="172"/>
      <c r="K209" s="172"/>
    </row>
    <row r="210" spans="1:11" x14ac:dyDescent="0.2">
      <c r="A210" s="155" t="s">
        <v>485</v>
      </c>
      <c r="B210" s="177">
        <v>0</v>
      </c>
      <c r="C210" s="177">
        <v>0</v>
      </c>
      <c r="D210" s="177">
        <v>0</v>
      </c>
      <c r="E210" s="177">
        <v>0</v>
      </c>
      <c r="F210" s="177">
        <v>0</v>
      </c>
      <c r="G210" s="177">
        <v>0</v>
      </c>
      <c r="H210" s="177">
        <v>0</v>
      </c>
      <c r="I210" s="177">
        <v>0</v>
      </c>
      <c r="J210" s="178">
        <v>0</v>
      </c>
      <c r="K210" s="178">
        <v>0</v>
      </c>
    </row>
    <row r="211" spans="1:11" x14ac:dyDescent="0.2">
      <c r="A211" s="155" t="s">
        <v>341</v>
      </c>
      <c r="B211" s="171"/>
      <c r="C211" s="171"/>
      <c r="D211" s="171"/>
      <c r="E211" s="171"/>
      <c r="F211" s="171"/>
      <c r="G211" s="171"/>
      <c r="H211" s="171"/>
      <c r="I211" s="171"/>
      <c r="J211" s="172"/>
      <c r="K211" s="172"/>
    </row>
    <row r="212" spans="1:11" ht="13.8" x14ac:dyDescent="0.3">
      <c r="A212" s="168" t="s">
        <v>486</v>
      </c>
      <c r="B212" s="197">
        <f t="shared" ref="B212:K212" si="90">B202+B207+B204+B205</f>
        <v>0</v>
      </c>
      <c r="C212" s="197">
        <f t="shared" si="90"/>
        <v>0</v>
      </c>
      <c r="D212" s="197">
        <f t="shared" ref="D212:F212" si="91">D202+D207+D204+D205</f>
        <v>0</v>
      </c>
      <c r="E212" s="197">
        <f t="shared" si="91"/>
        <v>0</v>
      </c>
      <c r="F212" s="197">
        <f t="shared" si="91"/>
        <v>0</v>
      </c>
      <c r="G212" s="197">
        <f t="shared" si="90"/>
        <v>0</v>
      </c>
      <c r="H212" s="197">
        <f t="shared" si="90"/>
        <v>0</v>
      </c>
      <c r="I212" s="197">
        <f t="shared" si="90"/>
        <v>0</v>
      </c>
      <c r="J212" s="198">
        <f t="shared" si="90"/>
        <v>0</v>
      </c>
      <c r="K212" s="198">
        <f t="shared" si="90"/>
        <v>0</v>
      </c>
    </row>
    <row r="213" spans="1:11" x14ac:dyDescent="0.2">
      <c r="A213" s="155" t="s">
        <v>341</v>
      </c>
      <c r="B213" s="171"/>
      <c r="C213" s="171"/>
      <c r="D213" s="171"/>
      <c r="E213" s="171"/>
      <c r="F213" s="171"/>
      <c r="G213" s="171"/>
      <c r="H213" s="171"/>
      <c r="I213" s="171"/>
      <c r="J213" s="172"/>
      <c r="K213" s="172"/>
    </row>
    <row r="214" spans="1:11" x14ac:dyDescent="0.2">
      <c r="A214" s="148" t="s">
        <v>487</v>
      </c>
      <c r="B214" s="171"/>
      <c r="C214" s="171"/>
      <c r="D214" s="171"/>
      <c r="E214" s="171"/>
      <c r="F214" s="171"/>
      <c r="G214" s="171"/>
      <c r="H214" s="171"/>
      <c r="I214" s="171"/>
      <c r="J214" s="172"/>
      <c r="K214" s="172"/>
    </row>
    <row r="215" spans="1:11" x14ac:dyDescent="0.2">
      <c r="A215" s="155" t="s">
        <v>488</v>
      </c>
      <c r="B215" s="177">
        <v>0</v>
      </c>
      <c r="C215" s="177">
        <v>0</v>
      </c>
      <c r="D215" s="177">
        <v>0</v>
      </c>
      <c r="E215" s="177">
        <v>0</v>
      </c>
      <c r="F215" s="177">
        <v>0</v>
      </c>
      <c r="G215" s="177">
        <v>0</v>
      </c>
      <c r="H215" s="177">
        <v>0</v>
      </c>
      <c r="I215" s="177">
        <v>0</v>
      </c>
      <c r="J215" s="178">
        <v>0</v>
      </c>
      <c r="K215" s="178">
        <v>0</v>
      </c>
    </row>
    <row r="216" spans="1:11" x14ac:dyDescent="0.2">
      <c r="A216" s="155" t="s">
        <v>489</v>
      </c>
      <c r="B216" s="177">
        <v>0</v>
      </c>
      <c r="C216" s="177">
        <v>0</v>
      </c>
      <c r="D216" s="177">
        <v>0</v>
      </c>
      <c r="E216" s="177">
        <v>0</v>
      </c>
      <c r="F216" s="177">
        <v>0</v>
      </c>
      <c r="G216" s="177">
        <v>0</v>
      </c>
      <c r="H216" s="177">
        <v>0</v>
      </c>
      <c r="I216" s="177">
        <v>0</v>
      </c>
      <c r="J216" s="178">
        <v>0</v>
      </c>
      <c r="K216" s="178">
        <v>0</v>
      </c>
    </row>
    <row r="217" spans="1:11" x14ac:dyDescent="0.2">
      <c r="A217" s="203"/>
      <c r="B217" s="204"/>
      <c r="C217" s="204"/>
      <c r="D217" s="204"/>
      <c r="E217" s="204"/>
      <c r="F217" s="204"/>
      <c r="G217" s="204"/>
      <c r="H217" s="204"/>
      <c r="I217" s="204"/>
      <c r="J217" s="205"/>
      <c r="K217" s="205"/>
    </row>
    <row r="218" spans="1:11" x14ac:dyDescent="0.2">
      <c r="A218" s="155" t="s">
        <v>341</v>
      </c>
      <c r="B218" s="206"/>
      <c r="C218" s="171"/>
      <c r="D218" s="206"/>
      <c r="E218" s="206"/>
      <c r="F218" s="206"/>
      <c r="G218" s="206"/>
      <c r="H218" s="206"/>
      <c r="I218" s="206"/>
      <c r="J218" s="172"/>
      <c r="K218" s="172"/>
    </row>
    <row r="219" spans="1:11" ht="13.2" x14ac:dyDescent="0.25">
      <c r="A219" s="180" t="s">
        <v>490</v>
      </c>
      <c r="B219" s="206"/>
      <c r="C219" s="171"/>
      <c r="D219" s="206"/>
      <c r="E219" s="206"/>
      <c r="F219" s="206"/>
      <c r="G219" s="206"/>
      <c r="H219" s="206"/>
      <c r="I219" s="206"/>
      <c r="J219" s="172"/>
      <c r="K219" s="172"/>
    </row>
    <row r="220" spans="1:11" x14ac:dyDescent="0.2">
      <c r="A220" s="155" t="s">
        <v>341</v>
      </c>
      <c r="B220" s="206"/>
      <c r="C220" s="171"/>
      <c r="D220" s="206"/>
      <c r="E220" s="206"/>
      <c r="F220" s="206"/>
      <c r="G220" s="206"/>
      <c r="H220" s="206"/>
      <c r="I220" s="206"/>
      <c r="J220" s="172"/>
      <c r="K220" s="172"/>
    </row>
    <row r="221" spans="1:11" x14ac:dyDescent="0.2">
      <c r="A221" s="207" t="s">
        <v>491</v>
      </c>
      <c r="B221" s="208">
        <f>SUM(B222:B223)</f>
        <v>0</v>
      </c>
      <c r="C221" s="175">
        <f t="shared" ref="C221:K221" si="92">SUM(C222:C223)</f>
        <v>0</v>
      </c>
      <c r="D221" s="208">
        <f t="shared" ref="D221:F221" si="93">SUM(D222:D223)</f>
        <v>0</v>
      </c>
      <c r="E221" s="208">
        <f t="shared" si="93"/>
        <v>0</v>
      </c>
      <c r="F221" s="208">
        <f t="shared" si="93"/>
        <v>0</v>
      </c>
      <c r="G221" s="208">
        <f t="shared" si="92"/>
        <v>0</v>
      </c>
      <c r="H221" s="208">
        <f t="shared" si="92"/>
        <v>0</v>
      </c>
      <c r="I221" s="208">
        <f t="shared" si="92"/>
        <v>0</v>
      </c>
      <c r="J221" s="176">
        <f t="shared" si="92"/>
        <v>0</v>
      </c>
      <c r="K221" s="176">
        <f t="shared" si="92"/>
        <v>0</v>
      </c>
    </row>
    <row r="222" spans="1:11" x14ac:dyDescent="0.2">
      <c r="A222" s="155" t="s">
        <v>492</v>
      </c>
      <c r="B222" s="209">
        <f t="shared" ref="B222:K222" si="94">B212+B215+B216</f>
        <v>0</v>
      </c>
      <c r="C222" s="177">
        <f t="shared" si="94"/>
        <v>0</v>
      </c>
      <c r="D222" s="209">
        <f t="shared" ref="D222:F222" si="95">D212+D215+D216</f>
        <v>0</v>
      </c>
      <c r="E222" s="209">
        <f t="shared" si="95"/>
        <v>0</v>
      </c>
      <c r="F222" s="209">
        <f t="shared" si="95"/>
        <v>0</v>
      </c>
      <c r="G222" s="209">
        <f t="shared" si="94"/>
        <v>0</v>
      </c>
      <c r="H222" s="209">
        <f t="shared" si="94"/>
        <v>0</v>
      </c>
      <c r="I222" s="209">
        <f t="shared" si="94"/>
        <v>0</v>
      </c>
      <c r="J222" s="178">
        <f t="shared" si="94"/>
        <v>0</v>
      </c>
      <c r="K222" s="178">
        <f t="shared" si="94"/>
        <v>0</v>
      </c>
    </row>
    <row r="223" spans="1:11" x14ac:dyDescent="0.2">
      <c r="A223" s="155" t="s">
        <v>493</v>
      </c>
      <c r="B223" s="210">
        <v>0</v>
      </c>
      <c r="C223" s="177">
        <v>0</v>
      </c>
      <c r="D223" s="209">
        <v>0</v>
      </c>
      <c r="E223" s="209">
        <v>0</v>
      </c>
      <c r="F223" s="209">
        <v>0</v>
      </c>
      <c r="G223" s="209">
        <v>0</v>
      </c>
      <c r="H223" s="209">
        <v>0</v>
      </c>
      <c r="I223" s="209">
        <v>0</v>
      </c>
      <c r="J223" s="178">
        <v>0</v>
      </c>
      <c r="K223" s="178">
        <v>0</v>
      </c>
    </row>
    <row r="224" spans="1:11" x14ac:dyDescent="0.2">
      <c r="A224" s="155"/>
      <c r="B224" s="209"/>
      <c r="C224" s="177"/>
      <c r="D224" s="209"/>
      <c r="E224" s="209"/>
      <c r="F224" s="209"/>
      <c r="G224" s="209"/>
      <c r="H224" s="209"/>
      <c r="I224" s="209"/>
      <c r="J224" s="178"/>
      <c r="K224" s="178"/>
    </row>
    <row r="225" spans="1:11" x14ac:dyDescent="0.2">
      <c r="A225" s="148" t="s">
        <v>494</v>
      </c>
      <c r="B225" s="208">
        <f>SUM(B226:B227)</f>
        <v>0</v>
      </c>
      <c r="C225" s="175">
        <f t="shared" ref="C225:K225" si="96">SUM(C226:C227)</f>
        <v>0</v>
      </c>
      <c r="D225" s="208">
        <f t="shared" ref="D225:F225" si="97">SUM(D226:D227)</f>
        <v>0</v>
      </c>
      <c r="E225" s="208">
        <f t="shared" si="97"/>
        <v>0</v>
      </c>
      <c r="F225" s="208">
        <f t="shared" si="97"/>
        <v>0</v>
      </c>
      <c r="G225" s="208">
        <f t="shared" si="96"/>
        <v>0</v>
      </c>
      <c r="H225" s="208">
        <f t="shared" si="96"/>
        <v>0</v>
      </c>
      <c r="I225" s="208">
        <f t="shared" si="96"/>
        <v>0</v>
      </c>
      <c r="J225" s="176">
        <f t="shared" si="96"/>
        <v>0</v>
      </c>
      <c r="K225" s="176">
        <f t="shared" si="96"/>
        <v>0</v>
      </c>
    </row>
    <row r="226" spans="1:11" x14ac:dyDescent="0.2">
      <c r="A226" s="211" t="s">
        <v>495</v>
      </c>
      <c r="B226" s="209">
        <v>0</v>
      </c>
      <c r="C226" s="177">
        <v>0</v>
      </c>
      <c r="D226" s="209">
        <v>0</v>
      </c>
      <c r="E226" s="209">
        <v>0</v>
      </c>
      <c r="F226" s="209">
        <v>0</v>
      </c>
      <c r="G226" s="209">
        <v>0</v>
      </c>
      <c r="H226" s="209">
        <v>0</v>
      </c>
      <c r="I226" s="209">
        <v>0</v>
      </c>
      <c r="J226" s="178">
        <v>0</v>
      </c>
      <c r="K226" s="178">
        <v>0</v>
      </c>
    </row>
    <row r="227" spans="1:11" x14ac:dyDescent="0.2">
      <c r="A227" s="211" t="s">
        <v>496</v>
      </c>
      <c r="B227" s="209">
        <v>0</v>
      </c>
      <c r="C227" s="177">
        <v>0</v>
      </c>
      <c r="D227" s="209">
        <v>0</v>
      </c>
      <c r="E227" s="209">
        <v>0</v>
      </c>
      <c r="F227" s="209">
        <v>0</v>
      </c>
      <c r="G227" s="209">
        <v>0</v>
      </c>
      <c r="H227" s="209">
        <v>0</v>
      </c>
      <c r="I227" s="209">
        <v>0</v>
      </c>
      <c r="J227" s="178">
        <v>0</v>
      </c>
      <c r="K227" s="178">
        <v>0</v>
      </c>
    </row>
    <row r="228" spans="1:11" x14ac:dyDescent="0.2">
      <c r="A228" s="155"/>
      <c r="B228" s="209"/>
      <c r="C228" s="177"/>
      <c r="D228" s="209"/>
      <c r="E228" s="209"/>
      <c r="F228" s="209"/>
      <c r="G228" s="209"/>
      <c r="H228" s="209"/>
      <c r="I228" s="209"/>
      <c r="J228" s="178"/>
      <c r="K228" s="178"/>
    </row>
    <row r="229" spans="1:11" x14ac:dyDescent="0.2">
      <c r="A229" s="148" t="s">
        <v>497</v>
      </c>
      <c r="B229" s="208">
        <f t="shared" ref="B229:K229" si="98">SUM(B230:B232)</f>
        <v>0</v>
      </c>
      <c r="C229" s="175">
        <f t="shared" si="98"/>
        <v>0</v>
      </c>
      <c r="D229" s="208">
        <f t="shared" ref="D229:F229" si="99">SUM(D230:D232)</f>
        <v>0</v>
      </c>
      <c r="E229" s="208">
        <f t="shared" si="99"/>
        <v>0</v>
      </c>
      <c r="F229" s="208">
        <f t="shared" si="99"/>
        <v>0</v>
      </c>
      <c r="G229" s="208">
        <f t="shared" si="98"/>
        <v>0</v>
      </c>
      <c r="H229" s="208">
        <f t="shared" si="98"/>
        <v>0</v>
      </c>
      <c r="I229" s="208">
        <f t="shared" si="98"/>
        <v>0</v>
      </c>
      <c r="J229" s="176">
        <f t="shared" si="98"/>
        <v>0</v>
      </c>
      <c r="K229" s="176">
        <f t="shared" si="98"/>
        <v>0</v>
      </c>
    </row>
    <row r="230" spans="1:11" x14ac:dyDescent="0.2">
      <c r="A230" s="211" t="s">
        <v>498</v>
      </c>
      <c r="B230" s="209">
        <v>0</v>
      </c>
      <c r="C230" s="177">
        <v>0</v>
      </c>
      <c r="D230" s="209">
        <v>0</v>
      </c>
      <c r="E230" s="209">
        <v>0</v>
      </c>
      <c r="F230" s="209">
        <v>0</v>
      </c>
      <c r="G230" s="209">
        <v>0</v>
      </c>
      <c r="H230" s="209">
        <v>0</v>
      </c>
      <c r="I230" s="209">
        <v>0</v>
      </c>
      <c r="J230" s="178">
        <v>0</v>
      </c>
      <c r="K230" s="178">
        <v>0</v>
      </c>
    </row>
    <row r="231" spans="1:11" x14ac:dyDescent="0.2">
      <c r="A231" s="211" t="s">
        <v>499</v>
      </c>
      <c r="B231" s="177">
        <v>0</v>
      </c>
      <c r="C231" s="177">
        <v>0</v>
      </c>
      <c r="D231" s="177">
        <v>0</v>
      </c>
      <c r="E231" s="177">
        <v>0</v>
      </c>
      <c r="F231" s="177">
        <v>0</v>
      </c>
      <c r="G231" s="177">
        <v>0</v>
      </c>
      <c r="H231" s="177">
        <v>0</v>
      </c>
      <c r="I231" s="177">
        <v>0</v>
      </c>
      <c r="J231" s="178">
        <v>0</v>
      </c>
      <c r="K231" s="178">
        <v>0</v>
      </c>
    </row>
    <row r="232" spans="1:11" x14ac:dyDescent="0.2">
      <c r="A232" s="211" t="s">
        <v>500</v>
      </c>
      <c r="B232" s="209">
        <v>0</v>
      </c>
      <c r="C232" s="177">
        <v>0</v>
      </c>
      <c r="D232" s="209">
        <v>0</v>
      </c>
      <c r="E232" s="209">
        <v>0</v>
      </c>
      <c r="F232" s="209">
        <v>0</v>
      </c>
      <c r="G232" s="209">
        <v>0</v>
      </c>
      <c r="H232" s="209">
        <v>0</v>
      </c>
      <c r="I232" s="209">
        <v>0</v>
      </c>
      <c r="J232" s="178">
        <v>0</v>
      </c>
      <c r="K232" s="178">
        <v>0</v>
      </c>
    </row>
    <row r="233" spans="1:11" x14ac:dyDescent="0.2">
      <c r="A233" s="155"/>
      <c r="B233" s="209"/>
      <c r="C233" s="177"/>
      <c r="D233" s="209"/>
      <c r="E233" s="209"/>
      <c r="F233" s="209"/>
      <c r="G233" s="209"/>
      <c r="H233" s="209"/>
      <c r="I233" s="209"/>
      <c r="J233" s="178"/>
      <c r="K233" s="178"/>
    </row>
    <row r="234" spans="1:11" x14ac:dyDescent="0.2">
      <c r="A234" s="148" t="s">
        <v>501</v>
      </c>
      <c r="B234" s="208">
        <f t="shared" ref="B234:K234" si="100">B235+B236</f>
        <v>0</v>
      </c>
      <c r="C234" s="175">
        <f t="shared" si="100"/>
        <v>0</v>
      </c>
      <c r="D234" s="208">
        <f t="shared" ref="D234:F234" si="101">D235+D236</f>
        <v>0</v>
      </c>
      <c r="E234" s="208">
        <f t="shared" si="101"/>
        <v>0</v>
      </c>
      <c r="F234" s="208">
        <f t="shared" si="101"/>
        <v>0</v>
      </c>
      <c r="G234" s="208">
        <f t="shared" si="100"/>
        <v>0</v>
      </c>
      <c r="H234" s="208">
        <f t="shared" si="100"/>
        <v>0</v>
      </c>
      <c r="I234" s="208">
        <f t="shared" si="100"/>
        <v>0</v>
      </c>
      <c r="J234" s="176">
        <f t="shared" si="100"/>
        <v>0</v>
      </c>
      <c r="K234" s="176">
        <f t="shared" si="100"/>
        <v>0</v>
      </c>
    </row>
    <row r="235" spans="1:11" x14ac:dyDescent="0.2">
      <c r="A235" s="155" t="s">
        <v>502</v>
      </c>
      <c r="B235" s="177">
        <v>0</v>
      </c>
      <c r="C235" s="177">
        <v>0</v>
      </c>
      <c r="D235" s="177">
        <v>0</v>
      </c>
      <c r="E235" s="177">
        <v>0</v>
      </c>
      <c r="F235" s="177">
        <v>0</v>
      </c>
      <c r="G235" s="177">
        <v>0</v>
      </c>
      <c r="H235" s="177">
        <v>0</v>
      </c>
      <c r="I235" s="177">
        <v>0</v>
      </c>
      <c r="J235" s="178">
        <v>0</v>
      </c>
      <c r="K235" s="178">
        <v>0</v>
      </c>
    </row>
    <row r="236" spans="1:11" x14ac:dyDescent="0.2">
      <c r="A236" s="211" t="s">
        <v>503</v>
      </c>
      <c r="B236" s="209">
        <v>0</v>
      </c>
      <c r="C236" s="177">
        <v>0</v>
      </c>
      <c r="D236" s="209">
        <v>0</v>
      </c>
      <c r="E236" s="209">
        <v>0</v>
      </c>
      <c r="F236" s="209">
        <v>0</v>
      </c>
      <c r="G236" s="209">
        <v>0</v>
      </c>
      <c r="H236" s="209">
        <v>0</v>
      </c>
      <c r="I236" s="209">
        <v>0</v>
      </c>
      <c r="J236" s="178">
        <v>0</v>
      </c>
      <c r="K236" s="178">
        <v>0</v>
      </c>
    </row>
    <row r="237" spans="1:11" x14ac:dyDescent="0.2">
      <c r="A237" s="155"/>
      <c r="B237" s="209"/>
      <c r="C237" s="177"/>
      <c r="D237" s="209"/>
      <c r="E237" s="209"/>
      <c r="F237" s="209"/>
      <c r="G237" s="209"/>
      <c r="H237" s="209"/>
      <c r="I237" s="209"/>
      <c r="J237" s="178"/>
      <c r="K237" s="178"/>
    </row>
    <row r="238" spans="1:11" x14ac:dyDescent="0.2">
      <c r="A238" s="207" t="s">
        <v>504</v>
      </c>
      <c r="B238" s="212">
        <v>0</v>
      </c>
      <c r="C238" s="173">
        <v>0</v>
      </c>
      <c r="D238" s="212">
        <v>0</v>
      </c>
      <c r="E238" s="212">
        <v>0</v>
      </c>
      <c r="F238" s="212">
        <v>0</v>
      </c>
      <c r="G238" s="212">
        <v>0</v>
      </c>
      <c r="H238" s="212">
        <v>0</v>
      </c>
      <c r="I238" s="212">
        <v>0</v>
      </c>
      <c r="J238" s="174">
        <v>0</v>
      </c>
      <c r="K238" s="174">
        <v>0</v>
      </c>
    </row>
    <row r="239" spans="1:11" x14ac:dyDescent="0.2">
      <c r="A239" s="148"/>
      <c r="B239" s="212"/>
      <c r="C239" s="173"/>
      <c r="D239" s="212"/>
      <c r="E239" s="212"/>
      <c r="F239" s="212"/>
      <c r="G239" s="212"/>
      <c r="H239" s="212"/>
      <c r="I239" s="212"/>
      <c r="J239" s="174"/>
      <c r="K239" s="174"/>
    </row>
    <row r="240" spans="1:11" x14ac:dyDescent="0.2">
      <c r="A240" s="207" t="s">
        <v>505</v>
      </c>
      <c r="B240" s="208">
        <f t="shared" ref="B240:K240" si="102">SUM(B241:B243)</f>
        <v>0</v>
      </c>
      <c r="C240" s="175">
        <f t="shared" si="102"/>
        <v>0</v>
      </c>
      <c r="D240" s="208">
        <f t="shared" ref="D240:F240" si="103">SUM(D241:D243)</f>
        <v>0</v>
      </c>
      <c r="E240" s="208">
        <f t="shared" si="103"/>
        <v>0</v>
      </c>
      <c r="F240" s="208">
        <f t="shared" si="103"/>
        <v>0</v>
      </c>
      <c r="G240" s="208">
        <f t="shared" si="102"/>
        <v>0</v>
      </c>
      <c r="H240" s="208">
        <f t="shared" si="102"/>
        <v>0</v>
      </c>
      <c r="I240" s="208">
        <f t="shared" si="102"/>
        <v>0</v>
      </c>
      <c r="J240" s="176">
        <f t="shared" si="102"/>
        <v>0</v>
      </c>
      <c r="K240" s="176">
        <f t="shared" si="102"/>
        <v>0</v>
      </c>
    </row>
    <row r="241" spans="1:11" x14ac:dyDescent="0.2">
      <c r="A241" s="211" t="s">
        <v>506</v>
      </c>
      <c r="B241" s="209">
        <v>0</v>
      </c>
      <c r="C241" s="177">
        <v>0</v>
      </c>
      <c r="D241" s="209">
        <v>0</v>
      </c>
      <c r="E241" s="209">
        <v>0</v>
      </c>
      <c r="F241" s="209">
        <v>0</v>
      </c>
      <c r="G241" s="209">
        <v>0</v>
      </c>
      <c r="H241" s="209">
        <v>0</v>
      </c>
      <c r="I241" s="209">
        <v>0</v>
      </c>
      <c r="J241" s="178">
        <v>0</v>
      </c>
      <c r="K241" s="178">
        <v>0</v>
      </c>
    </row>
    <row r="242" spans="1:11" x14ac:dyDescent="0.2">
      <c r="A242" s="211" t="s">
        <v>507</v>
      </c>
      <c r="B242" s="209">
        <v>0</v>
      </c>
      <c r="C242" s="177">
        <v>0</v>
      </c>
      <c r="D242" s="209">
        <v>0</v>
      </c>
      <c r="E242" s="209">
        <v>0</v>
      </c>
      <c r="F242" s="209">
        <v>0</v>
      </c>
      <c r="G242" s="209">
        <v>0</v>
      </c>
      <c r="H242" s="209">
        <v>0</v>
      </c>
      <c r="I242" s="209">
        <v>0</v>
      </c>
      <c r="J242" s="178">
        <v>0</v>
      </c>
      <c r="K242" s="178">
        <v>0</v>
      </c>
    </row>
    <row r="243" spans="1:11" x14ac:dyDescent="0.2">
      <c r="A243" s="211" t="s">
        <v>508</v>
      </c>
      <c r="B243" s="209">
        <v>0</v>
      </c>
      <c r="C243" s="177">
        <v>0</v>
      </c>
      <c r="D243" s="209">
        <v>0</v>
      </c>
      <c r="E243" s="209">
        <v>0</v>
      </c>
      <c r="F243" s="209">
        <v>0</v>
      </c>
      <c r="G243" s="209">
        <v>0</v>
      </c>
      <c r="H243" s="209">
        <v>0</v>
      </c>
      <c r="I243" s="209">
        <v>0</v>
      </c>
      <c r="J243" s="178">
        <v>0</v>
      </c>
      <c r="K243" s="178">
        <v>0</v>
      </c>
    </row>
    <row r="244" spans="1:11" x14ac:dyDescent="0.2">
      <c r="B244" s="213"/>
      <c r="C244" s="214"/>
      <c r="D244" s="213"/>
      <c r="E244" s="213"/>
      <c r="F244" s="213"/>
      <c r="G244" s="213"/>
      <c r="H244" s="213"/>
      <c r="I244" s="213"/>
      <c r="J244" s="179"/>
      <c r="K244" s="179"/>
    </row>
    <row r="245" spans="1:11" x14ac:dyDescent="0.2">
      <c r="B245" s="215"/>
      <c r="C245" s="215"/>
      <c r="D245" s="215"/>
      <c r="E245" s="215"/>
      <c r="F245" s="215"/>
      <c r="G245" s="215"/>
      <c r="H245" s="215"/>
      <c r="I245" s="215"/>
      <c r="J245" s="215"/>
      <c r="K245" s="215"/>
    </row>
    <row r="246" spans="1:11" x14ac:dyDescent="0.2">
      <c r="A246" s="146" t="s">
        <v>509</v>
      </c>
      <c r="B246" s="215">
        <f t="shared" ref="B246:K246" si="104">B221+B225+B229+B234+B238+B240</f>
        <v>0</v>
      </c>
      <c r="C246" s="215">
        <f t="shared" si="104"/>
        <v>0</v>
      </c>
      <c r="D246" s="215">
        <f t="shared" ref="D246:F246" si="105">D221+D225+D229+D234+D238+D240</f>
        <v>0</v>
      </c>
      <c r="E246" s="215">
        <f t="shared" si="105"/>
        <v>0</v>
      </c>
      <c r="F246" s="215">
        <f t="shared" si="105"/>
        <v>0</v>
      </c>
      <c r="G246" s="215">
        <f t="shared" si="104"/>
        <v>0</v>
      </c>
      <c r="H246" s="215">
        <f t="shared" si="104"/>
        <v>0</v>
      </c>
      <c r="I246" s="215">
        <f t="shared" si="104"/>
        <v>0</v>
      </c>
      <c r="J246" s="215">
        <f t="shared" si="104"/>
        <v>0</v>
      </c>
      <c r="K246" s="215">
        <f t="shared" si="104"/>
        <v>0</v>
      </c>
    </row>
    <row r="247" spans="1:11" x14ac:dyDescent="0.2">
      <c r="A247" s="146" t="s">
        <v>510</v>
      </c>
      <c r="B247" s="215">
        <f t="shared" ref="B247:K247" si="106">-B234-(B91+B92)</f>
        <v>0</v>
      </c>
      <c r="C247" s="215">
        <f t="shared" si="106"/>
        <v>0</v>
      </c>
      <c r="D247" s="215">
        <f t="shared" ref="D247:F247" si="107">-D234-(D91+D92)</f>
        <v>0</v>
      </c>
      <c r="E247" s="215">
        <f t="shared" si="107"/>
        <v>0</v>
      </c>
      <c r="F247" s="215">
        <f t="shared" si="107"/>
        <v>0</v>
      </c>
      <c r="G247" s="215">
        <f t="shared" si="106"/>
        <v>0</v>
      </c>
      <c r="H247" s="215">
        <f t="shared" si="106"/>
        <v>0</v>
      </c>
      <c r="I247" s="215">
        <f t="shared" si="106"/>
        <v>0</v>
      </c>
      <c r="J247" s="215">
        <f t="shared" si="106"/>
        <v>0</v>
      </c>
      <c r="K247" s="215">
        <f t="shared" si="106"/>
        <v>0</v>
      </c>
    </row>
    <row r="249" spans="1:11" ht="13.2" x14ac:dyDescent="0.25">
      <c r="A249" s="180" t="s">
        <v>511</v>
      </c>
    </row>
    <row r="251" spans="1:11" s="159" customFormat="1" ht="13.2" x14ac:dyDescent="0.25">
      <c r="A251" s="216" t="s">
        <v>512</v>
      </c>
      <c r="B251" s="217">
        <f t="shared" ref="B251:K251" si="108">B7</f>
        <v>43828</v>
      </c>
      <c r="C251" s="217">
        <f t="shared" si="108"/>
        <v>44194</v>
      </c>
      <c r="D251" s="217">
        <f t="shared" ref="D251:F251" si="109">D7</f>
        <v>44560</v>
      </c>
      <c r="E251" s="217">
        <f t="shared" si="109"/>
        <v>44926</v>
      </c>
      <c r="F251" s="217">
        <f t="shared" si="109"/>
        <v>45291</v>
      </c>
      <c r="G251" s="217">
        <f t="shared" si="108"/>
        <v>45656</v>
      </c>
      <c r="H251" s="217">
        <f t="shared" si="108"/>
        <v>46021</v>
      </c>
      <c r="I251" s="217">
        <f t="shared" si="108"/>
        <v>46386</v>
      </c>
      <c r="J251" s="158">
        <f t="shared" si="108"/>
        <v>46751</v>
      </c>
      <c r="K251" s="158">
        <f t="shared" si="108"/>
        <v>47116</v>
      </c>
    </row>
    <row r="252" spans="1:11" x14ac:dyDescent="0.2">
      <c r="A252" s="155"/>
      <c r="B252" s="218"/>
      <c r="C252" s="218"/>
      <c r="D252" s="218"/>
      <c r="E252" s="218"/>
      <c r="F252" s="218"/>
      <c r="G252" s="218"/>
      <c r="H252" s="218"/>
      <c r="I252" s="218"/>
      <c r="J252" s="184"/>
      <c r="K252" s="184"/>
    </row>
    <row r="253" spans="1:11" x14ac:dyDescent="0.2">
      <c r="A253" s="155"/>
      <c r="B253" s="219"/>
      <c r="C253" s="219"/>
      <c r="D253" s="219"/>
      <c r="E253" s="219"/>
      <c r="F253" s="219"/>
      <c r="G253" s="219"/>
      <c r="H253" s="219"/>
      <c r="I253" s="219"/>
      <c r="J253" s="165"/>
      <c r="K253" s="165"/>
    </row>
    <row r="254" spans="1:11" x14ac:dyDescent="0.2">
      <c r="A254" s="155" t="s">
        <v>513</v>
      </c>
      <c r="B254" s="220">
        <v>0</v>
      </c>
      <c r="C254" s="172">
        <v>0</v>
      </c>
      <c r="D254" s="172">
        <v>0</v>
      </c>
      <c r="E254" s="172">
        <v>0</v>
      </c>
      <c r="F254" s="172">
        <v>0</v>
      </c>
      <c r="G254" s="172">
        <v>0</v>
      </c>
      <c r="H254" s="172">
        <v>0</v>
      </c>
      <c r="I254" s="172">
        <v>0</v>
      </c>
      <c r="J254" s="172">
        <v>0</v>
      </c>
      <c r="K254" s="172">
        <v>0</v>
      </c>
    </row>
    <row r="255" spans="1:11" ht="11.25" customHeight="1" x14ac:dyDescent="0.2">
      <c r="A255" s="155" t="s">
        <v>514</v>
      </c>
      <c r="B255" s="209">
        <v>0</v>
      </c>
      <c r="C255" s="209">
        <v>0</v>
      </c>
      <c r="D255" s="209">
        <v>0</v>
      </c>
      <c r="E255" s="209">
        <v>0</v>
      </c>
      <c r="F255" s="209">
        <v>0</v>
      </c>
      <c r="G255" s="209">
        <v>0</v>
      </c>
      <c r="H255" s="209">
        <v>0</v>
      </c>
      <c r="I255" s="209">
        <v>0</v>
      </c>
      <c r="J255" s="178">
        <v>0</v>
      </c>
      <c r="K255" s="178">
        <v>0</v>
      </c>
    </row>
    <row r="256" spans="1:11" ht="11.25" customHeight="1" x14ac:dyDescent="0.2">
      <c r="A256" s="155" t="s">
        <v>515</v>
      </c>
      <c r="B256" s="209">
        <v>0</v>
      </c>
      <c r="C256" s="209">
        <v>0</v>
      </c>
      <c r="D256" s="209">
        <v>0</v>
      </c>
      <c r="E256" s="209">
        <v>0</v>
      </c>
      <c r="F256" s="209">
        <v>0</v>
      </c>
      <c r="G256" s="209">
        <v>0</v>
      </c>
      <c r="H256" s="209">
        <v>0</v>
      </c>
      <c r="I256" s="209">
        <v>0</v>
      </c>
      <c r="J256" s="178">
        <v>0</v>
      </c>
      <c r="K256" s="178">
        <v>0</v>
      </c>
    </row>
    <row r="257" spans="1:16" ht="11.25" customHeight="1" x14ac:dyDescent="0.2">
      <c r="A257" s="155" t="s">
        <v>516</v>
      </c>
      <c r="B257" s="209">
        <v>0</v>
      </c>
      <c r="C257" s="209">
        <v>0</v>
      </c>
      <c r="D257" s="209">
        <v>0</v>
      </c>
      <c r="E257" s="209">
        <v>0</v>
      </c>
      <c r="F257" s="209">
        <v>0</v>
      </c>
      <c r="G257" s="209">
        <v>0</v>
      </c>
      <c r="H257" s="209">
        <v>0</v>
      </c>
      <c r="I257" s="209">
        <v>0</v>
      </c>
      <c r="J257" s="178">
        <v>0</v>
      </c>
      <c r="K257" s="178">
        <v>0</v>
      </c>
    </row>
    <row r="258" spans="1:16" x14ac:dyDescent="0.2">
      <c r="A258" s="155" t="s">
        <v>517</v>
      </c>
      <c r="B258" s="209">
        <v>0</v>
      </c>
      <c r="C258" s="209">
        <v>0</v>
      </c>
      <c r="D258" s="209">
        <v>0</v>
      </c>
      <c r="E258" s="209">
        <v>0</v>
      </c>
      <c r="F258" s="209">
        <v>0</v>
      </c>
      <c r="G258" s="209">
        <v>0</v>
      </c>
      <c r="H258" s="209">
        <v>0</v>
      </c>
      <c r="I258" s="209">
        <v>0</v>
      </c>
      <c r="J258" s="178">
        <v>0</v>
      </c>
      <c r="K258" s="178">
        <v>0</v>
      </c>
    </row>
    <row r="259" spans="1:16" x14ac:dyDescent="0.2">
      <c r="A259" s="155" t="s">
        <v>518</v>
      </c>
      <c r="B259" s="206">
        <f t="shared" ref="B259:K259" si="110">-B161-B189</f>
        <v>0</v>
      </c>
      <c r="C259" s="206">
        <f t="shared" si="110"/>
        <v>0</v>
      </c>
      <c r="D259" s="206">
        <f t="shared" ref="D259:F259" si="111">-D161-D189</f>
        <v>0</v>
      </c>
      <c r="E259" s="206">
        <f t="shared" si="111"/>
        <v>0</v>
      </c>
      <c r="F259" s="206">
        <f t="shared" si="111"/>
        <v>0</v>
      </c>
      <c r="G259" s="206">
        <f t="shared" si="110"/>
        <v>0</v>
      </c>
      <c r="H259" s="206">
        <f t="shared" si="110"/>
        <v>0</v>
      </c>
      <c r="I259" s="206">
        <f t="shared" si="110"/>
        <v>0</v>
      </c>
      <c r="J259" s="172">
        <f t="shared" si="110"/>
        <v>0</v>
      </c>
      <c r="K259" s="172">
        <f t="shared" si="110"/>
        <v>0</v>
      </c>
    </row>
    <row r="260" spans="1:16" x14ac:dyDescent="0.2">
      <c r="A260" s="155" t="s">
        <v>519</v>
      </c>
      <c r="B260" s="209">
        <f t="shared" ref="B260:K260" si="112">B182</f>
        <v>0</v>
      </c>
      <c r="C260" s="209">
        <f t="shared" si="112"/>
        <v>0</v>
      </c>
      <c r="D260" s="209">
        <f t="shared" ref="D260:F260" si="113">D182</f>
        <v>0</v>
      </c>
      <c r="E260" s="209">
        <f t="shared" si="113"/>
        <v>0</v>
      </c>
      <c r="F260" s="209">
        <f t="shared" si="113"/>
        <v>0</v>
      </c>
      <c r="G260" s="209">
        <f t="shared" si="112"/>
        <v>0</v>
      </c>
      <c r="H260" s="209">
        <f t="shared" si="112"/>
        <v>0</v>
      </c>
      <c r="I260" s="209">
        <f t="shared" si="112"/>
        <v>0</v>
      </c>
      <c r="J260" s="178">
        <f t="shared" si="112"/>
        <v>0</v>
      </c>
      <c r="K260" s="178">
        <f t="shared" si="112"/>
        <v>0</v>
      </c>
    </row>
    <row r="261" spans="1:16" x14ac:dyDescent="0.2">
      <c r="A261" s="155" t="s">
        <v>520</v>
      </c>
      <c r="B261" s="209">
        <v>0</v>
      </c>
      <c r="C261" s="209">
        <v>0</v>
      </c>
      <c r="D261" s="209">
        <v>0</v>
      </c>
      <c r="E261" s="209">
        <v>0</v>
      </c>
      <c r="F261" s="209">
        <v>0</v>
      </c>
      <c r="G261" s="209">
        <v>0</v>
      </c>
      <c r="H261" s="209">
        <v>0</v>
      </c>
      <c r="I261" s="209">
        <v>0</v>
      </c>
      <c r="J261" s="178">
        <v>0</v>
      </c>
      <c r="K261" s="178">
        <v>0</v>
      </c>
    </row>
    <row r="262" spans="1:16" x14ac:dyDescent="0.2">
      <c r="A262" s="155" t="s">
        <v>521</v>
      </c>
      <c r="B262" s="210">
        <v>0</v>
      </c>
      <c r="C262" s="209">
        <v>0</v>
      </c>
      <c r="D262" s="209">
        <v>0</v>
      </c>
      <c r="E262" s="209">
        <v>0</v>
      </c>
      <c r="F262" s="209">
        <v>0</v>
      </c>
      <c r="G262" s="209">
        <v>0</v>
      </c>
      <c r="H262" s="209">
        <v>0</v>
      </c>
      <c r="I262" s="209">
        <v>0</v>
      </c>
      <c r="J262" s="178">
        <v>0</v>
      </c>
      <c r="K262" s="178">
        <v>0</v>
      </c>
      <c r="P262" s="146" t="s">
        <v>337</v>
      </c>
    </row>
    <row r="263" spans="1:16" x14ac:dyDescent="0.2">
      <c r="A263" s="155"/>
      <c r="B263" s="221"/>
      <c r="C263" s="221"/>
      <c r="D263" s="221"/>
      <c r="E263" s="221"/>
      <c r="F263" s="221"/>
      <c r="G263" s="221"/>
      <c r="H263" s="221"/>
      <c r="I263" s="221"/>
      <c r="J263" s="205"/>
      <c r="K263" s="205"/>
    </row>
    <row r="264" spans="1:16" ht="12.75" customHeight="1" x14ac:dyDescent="0.2">
      <c r="A264" s="148" t="s">
        <v>522</v>
      </c>
      <c r="B264" s="222">
        <f>SUM(B254:B263)</f>
        <v>0</v>
      </c>
      <c r="C264" s="222">
        <f t="shared" ref="C264:K264" si="114">SUM(C254:C263)</f>
        <v>0</v>
      </c>
      <c r="D264" s="222">
        <f t="shared" ref="D264:F264" si="115">SUM(D254:D263)</f>
        <v>0</v>
      </c>
      <c r="E264" s="222">
        <f t="shared" si="115"/>
        <v>0</v>
      </c>
      <c r="F264" s="222">
        <f t="shared" si="115"/>
        <v>0</v>
      </c>
      <c r="G264" s="222">
        <f t="shared" si="114"/>
        <v>0</v>
      </c>
      <c r="H264" s="222">
        <f t="shared" si="114"/>
        <v>0</v>
      </c>
      <c r="I264" s="222">
        <f t="shared" si="114"/>
        <v>0</v>
      </c>
      <c r="J264" s="223">
        <f t="shared" si="114"/>
        <v>0</v>
      </c>
      <c r="K264" s="223">
        <f t="shared" si="114"/>
        <v>0</v>
      </c>
    </row>
    <row r="265" spans="1:16" x14ac:dyDescent="0.2">
      <c r="A265" s="148"/>
      <c r="B265" s="224"/>
      <c r="C265" s="224"/>
      <c r="D265" s="224"/>
      <c r="E265" s="224"/>
      <c r="F265" s="224"/>
      <c r="G265" s="224"/>
      <c r="H265" s="224"/>
      <c r="I265" s="224"/>
      <c r="J265" s="224"/>
      <c r="K265" s="224"/>
    </row>
    <row r="266" spans="1:16" ht="12.75" customHeight="1" x14ac:dyDescent="0.2">
      <c r="A266" s="148" t="s">
        <v>523</v>
      </c>
      <c r="B266" s="224">
        <f t="shared" ref="B266:K266" si="116">B15</f>
        <v>0</v>
      </c>
      <c r="C266" s="224">
        <f t="shared" si="116"/>
        <v>0</v>
      </c>
      <c r="D266" s="224">
        <f t="shared" ref="D266:F266" si="117">D15</f>
        <v>0</v>
      </c>
      <c r="E266" s="224">
        <f t="shared" si="117"/>
        <v>0</v>
      </c>
      <c r="F266" s="224">
        <f t="shared" si="117"/>
        <v>0</v>
      </c>
      <c r="G266" s="224">
        <f t="shared" si="116"/>
        <v>0</v>
      </c>
      <c r="H266" s="224">
        <f t="shared" si="116"/>
        <v>0</v>
      </c>
      <c r="I266" s="224">
        <f t="shared" si="116"/>
        <v>0</v>
      </c>
      <c r="J266" s="224">
        <f t="shared" si="116"/>
        <v>0</v>
      </c>
      <c r="K266" s="224">
        <f t="shared" si="116"/>
        <v>0</v>
      </c>
    </row>
    <row r="267" spans="1:16" x14ac:dyDescent="0.2">
      <c r="A267" s="148"/>
      <c r="B267" s="225"/>
      <c r="C267" s="225"/>
      <c r="D267" s="225"/>
      <c r="E267" s="225"/>
      <c r="F267" s="225"/>
      <c r="G267" s="225"/>
      <c r="H267" s="225"/>
      <c r="I267" s="225"/>
      <c r="J267" s="225"/>
      <c r="K267" s="225"/>
    </row>
    <row r="268" spans="1:16" ht="12.75" customHeight="1" x14ac:dyDescent="0.2">
      <c r="A268" s="155" t="s">
        <v>524</v>
      </c>
      <c r="B268" s="225"/>
      <c r="C268" s="225"/>
      <c r="D268" s="225"/>
      <c r="E268" s="225"/>
      <c r="F268" s="225"/>
      <c r="G268" s="225"/>
      <c r="H268" s="225"/>
      <c r="I268" s="225"/>
      <c r="J268" s="225"/>
      <c r="K268" s="225"/>
    </row>
    <row r="269" spans="1:16" x14ac:dyDescent="0.2">
      <c r="A269" s="155"/>
      <c r="B269" s="225"/>
      <c r="C269" s="225"/>
      <c r="D269" s="225"/>
      <c r="E269" s="225"/>
      <c r="F269" s="225"/>
      <c r="G269" s="225"/>
      <c r="H269" s="225"/>
      <c r="I269" s="225"/>
      <c r="J269" s="225"/>
      <c r="K269" s="225"/>
    </row>
    <row r="271" spans="1:16" s="159" customFormat="1" ht="13.2" x14ac:dyDescent="0.25">
      <c r="A271" s="216" t="s">
        <v>525</v>
      </c>
      <c r="B271" s="217">
        <f t="shared" ref="B271:K271" si="118">B7</f>
        <v>43828</v>
      </c>
      <c r="C271" s="217">
        <f t="shared" si="118"/>
        <v>44194</v>
      </c>
      <c r="D271" s="217">
        <f t="shared" ref="D271:F271" si="119">D7</f>
        <v>44560</v>
      </c>
      <c r="E271" s="217">
        <f t="shared" si="119"/>
        <v>44926</v>
      </c>
      <c r="F271" s="217">
        <f t="shared" si="119"/>
        <v>45291</v>
      </c>
      <c r="G271" s="217">
        <f t="shared" si="118"/>
        <v>45656</v>
      </c>
      <c r="H271" s="217">
        <f t="shared" si="118"/>
        <v>46021</v>
      </c>
      <c r="I271" s="217">
        <f t="shared" si="118"/>
        <v>46386</v>
      </c>
      <c r="J271" s="158">
        <f t="shared" si="118"/>
        <v>46751</v>
      </c>
      <c r="K271" s="158">
        <f t="shared" si="118"/>
        <v>47116</v>
      </c>
    </row>
    <row r="272" spans="1:16" x14ac:dyDescent="0.2">
      <c r="A272" s="155"/>
      <c r="B272" s="218"/>
      <c r="C272" s="218"/>
      <c r="D272" s="218"/>
      <c r="E272" s="218"/>
      <c r="F272" s="218"/>
      <c r="G272" s="218"/>
      <c r="H272" s="218"/>
      <c r="I272" s="218"/>
      <c r="J272" s="184"/>
      <c r="K272" s="184"/>
    </row>
    <row r="273" spans="1:11" x14ac:dyDescent="0.2">
      <c r="A273" s="155"/>
      <c r="B273" s="219"/>
      <c r="C273" s="219"/>
      <c r="D273" s="219"/>
      <c r="E273" s="219"/>
      <c r="F273" s="219"/>
      <c r="G273" s="219"/>
      <c r="H273" s="219"/>
      <c r="I273" s="219"/>
      <c r="J273" s="165"/>
      <c r="K273" s="165"/>
    </row>
    <row r="274" spans="1:11" x14ac:dyDescent="0.2">
      <c r="A274" s="155" t="s">
        <v>526</v>
      </c>
      <c r="B274" s="219"/>
      <c r="C274" s="219"/>
      <c r="D274" s="219"/>
      <c r="E274" s="219"/>
      <c r="F274" s="219"/>
      <c r="G274" s="219"/>
      <c r="H274" s="219"/>
      <c r="I274" s="219"/>
      <c r="J274" s="165"/>
      <c r="K274" s="165"/>
    </row>
    <row r="275" spans="1:11" x14ac:dyDescent="0.2">
      <c r="A275" s="226" t="s">
        <v>527</v>
      </c>
      <c r="B275" s="177">
        <v>0</v>
      </c>
      <c r="C275" s="177">
        <v>0</v>
      </c>
      <c r="D275" s="177">
        <v>0</v>
      </c>
      <c r="E275" s="177">
        <v>0</v>
      </c>
      <c r="F275" s="177">
        <v>0</v>
      </c>
      <c r="G275" s="177">
        <v>0</v>
      </c>
      <c r="H275" s="177">
        <v>0</v>
      </c>
      <c r="I275" s="177">
        <v>0</v>
      </c>
      <c r="J275" s="178">
        <v>0</v>
      </c>
      <c r="K275" s="178">
        <v>0</v>
      </c>
    </row>
    <row r="276" spans="1:11" x14ac:dyDescent="0.2">
      <c r="A276" s="155" t="s">
        <v>528</v>
      </c>
      <c r="B276" s="206" t="s">
        <v>337</v>
      </c>
      <c r="C276" s="206" t="s">
        <v>337</v>
      </c>
      <c r="D276" s="206" t="s">
        <v>337</v>
      </c>
      <c r="E276" s="206" t="s">
        <v>337</v>
      </c>
      <c r="F276" s="206" t="s">
        <v>337</v>
      </c>
      <c r="G276" s="206" t="s">
        <v>337</v>
      </c>
      <c r="H276" s="206" t="s">
        <v>337</v>
      </c>
      <c r="I276" s="206" t="s">
        <v>337</v>
      </c>
      <c r="J276" s="172" t="s">
        <v>337</v>
      </c>
      <c r="K276" s="172" t="s">
        <v>337</v>
      </c>
    </row>
    <row r="277" spans="1:11" x14ac:dyDescent="0.2">
      <c r="A277" s="226" t="s">
        <v>529</v>
      </c>
      <c r="B277" s="177">
        <v>0</v>
      </c>
      <c r="C277" s="177">
        <v>0</v>
      </c>
      <c r="D277" s="177">
        <v>0</v>
      </c>
      <c r="E277" s="177">
        <v>0</v>
      </c>
      <c r="F277" s="177">
        <v>0</v>
      </c>
      <c r="G277" s="177">
        <v>0</v>
      </c>
      <c r="H277" s="177">
        <v>0</v>
      </c>
      <c r="I277" s="177">
        <v>0</v>
      </c>
      <c r="J277" s="178">
        <v>0</v>
      </c>
      <c r="K277" s="178">
        <v>0</v>
      </c>
    </row>
    <row r="278" spans="1:11" x14ac:dyDescent="0.2">
      <c r="A278" s="226" t="s">
        <v>530</v>
      </c>
      <c r="B278" s="177">
        <v>0</v>
      </c>
      <c r="C278" s="177">
        <v>0</v>
      </c>
      <c r="D278" s="177">
        <v>0</v>
      </c>
      <c r="E278" s="177">
        <v>0</v>
      </c>
      <c r="F278" s="177">
        <v>0</v>
      </c>
      <c r="G278" s="177">
        <v>0</v>
      </c>
      <c r="H278" s="177">
        <v>0</v>
      </c>
      <c r="I278" s="177">
        <v>0</v>
      </c>
      <c r="J278" s="178">
        <v>0</v>
      </c>
      <c r="K278" s="178">
        <v>0</v>
      </c>
    </row>
    <row r="279" spans="1:11" x14ac:dyDescent="0.2">
      <c r="A279" s="155" t="s">
        <v>531</v>
      </c>
      <c r="B279" s="209"/>
      <c r="C279" s="209"/>
      <c r="D279" s="209"/>
      <c r="E279" s="209"/>
      <c r="F279" s="209"/>
      <c r="G279" s="209"/>
      <c r="H279" s="209"/>
      <c r="I279" s="209"/>
      <c r="J279" s="178"/>
      <c r="K279" s="178"/>
    </row>
    <row r="280" spans="1:11" x14ac:dyDescent="0.2">
      <c r="A280" s="155" t="s">
        <v>532</v>
      </c>
      <c r="B280" s="177">
        <v>0</v>
      </c>
      <c r="C280" s="177">
        <v>0</v>
      </c>
      <c r="D280" s="177">
        <v>0</v>
      </c>
      <c r="E280" s="177">
        <v>0</v>
      </c>
      <c r="F280" s="177">
        <v>0</v>
      </c>
      <c r="G280" s="177">
        <v>0</v>
      </c>
      <c r="H280" s="177">
        <v>0</v>
      </c>
      <c r="I280" s="177">
        <v>0</v>
      </c>
      <c r="J280" s="178">
        <v>0</v>
      </c>
      <c r="K280" s="178">
        <v>0</v>
      </c>
    </row>
    <row r="281" spans="1:11" x14ac:dyDescent="0.2">
      <c r="A281" s="155" t="s">
        <v>533</v>
      </c>
      <c r="B281" s="177"/>
      <c r="C281" s="177"/>
      <c r="D281" s="177"/>
      <c r="E281" s="177"/>
      <c r="F281" s="177"/>
      <c r="G281" s="177"/>
      <c r="H281" s="177"/>
      <c r="I281" s="177"/>
      <c r="J281" s="178"/>
      <c r="K281" s="178"/>
    </row>
    <row r="282" spans="1:11" x14ac:dyDescent="0.2">
      <c r="A282" s="155" t="s">
        <v>534</v>
      </c>
      <c r="B282" s="177">
        <v>0</v>
      </c>
      <c r="C282" s="177">
        <v>0</v>
      </c>
      <c r="D282" s="177">
        <v>0</v>
      </c>
      <c r="E282" s="177">
        <v>0</v>
      </c>
      <c r="F282" s="177">
        <v>0</v>
      </c>
      <c r="G282" s="177">
        <v>0</v>
      </c>
      <c r="H282" s="177">
        <v>0</v>
      </c>
      <c r="I282" s="177">
        <v>0</v>
      </c>
      <c r="J282" s="178">
        <v>0</v>
      </c>
      <c r="K282" s="178">
        <v>0</v>
      </c>
    </row>
    <row r="283" spans="1:11" x14ac:dyDescent="0.2">
      <c r="A283" s="155" t="s">
        <v>535</v>
      </c>
      <c r="B283" s="209"/>
      <c r="C283" s="209"/>
      <c r="D283" s="209"/>
      <c r="E283" s="209"/>
      <c r="F283" s="209"/>
      <c r="G283" s="209"/>
      <c r="H283" s="209"/>
      <c r="I283" s="209"/>
      <c r="J283" s="178"/>
      <c r="K283" s="178"/>
    </row>
    <row r="284" spans="1:11" x14ac:dyDescent="0.2">
      <c r="A284" s="226" t="s">
        <v>536</v>
      </c>
      <c r="B284" s="204">
        <v>0</v>
      </c>
      <c r="C284" s="204">
        <v>0</v>
      </c>
      <c r="D284" s="204">
        <v>0</v>
      </c>
      <c r="E284" s="204">
        <v>0</v>
      </c>
      <c r="F284" s="204">
        <v>0</v>
      </c>
      <c r="G284" s="204">
        <v>0</v>
      </c>
      <c r="H284" s="204">
        <v>0</v>
      </c>
      <c r="I284" s="204">
        <v>0</v>
      </c>
      <c r="J284" s="205">
        <v>0</v>
      </c>
      <c r="K284" s="205">
        <v>0</v>
      </c>
    </row>
    <row r="285" spans="1:11" x14ac:dyDescent="0.2">
      <c r="A285" s="226"/>
      <c r="B285" s="227"/>
      <c r="C285" s="227"/>
      <c r="D285" s="227"/>
      <c r="E285" s="227"/>
      <c r="F285" s="227"/>
      <c r="G285" s="227"/>
      <c r="H285" s="227"/>
      <c r="I285" s="227"/>
      <c r="J285" s="227"/>
      <c r="K285" s="227"/>
    </row>
    <row r="286" spans="1:11" x14ac:dyDescent="0.2">
      <c r="A286" s="226"/>
      <c r="B286" s="227"/>
      <c r="C286" s="227"/>
      <c r="D286" s="227"/>
      <c r="E286" s="227"/>
      <c r="F286" s="227"/>
      <c r="G286" s="227"/>
      <c r="H286" s="227"/>
      <c r="I286" s="227"/>
      <c r="J286" s="227"/>
      <c r="K286" s="227"/>
    </row>
    <row r="288" spans="1:11" s="159" customFormat="1" ht="12.75" customHeight="1" x14ac:dyDescent="0.25">
      <c r="A288" s="216" t="s">
        <v>537</v>
      </c>
      <c r="B288" s="217">
        <f t="shared" ref="B288:K288" si="120">B7</f>
        <v>43828</v>
      </c>
      <c r="C288" s="217">
        <f t="shared" si="120"/>
        <v>44194</v>
      </c>
      <c r="D288" s="217">
        <f t="shared" ref="D288:F288" si="121">D7</f>
        <v>44560</v>
      </c>
      <c r="E288" s="217">
        <f t="shared" si="121"/>
        <v>44926</v>
      </c>
      <c r="F288" s="217">
        <f t="shared" si="121"/>
        <v>45291</v>
      </c>
      <c r="G288" s="217">
        <f t="shared" si="120"/>
        <v>45656</v>
      </c>
      <c r="H288" s="217">
        <f t="shared" si="120"/>
        <v>46021</v>
      </c>
      <c r="I288" s="217">
        <f t="shared" si="120"/>
        <v>46386</v>
      </c>
      <c r="J288" s="158">
        <f t="shared" si="120"/>
        <v>46751</v>
      </c>
      <c r="K288" s="158">
        <f t="shared" si="120"/>
        <v>47116</v>
      </c>
    </row>
    <row r="289" spans="1:11" x14ac:dyDescent="0.2">
      <c r="A289" s="155"/>
      <c r="B289" s="218"/>
      <c r="C289" s="218"/>
      <c r="D289" s="218"/>
      <c r="E289" s="218"/>
      <c r="F289" s="218"/>
      <c r="G289" s="218"/>
      <c r="H289" s="218"/>
      <c r="I289" s="218"/>
      <c r="J289" s="184"/>
      <c r="K289" s="184"/>
    </row>
    <row r="290" spans="1:11" x14ac:dyDescent="0.2">
      <c r="A290" s="155"/>
      <c r="B290" s="219"/>
      <c r="C290" s="219"/>
      <c r="D290" s="219"/>
      <c r="E290" s="219"/>
      <c r="F290" s="219"/>
      <c r="G290" s="219"/>
      <c r="H290" s="219"/>
      <c r="I290" s="219"/>
      <c r="J290" s="165"/>
      <c r="K290" s="165"/>
    </row>
    <row r="291" spans="1:11" x14ac:dyDescent="0.2">
      <c r="A291" s="155" t="s">
        <v>538</v>
      </c>
      <c r="B291" s="177">
        <v>0</v>
      </c>
      <c r="C291" s="177">
        <v>0</v>
      </c>
      <c r="D291" s="177">
        <v>0</v>
      </c>
      <c r="E291" s="177">
        <v>0</v>
      </c>
      <c r="F291" s="177">
        <v>0</v>
      </c>
      <c r="G291" s="177">
        <v>0</v>
      </c>
      <c r="H291" s="177">
        <v>0</v>
      </c>
      <c r="I291" s="177">
        <v>0</v>
      </c>
      <c r="J291" s="178">
        <v>0</v>
      </c>
      <c r="K291" s="178">
        <v>0</v>
      </c>
    </row>
    <row r="292" spans="1:11" x14ac:dyDescent="0.2">
      <c r="A292" s="155" t="s">
        <v>539</v>
      </c>
      <c r="B292" s="204">
        <v>0</v>
      </c>
      <c r="C292" s="204">
        <v>0</v>
      </c>
      <c r="D292" s="204">
        <v>0</v>
      </c>
      <c r="E292" s="204">
        <v>0</v>
      </c>
      <c r="F292" s="204">
        <v>0</v>
      </c>
      <c r="G292" s="204">
        <v>0</v>
      </c>
      <c r="H292" s="204">
        <v>0</v>
      </c>
      <c r="I292" s="204">
        <v>0</v>
      </c>
      <c r="J292" s="205">
        <v>0</v>
      </c>
      <c r="K292" s="205">
        <v>0</v>
      </c>
    </row>
    <row r="296" spans="1:11" s="159" customFormat="1" ht="13.2" x14ac:dyDescent="0.25">
      <c r="A296" s="216" t="s">
        <v>540</v>
      </c>
      <c r="B296" s="217">
        <f t="shared" ref="B296:K296" si="122">B7</f>
        <v>43828</v>
      </c>
      <c r="C296" s="217">
        <f t="shared" si="122"/>
        <v>44194</v>
      </c>
      <c r="D296" s="217">
        <f t="shared" ref="D296:F296" si="123">D7</f>
        <v>44560</v>
      </c>
      <c r="E296" s="217">
        <f t="shared" si="123"/>
        <v>44926</v>
      </c>
      <c r="F296" s="217">
        <f t="shared" si="123"/>
        <v>45291</v>
      </c>
      <c r="G296" s="217">
        <f t="shared" si="122"/>
        <v>45656</v>
      </c>
      <c r="H296" s="217">
        <f t="shared" si="122"/>
        <v>46021</v>
      </c>
      <c r="I296" s="217">
        <f t="shared" si="122"/>
        <v>46386</v>
      </c>
      <c r="J296" s="158">
        <f t="shared" si="122"/>
        <v>46751</v>
      </c>
      <c r="K296" s="158">
        <f t="shared" si="122"/>
        <v>47116</v>
      </c>
    </row>
    <row r="297" spans="1:11" x14ac:dyDescent="0.2">
      <c r="A297" s="228"/>
      <c r="B297" s="218"/>
      <c r="C297" s="218"/>
      <c r="D297" s="218"/>
      <c r="E297" s="218"/>
      <c r="F297" s="218"/>
      <c r="G297" s="218"/>
      <c r="H297" s="218"/>
      <c r="I297" s="218"/>
      <c r="J297" s="184"/>
      <c r="K297" s="184"/>
    </row>
    <row r="298" spans="1:11" x14ac:dyDescent="0.2">
      <c r="A298" s="155"/>
      <c r="B298" s="219"/>
      <c r="C298" s="219"/>
      <c r="D298" s="219"/>
      <c r="E298" s="219"/>
      <c r="F298" s="219"/>
      <c r="G298" s="219"/>
      <c r="H298" s="219"/>
      <c r="I298" s="219"/>
      <c r="J298" s="165"/>
      <c r="K298" s="165"/>
    </row>
    <row r="299" spans="1:11" x14ac:dyDescent="0.2">
      <c r="A299" s="155" t="s">
        <v>541</v>
      </c>
      <c r="B299" s="229"/>
      <c r="C299" s="229"/>
      <c r="D299" s="229"/>
      <c r="E299" s="229"/>
      <c r="F299" s="229"/>
      <c r="G299" s="229"/>
      <c r="H299" s="229"/>
      <c r="I299" s="229"/>
      <c r="J299" s="230"/>
      <c r="K299" s="230"/>
    </row>
    <row r="300" spans="1:11" x14ac:dyDescent="0.2">
      <c r="A300" s="155" t="s">
        <v>542</v>
      </c>
      <c r="B300" s="177">
        <v>0</v>
      </c>
      <c r="C300" s="177">
        <v>0</v>
      </c>
      <c r="D300" s="177">
        <v>0</v>
      </c>
      <c r="E300" s="177">
        <v>0</v>
      </c>
      <c r="F300" s="177">
        <v>0</v>
      </c>
      <c r="G300" s="177">
        <v>0</v>
      </c>
      <c r="H300" s="177">
        <v>0</v>
      </c>
      <c r="I300" s="177">
        <v>0</v>
      </c>
      <c r="J300" s="178">
        <v>0</v>
      </c>
      <c r="K300" s="178">
        <v>0</v>
      </c>
    </row>
    <row r="301" spans="1:11" ht="11.25" customHeight="1" x14ac:dyDescent="0.2">
      <c r="A301" s="155" t="s">
        <v>543</v>
      </c>
      <c r="B301" s="177">
        <v>0</v>
      </c>
      <c r="C301" s="177">
        <v>0</v>
      </c>
      <c r="D301" s="177">
        <v>0</v>
      </c>
      <c r="E301" s="177">
        <v>0</v>
      </c>
      <c r="F301" s="177">
        <v>0</v>
      </c>
      <c r="G301" s="177">
        <v>0</v>
      </c>
      <c r="H301" s="177">
        <v>0</v>
      </c>
      <c r="I301" s="177">
        <v>0</v>
      </c>
      <c r="J301" s="178">
        <v>0</v>
      </c>
      <c r="K301" s="178">
        <v>0</v>
      </c>
    </row>
    <row r="302" spans="1:11" ht="12.75" customHeight="1" x14ac:dyDescent="0.2">
      <c r="A302" s="155" t="s">
        <v>544</v>
      </c>
      <c r="B302" s="231">
        <f t="shared" ref="B302:K302" si="124">SUM(B299:B301)</f>
        <v>0</v>
      </c>
      <c r="C302" s="231">
        <f t="shared" si="124"/>
        <v>0</v>
      </c>
      <c r="D302" s="231">
        <f t="shared" ref="D302:F302" si="125">SUM(D299:D301)</f>
        <v>0</v>
      </c>
      <c r="E302" s="231">
        <f t="shared" si="125"/>
        <v>0</v>
      </c>
      <c r="F302" s="231">
        <f t="shared" si="125"/>
        <v>0</v>
      </c>
      <c r="G302" s="231">
        <f t="shared" si="124"/>
        <v>0</v>
      </c>
      <c r="H302" s="231">
        <f t="shared" si="124"/>
        <v>0</v>
      </c>
      <c r="I302" s="231">
        <f t="shared" si="124"/>
        <v>0</v>
      </c>
      <c r="J302" s="232">
        <f t="shared" si="124"/>
        <v>0</v>
      </c>
      <c r="K302" s="232">
        <f t="shared" si="124"/>
        <v>0</v>
      </c>
    </row>
    <row r="303" spans="1:11" ht="13.2" x14ac:dyDescent="0.25">
      <c r="A303" s="155"/>
      <c r="B303" s="233"/>
      <c r="C303" s="233"/>
      <c r="D303" s="233"/>
      <c r="E303" s="233"/>
      <c r="F303" s="233"/>
      <c r="G303" s="233"/>
      <c r="H303" s="233"/>
      <c r="I303" s="233"/>
      <c r="J303" s="234"/>
      <c r="K303" s="234"/>
    </row>
    <row r="304" spans="1:11" x14ac:dyDescent="0.2">
      <c r="A304" s="155" t="s">
        <v>545</v>
      </c>
      <c r="B304" s="204">
        <v>0</v>
      </c>
      <c r="C304" s="205">
        <v>0</v>
      </c>
      <c r="D304" s="204">
        <v>0</v>
      </c>
      <c r="E304" s="204">
        <v>0</v>
      </c>
      <c r="F304" s="204">
        <v>0</v>
      </c>
      <c r="G304" s="204">
        <v>0</v>
      </c>
      <c r="H304" s="204">
        <v>0</v>
      </c>
      <c r="I304" s="204">
        <v>0</v>
      </c>
      <c r="J304" s="205">
        <v>0</v>
      </c>
      <c r="K304" s="205">
        <v>0</v>
      </c>
    </row>
    <row r="305" spans="1:11" x14ac:dyDescent="0.2">
      <c r="A305" s="155"/>
      <c r="B305" s="227"/>
      <c r="C305" s="227"/>
      <c r="D305" s="227"/>
      <c r="E305" s="227"/>
      <c r="F305" s="227"/>
      <c r="G305" s="227"/>
      <c r="H305" s="227"/>
      <c r="I305" s="227"/>
      <c r="J305" s="227"/>
      <c r="K305" s="227"/>
    </row>
    <row r="306" spans="1:11" s="235" customFormat="1" ht="12.6" x14ac:dyDescent="0.25"/>
    <row r="307" spans="1:11" s="235" customFormat="1" ht="13.2" x14ac:dyDescent="0.25">
      <c r="A307" s="236" t="s">
        <v>546</v>
      </c>
    </row>
    <row r="308" spans="1:11" s="235" customFormat="1" ht="12" customHeight="1" x14ac:dyDescent="0.25"/>
    <row r="310" spans="1:11" s="159" customFormat="1" ht="13.8" x14ac:dyDescent="0.3">
      <c r="A310" s="237" t="s">
        <v>547</v>
      </c>
      <c r="B310" s="217">
        <f t="shared" ref="B310:K310" si="126">B7</f>
        <v>43828</v>
      </c>
      <c r="C310" s="217">
        <f t="shared" si="126"/>
        <v>44194</v>
      </c>
      <c r="D310" s="217">
        <f t="shared" ref="D310:F310" si="127">D7</f>
        <v>44560</v>
      </c>
      <c r="E310" s="217">
        <f t="shared" si="127"/>
        <v>44926</v>
      </c>
      <c r="F310" s="217">
        <f t="shared" si="127"/>
        <v>45291</v>
      </c>
      <c r="G310" s="217">
        <f t="shared" si="126"/>
        <v>45656</v>
      </c>
      <c r="H310" s="217">
        <f t="shared" si="126"/>
        <v>46021</v>
      </c>
      <c r="I310" s="217">
        <f t="shared" si="126"/>
        <v>46386</v>
      </c>
      <c r="J310" s="158">
        <f t="shared" si="126"/>
        <v>46751</v>
      </c>
      <c r="K310" s="158">
        <f t="shared" si="126"/>
        <v>47116</v>
      </c>
    </row>
    <row r="311" spans="1:11" ht="5.25" customHeight="1" x14ac:dyDescent="0.2">
      <c r="A311" s="184"/>
      <c r="B311" s="218"/>
      <c r="C311" s="218"/>
      <c r="D311" s="218"/>
      <c r="E311" s="218"/>
      <c r="F311" s="218"/>
      <c r="G311" s="218"/>
      <c r="H311" s="218"/>
      <c r="I311" s="218"/>
      <c r="J311" s="184"/>
      <c r="K311" s="184"/>
    </row>
    <row r="312" spans="1:11" ht="6" customHeight="1" x14ac:dyDescent="0.2">
      <c r="A312" s="219"/>
      <c r="B312" s="219"/>
      <c r="C312" s="219"/>
      <c r="D312" s="219"/>
      <c r="E312" s="219"/>
      <c r="F312" s="219"/>
      <c r="G312" s="219"/>
      <c r="H312" s="219"/>
      <c r="I312" s="219"/>
      <c r="J312" s="178"/>
      <c r="K312" s="178"/>
    </row>
    <row r="313" spans="1:11" x14ac:dyDescent="0.2">
      <c r="A313" s="219" t="s">
        <v>548</v>
      </c>
      <c r="B313" s="206">
        <f t="shared" ref="B313:K313" si="128">B212</f>
        <v>0</v>
      </c>
      <c r="C313" s="206">
        <f t="shared" si="128"/>
        <v>0</v>
      </c>
      <c r="D313" s="206">
        <f t="shared" ref="D313:F313" si="129">D212</f>
        <v>0</v>
      </c>
      <c r="E313" s="206">
        <f t="shared" si="129"/>
        <v>0</v>
      </c>
      <c r="F313" s="206">
        <f t="shared" si="129"/>
        <v>0</v>
      </c>
      <c r="G313" s="206">
        <f t="shared" si="128"/>
        <v>0</v>
      </c>
      <c r="H313" s="206">
        <f t="shared" si="128"/>
        <v>0</v>
      </c>
      <c r="I313" s="206">
        <f t="shared" si="128"/>
        <v>0</v>
      </c>
      <c r="J313" s="172">
        <f t="shared" si="128"/>
        <v>0</v>
      </c>
      <c r="K313" s="172">
        <f t="shared" si="128"/>
        <v>0</v>
      </c>
    </row>
    <row r="314" spans="1:11" x14ac:dyDescent="0.2">
      <c r="A314" s="238" t="s">
        <v>549</v>
      </c>
      <c r="B314" s="206">
        <f t="shared" ref="B314:K314" si="130">B161+B189+B190-B182-B183</f>
        <v>0</v>
      </c>
      <c r="C314" s="206">
        <f t="shared" si="130"/>
        <v>0</v>
      </c>
      <c r="D314" s="206">
        <f t="shared" ref="D314:F314" si="131">D161+D189+D190-D182-D183</f>
        <v>0</v>
      </c>
      <c r="E314" s="206">
        <f t="shared" si="131"/>
        <v>0</v>
      </c>
      <c r="F314" s="206">
        <f t="shared" si="131"/>
        <v>0</v>
      </c>
      <c r="G314" s="206">
        <f t="shared" si="130"/>
        <v>0</v>
      </c>
      <c r="H314" s="206">
        <f t="shared" si="130"/>
        <v>0</v>
      </c>
      <c r="I314" s="206">
        <f t="shared" si="130"/>
        <v>0</v>
      </c>
      <c r="J314" s="172">
        <f t="shared" si="130"/>
        <v>0</v>
      </c>
      <c r="K314" s="172">
        <f t="shared" si="130"/>
        <v>0</v>
      </c>
    </row>
    <row r="315" spans="1:11" ht="11.25" customHeight="1" x14ac:dyDescent="0.2">
      <c r="A315" s="219" t="s">
        <v>550</v>
      </c>
      <c r="B315" s="206">
        <f t="shared" ref="B315:K315" si="132">B163+B191-B184</f>
        <v>0</v>
      </c>
      <c r="C315" s="206">
        <f t="shared" si="132"/>
        <v>0</v>
      </c>
      <c r="D315" s="206">
        <f t="shared" ref="D315:F315" si="133">D163+D191-D184</f>
        <v>0</v>
      </c>
      <c r="E315" s="206">
        <f t="shared" si="133"/>
        <v>0</v>
      </c>
      <c r="F315" s="206">
        <f t="shared" si="133"/>
        <v>0</v>
      </c>
      <c r="G315" s="206">
        <f t="shared" si="132"/>
        <v>0</v>
      </c>
      <c r="H315" s="206">
        <f t="shared" si="132"/>
        <v>0</v>
      </c>
      <c r="I315" s="206">
        <f t="shared" si="132"/>
        <v>0</v>
      </c>
      <c r="J315" s="172">
        <f t="shared" si="132"/>
        <v>0</v>
      </c>
      <c r="K315" s="172">
        <f t="shared" si="132"/>
        <v>0</v>
      </c>
    </row>
    <row r="316" spans="1:11" ht="11.25" customHeight="1" x14ac:dyDescent="0.2">
      <c r="A316" s="219" t="s">
        <v>551</v>
      </c>
      <c r="B316" s="206">
        <f t="shared" ref="B316:K316" si="134">B282</f>
        <v>0</v>
      </c>
      <c r="C316" s="206">
        <f t="shared" si="134"/>
        <v>0</v>
      </c>
      <c r="D316" s="206">
        <f t="shared" ref="D316:F316" si="135">D282</f>
        <v>0</v>
      </c>
      <c r="E316" s="206">
        <f t="shared" si="135"/>
        <v>0</v>
      </c>
      <c r="F316" s="206">
        <f t="shared" si="135"/>
        <v>0</v>
      </c>
      <c r="G316" s="206">
        <f t="shared" si="134"/>
        <v>0</v>
      </c>
      <c r="H316" s="206">
        <f t="shared" si="134"/>
        <v>0</v>
      </c>
      <c r="I316" s="206">
        <f t="shared" si="134"/>
        <v>0</v>
      </c>
      <c r="J316" s="172">
        <f t="shared" si="134"/>
        <v>0</v>
      </c>
      <c r="K316" s="172">
        <f t="shared" si="134"/>
        <v>0</v>
      </c>
    </row>
    <row r="317" spans="1:11" x14ac:dyDescent="0.2">
      <c r="A317" s="219" t="s">
        <v>552</v>
      </c>
      <c r="B317" s="206">
        <f>-B277</f>
        <v>0</v>
      </c>
      <c r="C317" s="206">
        <f t="shared" ref="C317:K317" si="136">-C277</f>
        <v>0</v>
      </c>
      <c r="D317" s="177">
        <f t="shared" ref="D317:F317" si="137">-D277</f>
        <v>0</v>
      </c>
      <c r="E317" s="177">
        <f t="shared" si="137"/>
        <v>0</v>
      </c>
      <c r="F317" s="177">
        <f t="shared" si="137"/>
        <v>0</v>
      </c>
      <c r="G317" s="177">
        <f t="shared" si="136"/>
        <v>0</v>
      </c>
      <c r="H317" s="177">
        <f t="shared" si="136"/>
        <v>0</v>
      </c>
      <c r="I317" s="177">
        <f t="shared" si="136"/>
        <v>0</v>
      </c>
      <c r="J317" s="178">
        <f t="shared" si="136"/>
        <v>0</v>
      </c>
      <c r="K317" s="178">
        <f t="shared" si="136"/>
        <v>0</v>
      </c>
    </row>
    <row r="318" spans="1:11" ht="11.25" customHeight="1" x14ac:dyDescent="0.2">
      <c r="A318" s="219" t="s">
        <v>553</v>
      </c>
      <c r="B318" s="209">
        <f t="shared" ref="B318:K318" si="138">B205-B204</f>
        <v>0</v>
      </c>
      <c r="C318" s="209">
        <f t="shared" si="138"/>
        <v>0</v>
      </c>
      <c r="D318" s="209">
        <f t="shared" ref="D318:F318" si="139">D205-D204</f>
        <v>0</v>
      </c>
      <c r="E318" s="209">
        <f t="shared" si="139"/>
        <v>0</v>
      </c>
      <c r="F318" s="209">
        <f t="shared" si="139"/>
        <v>0</v>
      </c>
      <c r="G318" s="209">
        <f t="shared" si="138"/>
        <v>0</v>
      </c>
      <c r="H318" s="209">
        <f t="shared" si="138"/>
        <v>0</v>
      </c>
      <c r="I318" s="209">
        <f t="shared" si="138"/>
        <v>0</v>
      </c>
      <c r="J318" s="178">
        <f t="shared" si="138"/>
        <v>0</v>
      </c>
      <c r="K318" s="178">
        <f t="shared" si="138"/>
        <v>0</v>
      </c>
    </row>
    <row r="319" spans="1:11" ht="6.75" customHeight="1" x14ac:dyDescent="0.2">
      <c r="A319" s="219"/>
      <c r="B319" s="209"/>
      <c r="C319" s="209"/>
      <c r="D319" s="209"/>
      <c r="E319" s="209"/>
      <c r="F319" s="209"/>
      <c r="G319" s="209"/>
      <c r="H319" s="209"/>
      <c r="I319" s="209"/>
      <c r="J319" s="178"/>
      <c r="K319" s="178"/>
    </row>
    <row r="320" spans="1:11" x14ac:dyDescent="0.2">
      <c r="A320" s="239" t="s">
        <v>554</v>
      </c>
      <c r="B320" s="222">
        <f>SUM(B313:B319)</f>
        <v>0</v>
      </c>
      <c r="C320" s="222">
        <f t="shared" ref="C320:K320" si="140">SUM(C313:C319)</f>
        <v>0</v>
      </c>
      <c r="D320" s="222">
        <f t="shared" ref="D320:F320" si="141">SUM(D313:D319)</f>
        <v>0</v>
      </c>
      <c r="E320" s="222">
        <f t="shared" si="141"/>
        <v>0</v>
      </c>
      <c r="F320" s="222">
        <f t="shared" si="141"/>
        <v>0</v>
      </c>
      <c r="G320" s="222">
        <f t="shared" si="140"/>
        <v>0</v>
      </c>
      <c r="H320" s="222">
        <f t="shared" si="140"/>
        <v>0</v>
      </c>
      <c r="I320" s="222">
        <f t="shared" si="140"/>
        <v>0</v>
      </c>
      <c r="J320" s="223">
        <f t="shared" si="140"/>
        <v>0</v>
      </c>
      <c r="K320" s="223">
        <f t="shared" si="140"/>
        <v>0</v>
      </c>
    </row>
    <row r="321" spans="1:12" x14ac:dyDescent="0.2">
      <c r="A321" s="240"/>
      <c r="B321" s="208"/>
      <c r="C321" s="208"/>
      <c r="D321" s="208"/>
      <c r="E321" s="208"/>
      <c r="F321" s="208"/>
      <c r="G321" s="208"/>
      <c r="H321" s="208"/>
      <c r="I321" s="208"/>
      <c r="J321" s="176"/>
      <c r="K321" s="176"/>
    </row>
    <row r="322" spans="1:12" x14ac:dyDescent="0.2">
      <c r="A322" s="241" t="s">
        <v>555</v>
      </c>
      <c r="B322" s="206">
        <f t="shared" ref="B322:K322" si="142">B240</f>
        <v>0</v>
      </c>
      <c r="C322" s="206">
        <f t="shared" si="142"/>
        <v>0</v>
      </c>
      <c r="D322" s="206">
        <f t="shared" ref="D322:F322" si="143">D240</f>
        <v>0</v>
      </c>
      <c r="E322" s="206">
        <f t="shared" si="143"/>
        <v>0</v>
      </c>
      <c r="F322" s="206">
        <f t="shared" si="143"/>
        <v>0</v>
      </c>
      <c r="G322" s="206">
        <f t="shared" si="142"/>
        <v>0</v>
      </c>
      <c r="H322" s="206">
        <f t="shared" si="142"/>
        <v>0</v>
      </c>
      <c r="I322" s="206">
        <f t="shared" si="142"/>
        <v>0</v>
      </c>
      <c r="J322" s="172">
        <f t="shared" si="142"/>
        <v>0</v>
      </c>
      <c r="K322" s="172">
        <f t="shared" si="142"/>
        <v>0</v>
      </c>
    </row>
    <row r="323" spans="1:12" x14ac:dyDescent="0.2">
      <c r="A323" s="241"/>
      <c r="B323" s="206"/>
      <c r="C323" s="206"/>
      <c r="D323" s="206"/>
      <c r="E323" s="206"/>
      <c r="F323" s="206"/>
      <c r="G323" s="206"/>
      <c r="H323" s="206"/>
      <c r="I323" s="206"/>
      <c r="J323" s="172"/>
      <c r="K323" s="172"/>
    </row>
    <row r="324" spans="1:12" x14ac:dyDescent="0.2">
      <c r="A324" s="242" t="s">
        <v>556</v>
      </c>
      <c r="B324" s="222">
        <f t="shared" ref="B324:K324" si="144">B320+B322</f>
        <v>0</v>
      </c>
      <c r="C324" s="222">
        <f t="shared" si="144"/>
        <v>0</v>
      </c>
      <c r="D324" s="222">
        <f t="shared" ref="D324:F324" si="145">D320+D322</f>
        <v>0</v>
      </c>
      <c r="E324" s="222">
        <f t="shared" si="145"/>
        <v>0</v>
      </c>
      <c r="F324" s="222">
        <f t="shared" si="145"/>
        <v>0</v>
      </c>
      <c r="G324" s="222">
        <f t="shared" si="144"/>
        <v>0</v>
      </c>
      <c r="H324" s="222">
        <f t="shared" si="144"/>
        <v>0</v>
      </c>
      <c r="I324" s="222">
        <f t="shared" si="144"/>
        <v>0</v>
      </c>
      <c r="J324" s="223">
        <f t="shared" si="144"/>
        <v>0</v>
      </c>
      <c r="K324" s="223">
        <f t="shared" si="144"/>
        <v>0</v>
      </c>
    </row>
    <row r="325" spans="1:12" x14ac:dyDescent="0.2">
      <c r="A325" s="148"/>
      <c r="B325" s="225"/>
      <c r="C325" s="225"/>
      <c r="D325" s="225"/>
      <c r="E325" s="225"/>
      <c r="F325" s="225"/>
      <c r="G325" s="225"/>
      <c r="H325" s="225"/>
      <c r="I325" s="225"/>
      <c r="J325" s="225"/>
      <c r="K325" s="225"/>
    </row>
    <row r="326" spans="1:12" ht="6" customHeight="1" x14ac:dyDescent="0.2">
      <c r="A326" s="148"/>
      <c r="B326" s="225"/>
      <c r="C326" s="225"/>
      <c r="D326" s="225"/>
      <c r="E326" s="225"/>
      <c r="F326" s="225"/>
      <c r="G326" s="225"/>
      <c r="H326" s="225"/>
      <c r="I326" s="225"/>
      <c r="J326" s="225"/>
      <c r="K326" s="225"/>
    </row>
    <row r="328" spans="1:12" s="159" customFormat="1" ht="13.8" x14ac:dyDescent="0.3">
      <c r="A328" s="237" t="s">
        <v>557</v>
      </c>
      <c r="B328" s="217">
        <f t="shared" ref="B328:K328" si="146">B7</f>
        <v>43828</v>
      </c>
      <c r="C328" s="217">
        <f t="shared" si="146"/>
        <v>44194</v>
      </c>
      <c r="D328" s="217">
        <f t="shared" ref="D328:F328" si="147">D7</f>
        <v>44560</v>
      </c>
      <c r="E328" s="217">
        <f t="shared" si="147"/>
        <v>44926</v>
      </c>
      <c r="F328" s="217">
        <f t="shared" si="147"/>
        <v>45291</v>
      </c>
      <c r="G328" s="217">
        <f t="shared" si="146"/>
        <v>45656</v>
      </c>
      <c r="H328" s="217">
        <f t="shared" si="146"/>
        <v>46021</v>
      </c>
      <c r="I328" s="217">
        <f t="shared" si="146"/>
        <v>46386</v>
      </c>
      <c r="J328" s="158">
        <f t="shared" si="146"/>
        <v>46751</v>
      </c>
      <c r="K328" s="158">
        <f t="shared" si="146"/>
        <v>47116</v>
      </c>
    </row>
    <row r="329" spans="1:12" ht="6.75" customHeight="1" x14ac:dyDescent="0.25">
      <c r="A329" s="243"/>
      <c r="B329" s="244"/>
      <c r="C329" s="244"/>
      <c r="D329" s="245"/>
      <c r="E329" s="245"/>
      <c r="F329" s="245"/>
      <c r="G329" s="245"/>
      <c r="H329" s="245"/>
      <c r="I329" s="245"/>
      <c r="J329" s="246"/>
      <c r="K329" s="246"/>
    </row>
    <row r="330" spans="1:12" ht="7.5" customHeight="1" x14ac:dyDescent="0.2">
      <c r="A330" s="219"/>
      <c r="B330" s="219"/>
      <c r="C330" s="219"/>
      <c r="D330" s="219"/>
      <c r="E330" s="219"/>
      <c r="F330" s="219"/>
      <c r="G330" s="219"/>
      <c r="H330" s="219"/>
      <c r="I330" s="219"/>
      <c r="J330" s="165"/>
      <c r="K330" s="165"/>
    </row>
    <row r="331" spans="1:12" x14ac:dyDescent="0.2">
      <c r="A331" s="219" t="s">
        <v>558</v>
      </c>
      <c r="B331" s="206">
        <f t="shared" ref="B331:K331" si="148">+B47</f>
        <v>0</v>
      </c>
      <c r="C331" s="206">
        <f t="shared" si="148"/>
        <v>0</v>
      </c>
      <c r="D331" s="206">
        <f t="shared" ref="D331:F331" si="149">+D47</f>
        <v>0</v>
      </c>
      <c r="E331" s="206">
        <f t="shared" si="149"/>
        <v>0</v>
      </c>
      <c r="F331" s="206">
        <f t="shared" si="149"/>
        <v>0</v>
      </c>
      <c r="G331" s="206">
        <f t="shared" si="148"/>
        <v>0</v>
      </c>
      <c r="H331" s="206">
        <f t="shared" si="148"/>
        <v>0</v>
      </c>
      <c r="I331" s="206">
        <f t="shared" si="148"/>
        <v>0</v>
      </c>
      <c r="J331" s="172">
        <f t="shared" si="148"/>
        <v>0</v>
      </c>
      <c r="K331" s="172">
        <f t="shared" si="148"/>
        <v>0</v>
      </c>
      <c r="L331" s="215"/>
    </row>
    <row r="332" spans="1:12" x14ac:dyDescent="0.2">
      <c r="A332" s="219" t="s">
        <v>559</v>
      </c>
      <c r="B332" s="206">
        <f t="shared" ref="B332:K332" si="150">+B58</f>
        <v>0</v>
      </c>
      <c r="C332" s="206">
        <f t="shared" si="150"/>
        <v>0</v>
      </c>
      <c r="D332" s="206">
        <f t="shared" ref="D332:F332" si="151">+D58</f>
        <v>0</v>
      </c>
      <c r="E332" s="206">
        <f t="shared" si="151"/>
        <v>0</v>
      </c>
      <c r="F332" s="206">
        <f t="shared" si="151"/>
        <v>0</v>
      </c>
      <c r="G332" s="206">
        <f t="shared" si="150"/>
        <v>0</v>
      </c>
      <c r="H332" s="206">
        <f t="shared" si="150"/>
        <v>0</v>
      </c>
      <c r="I332" s="206">
        <f t="shared" si="150"/>
        <v>0</v>
      </c>
      <c r="J332" s="172">
        <f t="shared" si="150"/>
        <v>0</v>
      </c>
      <c r="K332" s="172">
        <f t="shared" si="150"/>
        <v>0</v>
      </c>
      <c r="L332" s="215"/>
    </row>
    <row r="333" spans="1:12" x14ac:dyDescent="0.2">
      <c r="A333" s="219" t="s">
        <v>560</v>
      </c>
      <c r="B333" s="206">
        <f t="shared" ref="B333:K333" si="152">B59</f>
        <v>0</v>
      </c>
      <c r="C333" s="206">
        <f t="shared" si="152"/>
        <v>0</v>
      </c>
      <c r="D333" s="206">
        <f t="shared" ref="D333:F333" si="153">D59</f>
        <v>0</v>
      </c>
      <c r="E333" s="206">
        <f t="shared" si="153"/>
        <v>0</v>
      </c>
      <c r="F333" s="206">
        <f t="shared" si="153"/>
        <v>0</v>
      </c>
      <c r="G333" s="206">
        <f t="shared" si="152"/>
        <v>0</v>
      </c>
      <c r="H333" s="206">
        <f t="shared" si="152"/>
        <v>0</v>
      </c>
      <c r="I333" s="206">
        <f t="shared" si="152"/>
        <v>0</v>
      </c>
      <c r="J333" s="172">
        <f t="shared" si="152"/>
        <v>0</v>
      </c>
      <c r="K333" s="172">
        <f t="shared" si="152"/>
        <v>0</v>
      </c>
    </row>
    <row r="334" spans="1:12" x14ac:dyDescent="0.2">
      <c r="A334" s="219" t="s">
        <v>561</v>
      </c>
      <c r="B334" s="206">
        <f t="shared" ref="B334:K334" si="154">-B125</f>
        <v>0</v>
      </c>
      <c r="C334" s="206">
        <f t="shared" si="154"/>
        <v>0</v>
      </c>
      <c r="D334" s="206">
        <f t="shared" ref="D334:F334" si="155">-D125</f>
        <v>0</v>
      </c>
      <c r="E334" s="206">
        <f t="shared" si="155"/>
        <v>0</v>
      </c>
      <c r="F334" s="206">
        <f t="shared" si="155"/>
        <v>0</v>
      </c>
      <c r="G334" s="206">
        <f t="shared" si="154"/>
        <v>0</v>
      </c>
      <c r="H334" s="206">
        <f t="shared" si="154"/>
        <v>0</v>
      </c>
      <c r="I334" s="206">
        <f t="shared" si="154"/>
        <v>0</v>
      </c>
      <c r="J334" s="172">
        <f t="shared" si="154"/>
        <v>0</v>
      </c>
      <c r="K334" s="172">
        <f t="shared" si="154"/>
        <v>0</v>
      </c>
    </row>
    <row r="335" spans="1:12" x14ac:dyDescent="0.2">
      <c r="A335" s="219" t="s">
        <v>562</v>
      </c>
      <c r="B335" s="206">
        <f>-B128</f>
        <v>0</v>
      </c>
      <c r="C335" s="206">
        <f t="shared" ref="C335:K336" si="156">-C128</f>
        <v>0</v>
      </c>
      <c r="D335" s="206">
        <f t="shared" ref="D335:F335" si="157">-D128</f>
        <v>0</v>
      </c>
      <c r="E335" s="206">
        <f t="shared" si="157"/>
        <v>0</v>
      </c>
      <c r="F335" s="206">
        <f t="shared" si="157"/>
        <v>0</v>
      </c>
      <c r="G335" s="206">
        <f t="shared" si="156"/>
        <v>0</v>
      </c>
      <c r="H335" s="206">
        <f t="shared" si="156"/>
        <v>0</v>
      </c>
      <c r="I335" s="206">
        <f t="shared" si="156"/>
        <v>0</v>
      </c>
      <c r="J335" s="172">
        <f t="shared" si="156"/>
        <v>0</v>
      </c>
      <c r="K335" s="172">
        <f t="shared" si="156"/>
        <v>0</v>
      </c>
    </row>
    <row r="336" spans="1:12" x14ac:dyDescent="0.2">
      <c r="A336" s="219" t="s">
        <v>563</v>
      </c>
      <c r="B336" s="206">
        <f>-B129</f>
        <v>0</v>
      </c>
      <c r="C336" s="206">
        <f t="shared" si="156"/>
        <v>0</v>
      </c>
      <c r="D336" s="206">
        <f t="shared" ref="D336:F336" si="158">-D129</f>
        <v>0</v>
      </c>
      <c r="E336" s="206">
        <f t="shared" si="158"/>
        <v>0</v>
      </c>
      <c r="F336" s="206">
        <f t="shared" si="158"/>
        <v>0</v>
      </c>
      <c r="G336" s="206">
        <f t="shared" si="156"/>
        <v>0</v>
      </c>
      <c r="H336" s="206">
        <f t="shared" si="156"/>
        <v>0</v>
      </c>
      <c r="I336" s="206">
        <f t="shared" si="156"/>
        <v>0</v>
      </c>
      <c r="J336" s="172">
        <f t="shared" si="156"/>
        <v>0</v>
      </c>
      <c r="K336" s="172">
        <f t="shared" si="156"/>
        <v>0</v>
      </c>
    </row>
    <row r="337" spans="1:12" x14ac:dyDescent="0.2">
      <c r="A337" s="219" t="s">
        <v>564</v>
      </c>
      <c r="B337" s="206">
        <f t="shared" ref="B337:K337" si="159">-B132</f>
        <v>0</v>
      </c>
      <c r="C337" s="206">
        <f t="shared" si="159"/>
        <v>0</v>
      </c>
      <c r="D337" s="206">
        <f t="shared" ref="D337:F337" si="160">-D132</f>
        <v>0</v>
      </c>
      <c r="E337" s="206">
        <f t="shared" si="160"/>
        <v>0</v>
      </c>
      <c r="F337" s="206">
        <f t="shared" si="160"/>
        <v>0</v>
      </c>
      <c r="G337" s="206">
        <f t="shared" si="159"/>
        <v>0</v>
      </c>
      <c r="H337" s="206">
        <f t="shared" si="159"/>
        <v>0</v>
      </c>
      <c r="I337" s="206">
        <f t="shared" si="159"/>
        <v>0</v>
      </c>
      <c r="J337" s="172">
        <f t="shared" si="159"/>
        <v>0</v>
      </c>
      <c r="K337" s="172">
        <f t="shared" si="159"/>
        <v>0</v>
      </c>
    </row>
    <row r="338" spans="1:12" x14ac:dyDescent="0.2">
      <c r="A338" s="219" t="s">
        <v>565</v>
      </c>
      <c r="B338" s="206">
        <f t="shared" ref="B338:K338" si="161">B67-B134</f>
        <v>0</v>
      </c>
      <c r="C338" s="206">
        <f t="shared" si="161"/>
        <v>0</v>
      </c>
      <c r="D338" s="206">
        <f t="shared" ref="D338:F338" si="162">D67-D134</f>
        <v>0</v>
      </c>
      <c r="E338" s="206">
        <f t="shared" si="162"/>
        <v>0</v>
      </c>
      <c r="F338" s="206">
        <f t="shared" si="162"/>
        <v>0</v>
      </c>
      <c r="G338" s="206">
        <f t="shared" si="161"/>
        <v>0</v>
      </c>
      <c r="H338" s="206">
        <f t="shared" si="161"/>
        <v>0</v>
      </c>
      <c r="I338" s="206">
        <f t="shared" si="161"/>
        <v>0</v>
      </c>
      <c r="J338" s="172">
        <f t="shared" si="161"/>
        <v>0</v>
      </c>
      <c r="K338" s="172">
        <f t="shared" si="161"/>
        <v>0</v>
      </c>
      <c r="L338" s="215"/>
    </row>
    <row r="339" spans="1:12" ht="7.5" customHeight="1" x14ac:dyDescent="0.2">
      <c r="A339" s="219"/>
      <c r="B339" s="206"/>
      <c r="C339" s="206"/>
      <c r="D339" s="206"/>
      <c r="E339" s="206"/>
      <c r="F339" s="206"/>
      <c r="G339" s="206"/>
      <c r="H339" s="206"/>
      <c r="I339" s="206"/>
      <c r="J339" s="172"/>
      <c r="K339" s="172"/>
    </row>
    <row r="340" spans="1:12" x14ac:dyDescent="0.2">
      <c r="A340" s="239" t="s">
        <v>566</v>
      </c>
      <c r="B340" s="247">
        <f t="shared" ref="B340:K340" si="163">SUM(B331:B338)</f>
        <v>0</v>
      </c>
      <c r="C340" s="247">
        <f t="shared" si="163"/>
        <v>0</v>
      </c>
      <c r="D340" s="247">
        <f t="shared" ref="D340:F340" si="164">SUM(D331:D338)</f>
        <v>0</v>
      </c>
      <c r="E340" s="247">
        <f t="shared" si="164"/>
        <v>0</v>
      </c>
      <c r="F340" s="247">
        <f t="shared" si="164"/>
        <v>0</v>
      </c>
      <c r="G340" s="247">
        <f t="shared" si="163"/>
        <v>0</v>
      </c>
      <c r="H340" s="247">
        <f t="shared" si="163"/>
        <v>0</v>
      </c>
      <c r="I340" s="247">
        <f t="shared" si="163"/>
        <v>0</v>
      </c>
      <c r="J340" s="248">
        <f t="shared" si="163"/>
        <v>0</v>
      </c>
      <c r="K340" s="248">
        <f t="shared" si="163"/>
        <v>0</v>
      </c>
      <c r="L340" s="249"/>
    </row>
    <row r="341" spans="1:12" ht="6.75" customHeight="1" x14ac:dyDescent="0.2">
      <c r="A341" s="219" t="s">
        <v>337</v>
      </c>
      <c r="B341" s="206"/>
      <c r="C341" s="206"/>
      <c r="D341" s="206"/>
      <c r="E341" s="206"/>
      <c r="F341" s="206"/>
      <c r="G341" s="206"/>
      <c r="H341" s="206"/>
      <c r="I341" s="206"/>
      <c r="J341" s="172"/>
      <c r="K341" s="172"/>
    </row>
    <row r="342" spans="1:12" x14ac:dyDescent="0.2">
      <c r="A342" s="219" t="s">
        <v>567</v>
      </c>
      <c r="B342" s="206">
        <f t="shared" ref="B342:K342" si="165">B65+B61</f>
        <v>0</v>
      </c>
      <c r="C342" s="206">
        <f t="shared" si="165"/>
        <v>0</v>
      </c>
      <c r="D342" s="206">
        <f t="shared" ref="D342:F342" si="166">D65+D61</f>
        <v>0</v>
      </c>
      <c r="E342" s="206">
        <f t="shared" si="166"/>
        <v>0</v>
      </c>
      <c r="F342" s="206">
        <f t="shared" si="166"/>
        <v>0</v>
      </c>
      <c r="G342" s="206">
        <f t="shared" si="165"/>
        <v>0</v>
      </c>
      <c r="H342" s="206">
        <f t="shared" si="165"/>
        <v>0</v>
      </c>
      <c r="I342" s="206">
        <f t="shared" si="165"/>
        <v>0</v>
      </c>
      <c r="J342" s="172">
        <f t="shared" si="165"/>
        <v>0</v>
      </c>
      <c r="K342" s="172">
        <f t="shared" si="165"/>
        <v>0</v>
      </c>
      <c r="L342" s="249"/>
    </row>
    <row r="343" spans="1:12" ht="7.5" customHeight="1" x14ac:dyDescent="0.2">
      <c r="A343" s="219"/>
      <c r="B343" s="206"/>
      <c r="C343" s="206"/>
      <c r="D343" s="206"/>
      <c r="E343" s="206"/>
      <c r="F343" s="206"/>
      <c r="G343" s="206"/>
      <c r="H343" s="206"/>
      <c r="I343" s="206"/>
      <c r="J343" s="172"/>
      <c r="K343" s="172"/>
    </row>
    <row r="344" spans="1:12" x14ac:dyDescent="0.2">
      <c r="A344" s="239" t="s">
        <v>568</v>
      </c>
      <c r="B344" s="222">
        <f t="shared" ref="B344:K344" si="167">B340+B342</f>
        <v>0</v>
      </c>
      <c r="C344" s="222">
        <f t="shared" si="167"/>
        <v>0</v>
      </c>
      <c r="D344" s="222">
        <f t="shared" ref="D344:F344" si="168">D340+D342</f>
        <v>0</v>
      </c>
      <c r="E344" s="222">
        <f t="shared" si="168"/>
        <v>0</v>
      </c>
      <c r="F344" s="222">
        <f t="shared" si="168"/>
        <v>0</v>
      </c>
      <c r="G344" s="222">
        <f t="shared" si="167"/>
        <v>0</v>
      </c>
      <c r="H344" s="222">
        <f t="shared" si="167"/>
        <v>0</v>
      </c>
      <c r="I344" s="222">
        <f t="shared" si="167"/>
        <v>0</v>
      </c>
      <c r="J344" s="223">
        <f t="shared" si="167"/>
        <v>0</v>
      </c>
      <c r="K344" s="223">
        <f t="shared" si="167"/>
        <v>0</v>
      </c>
    </row>
    <row r="345" spans="1:12" ht="6.75" customHeight="1" x14ac:dyDescent="0.2">
      <c r="A345" s="219" t="s">
        <v>337</v>
      </c>
      <c r="B345" s="206"/>
      <c r="C345" s="206"/>
      <c r="D345" s="206"/>
      <c r="E345" s="206"/>
      <c r="F345" s="206"/>
      <c r="G345" s="206"/>
      <c r="H345" s="206"/>
      <c r="I345" s="206"/>
      <c r="J345" s="172"/>
      <c r="K345" s="172"/>
    </row>
    <row r="346" spans="1:12" ht="11.25" customHeight="1" x14ac:dyDescent="0.2">
      <c r="A346" s="219" t="s">
        <v>569</v>
      </c>
      <c r="B346" s="206">
        <f>-B121</f>
        <v>0</v>
      </c>
      <c r="C346" s="206">
        <f t="shared" ref="C346:K347" si="169">-C121</f>
        <v>0</v>
      </c>
      <c r="D346" s="206">
        <f t="shared" ref="D346:F346" si="170">-D121</f>
        <v>0</v>
      </c>
      <c r="E346" s="206">
        <f t="shared" si="170"/>
        <v>0</v>
      </c>
      <c r="F346" s="206">
        <f t="shared" si="170"/>
        <v>0</v>
      </c>
      <c r="G346" s="206">
        <f t="shared" si="169"/>
        <v>0</v>
      </c>
      <c r="H346" s="206">
        <f t="shared" si="169"/>
        <v>0</v>
      </c>
      <c r="I346" s="206">
        <f t="shared" si="169"/>
        <v>0</v>
      </c>
      <c r="J346" s="172">
        <f t="shared" si="169"/>
        <v>0</v>
      </c>
      <c r="K346" s="172">
        <f t="shared" si="169"/>
        <v>0</v>
      </c>
      <c r="L346" s="249"/>
    </row>
    <row r="347" spans="1:12" x14ac:dyDescent="0.2">
      <c r="A347" s="219" t="s">
        <v>76</v>
      </c>
      <c r="B347" s="206">
        <f>-B122</f>
        <v>0</v>
      </c>
      <c r="C347" s="206">
        <f t="shared" si="169"/>
        <v>0</v>
      </c>
      <c r="D347" s="206">
        <f t="shared" ref="D347:F347" si="171">-D122</f>
        <v>0</v>
      </c>
      <c r="E347" s="206">
        <f t="shared" si="171"/>
        <v>0</v>
      </c>
      <c r="F347" s="206">
        <f t="shared" si="171"/>
        <v>0</v>
      </c>
      <c r="G347" s="206">
        <f t="shared" si="169"/>
        <v>0</v>
      </c>
      <c r="H347" s="206">
        <f t="shared" si="169"/>
        <v>0</v>
      </c>
      <c r="I347" s="206">
        <f t="shared" si="169"/>
        <v>0</v>
      </c>
      <c r="J347" s="172">
        <f t="shared" si="169"/>
        <v>0</v>
      </c>
      <c r="K347" s="172">
        <f t="shared" si="169"/>
        <v>0</v>
      </c>
    </row>
    <row r="348" spans="1:12" ht="7.5" customHeight="1" x14ac:dyDescent="0.2">
      <c r="A348" s="219"/>
      <c r="B348" s="206"/>
      <c r="C348" s="206"/>
      <c r="D348" s="206"/>
      <c r="E348" s="206"/>
      <c r="F348" s="206"/>
      <c r="G348" s="206"/>
      <c r="H348" s="206"/>
      <c r="I348" s="206"/>
      <c r="J348" s="172"/>
      <c r="K348" s="172"/>
    </row>
    <row r="349" spans="1:12" x14ac:dyDescent="0.2">
      <c r="A349" s="242" t="s">
        <v>557</v>
      </c>
      <c r="B349" s="222">
        <f t="shared" ref="B349:K349" si="172">SUM(B344:B347)</f>
        <v>0</v>
      </c>
      <c r="C349" s="222">
        <f t="shared" si="172"/>
        <v>0</v>
      </c>
      <c r="D349" s="222">
        <f t="shared" ref="D349:F349" si="173">SUM(D344:D347)</f>
        <v>0</v>
      </c>
      <c r="E349" s="222">
        <f t="shared" si="173"/>
        <v>0</v>
      </c>
      <c r="F349" s="222">
        <f t="shared" si="173"/>
        <v>0</v>
      </c>
      <c r="G349" s="222">
        <f t="shared" si="172"/>
        <v>0</v>
      </c>
      <c r="H349" s="222">
        <f t="shared" si="172"/>
        <v>0</v>
      </c>
      <c r="I349" s="222">
        <f t="shared" si="172"/>
        <v>0</v>
      </c>
      <c r="J349" s="223">
        <f t="shared" si="172"/>
        <v>0</v>
      </c>
      <c r="K349" s="223">
        <f t="shared" si="172"/>
        <v>0</v>
      </c>
    </row>
    <row r="350" spans="1:12" x14ac:dyDescent="0.2">
      <c r="A350" s="146" t="s">
        <v>337</v>
      </c>
      <c r="L350" s="215"/>
    </row>
    <row r="352" spans="1:12" s="159" customFormat="1" ht="13.8" x14ac:dyDescent="0.3">
      <c r="A352" s="237" t="s">
        <v>570</v>
      </c>
      <c r="B352" s="217">
        <f t="shared" ref="B352:K352" si="174">B7</f>
        <v>43828</v>
      </c>
      <c r="C352" s="217">
        <f t="shared" si="174"/>
        <v>44194</v>
      </c>
      <c r="D352" s="217">
        <f t="shared" ref="D352:F352" si="175">D7</f>
        <v>44560</v>
      </c>
      <c r="E352" s="217">
        <f t="shared" si="175"/>
        <v>44926</v>
      </c>
      <c r="F352" s="217">
        <f t="shared" si="175"/>
        <v>45291</v>
      </c>
      <c r="G352" s="217">
        <f t="shared" si="174"/>
        <v>45656</v>
      </c>
      <c r="H352" s="217">
        <f t="shared" si="174"/>
        <v>46021</v>
      </c>
      <c r="I352" s="217">
        <f t="shared" si="174"/>
        <v>46386</v>
      </c>
      <c r="J352" s="158">
        <f t="shared" si="174"/>
        <v>46751</v>
      </c>
      <c r="K352" s="158">
        <f t="shared" si="174"/>
        <v>47116</v>
      </c>
      <c r="L352" s="249"/>
    </row>
    <row r="353" spans="1:13" ht="6" customHeight="1" x14ac:dyDescent="0.25">
      <c r="A353" s="243"/>
      <c r="B353" s="244"/>
      <c r="C353" s="244"/>
      <c r="D353" s="245"/>
      <c r="E353" s="245"/>
      <c r="F353" s="245"/>
      <c r="G353" s="245"/>
      <c r="H353" s="245"/>
      <c r="I353" s="245"/>
      <c r="J353" s="246"/>
      <c r="K353" s="246"/>
    </row>
    <row r="354" spans="1:13" x14ac:dyDescent="0.2">
      <c r="A354" s="219"/>
      <c r="B354" s="219"/>
      <c r="C354" s="219"/>
      <c r="D354" s="219"/>
      <c r="E354" s="219"/>
      <c r="F354" s="219"/>
      <c r="G354" s="219"/>
      <c r="H354" s="219"/>
      <c r="I354" s="219"/>
      <c r="J354" s="178"/>
      <c r="K354" s="178"/>
      <c r="L354" s="249"/>
      <c r="M354" s="159"/>
    </row>
    <row r="355" spans="1:13" ht="13.8" x14ac:dyDescent="0.3">
      <c r="A355" s="250" t="s">
        <v>571</v>
      </c>
      <c r="B355" s="219"/>
      <c r="C355" s="219"/>
      <c r="D355" s="219"/>
      <c r="E355" s="219"/>
      <c r="F355" s="219"/>
      <c r="G355" s="219"/>
      <c r="H355" s="219"/>
      <c r="I355" s="219"/>
      <c r="J355" s="178"/>
      <c r="K355" s="178"/>
      <c r="L355" s="251"/>
      <c r="M355" s="194"/>
    </row>
    <row r="356" spans="1:13" x14ac:dyDescent="0.2">
      <c r="A356" s="219" t="s">
        <v>572</v>
      </c>
      <c r="B356" s="206">
        <f t="shared" ref="B356:K356" si="176">B324</f>
        <v>0</v>
      </c>
      <c r="C356" s="206">
        <f t="shared" si="176"/>
        <v>0</v>
      </c>
      <c r="D356" s="206">
        <f t="shared" ref="D356:F356" si="177">D324</f>
        <v>0</v>
      </c>
      <c r="E356" s="206">
        <f t="shared" si="177"/>
        <v>0</v>
      </c>
      <c r="F356" s="206">
        <f t="shared" si="177"/>
        <v>0</v>
      </c>
      <c r="G356" s="206">
        <f t="shared" si="176"/>
        <v>0</v>
      </c>
      <c r="H356" s="206">
        <f t="shared" si="176"/>
        <v>0</v>
      </c>
      <c r="I356" s="206">
        <f t="shared" si="176"/>
        <v>0</v>
      </c>
      <c r="J356" s="172">
        <f t="shared" si="176"/>
        <v>0</v>
      </c>
      <c r="K356" s="172">
        <f t="shared" si="176"/>
        <v>0</v>
      </c>
    </row>
    <row r="357" spans="1:13" x14ac:dyDescent="0.2">
      <c r="A357" s="219" t="s">
        <v>573</v>
      </c>
      <c r="B357" s="252">
        <v>0</v>
      </c>
      <c r="C357" s="206">
        <v>0</v>
      </c>
      <c r="D357" s="206">
        <v>0</v>
      </c>
      <c r="E357" s="206">
        <v>0</v>
      </c>
      <c r="F357" s="206">
        <v>0</v>
      </c>
      <c r="G357" s="206">
        <v>0</v>
      </c>
      <c r="H357" s="206">
        <v>0</v>
      </c>
      <c r="I357" s="206">
        <v>0</v>
      </c>
      <c r="J357" s="172">
        <v>0</v>
      </c>
      <c r="K357" s="172">
        <v>0</v>
      </c>
    </row>
    <row r="358" spans="1:13" x14ac:dyDescent="0.2">
      <c r="A358" s="238" t="s">
        <v>574</v>
      </c>
      <c r="B358" s="206">
        <v>0</v>
      </c>
      <c r="C358" s="206">
        <v>0</v>
      </c>
      <c r="D358" s="206">
        <v>0</v>
      </c>
      <c r="E358" s="206">
        <v>0</v>
      </c>
      <c r="F358" s="206">
        <v>0</v>
      </c>
      <c r="G358" s="206">
        <v>0</v>
      </c>
      <c r="H358" s="206">
        <v>0</v>
      </c>
      <c r="I358" s="206">
        <v>0</v>
      </c>
      <c r="J358" s="172">
        <v>0</v>
      </c>
      <c r="K358" s="172">
        <v>0</v>
      </c>
    </row>
    <row r="359" spans="1:13" x14ac:dyDescent="0.2">
      <c r="A359" s="219" t="s">
        <v>575</v>
      </c>
      <c r="B359" s="209">
        <v>0</v>
      </c>
      <c r="C359" s="209">
        <v>0</v>
      </c>
      <c r="D359" s="209">
        <v>0</v>
      </c>
      <c r="E359" s="209">
        <v>0</v>
      </c>
      <c r="F359" s="209">
        <v>0</v>
      </c>
      <c r="G359" s="209">
        <v>0</v>
      </c>
      <c r="H359" s="209">
        <v>0</v>
      </c>
      <c r="I359" s="209">
        <v>0</v>
      </c>
      <c r="J359" s="178">
        <v>0</v>
      </c>
      <c r="K359" s="178">
        <v>0</v>
      </c>
    </row>
    <row r="360" spans="1:13" x14ac:dyDescent="0.2">
      <c r="A360" s="219" t="s">
        <v>576</v>
      </c>
      <c r="B360" s="252">
        <v>0</v>
      </c>
      <c r="C360" s="206">
        <v>0</v>
      </c>
      <c r="D360" s="206">
        <v>0</v>
      </c>
      <c r="E360" s="206">
        <v>0</v>
      </c>
      <c r="F360" s="206">
        <v>0</v>
      </c>
      <c r="G360" s="206">
        <v>0</v>
      </c>
      <c r="H360" s="206">
        <v>0</v>
      </c>
      <c r="I360" s="206">
        <v>0</v>
      </c>
      <c r="J360" s="172">
        <v>0</v>
      </c>
      <c r="K360" s="172">
        <v>0</v>
      </c>
    </row>
    <row r="361" spans="1:13" x14ac:dyDescent="0.2">
      <c r="A361" s="238" t="s">
        <v>577</v>
      </c>
      <c r="B361" s="210">
        <v>0</v>
      </c>
      <c r="C361" s="209">
        <v>0</v>
      </c>
      <c r="D361" s="209">
        <v>0</v>
      </c>
      <c r="E361" s="209">
        <v>0</v>
      </c>
      <c r="F361" s="209">
        <v>0</v>
      </c>
      <c r="G361" s="209">
        <v>0</v>
      </c>
      <c r="H361" s="209">
        <v>0</v>
      </c>
      <c r="I361" s="209">
        <v>0</v>
      </c>
      <c r="J361" s="178">
        <v>0</v>
      </c>
      <c r="K361" s="178">
        <v>0</v>
      </c>
    </row>
    <row r="362" spans="1:13" x14ac:dyDescent="0.2">
      <c r="A362" s="238" t="s">
        <v>578</v>
      </c>
      <c r="B362" s="210">
        <v>0</v>
      </c>
      <c r="C362" s="209">
        <v>0</v>
      </c>
      <c r="D362" s="209">
        <v>0</v>
      </c>
      <c r="E362" s="209">
        <v>0</v>
      </c>
      <c r="F362" s="209">
        <v>0</v>
      </c>
      <c r="G362" s="209">
        <v>0</v>
      </c>
      <c r="H362" s="209">
        <v>0</v>
      </c>
      <c r="I362" s="209">
        <v>0</v>
      </c>
      <c r="J362" s="178">
        <v>0</v>
      </c>
      <c r="K362" s="178">
        <v>0</v>
      </c>
    </row>
    <row r="363" spans="1:13" x14ac:dyDescent="0.2">
      <c r="A363" s="238" t="s">
        <v>579</v>
      </c>
      <c r="B363" s="206">
        <f t="shared" ref="B363:K363" si="178">-B258-B261</f>
        <v>0</v>
      </c>
      <c r="C363" s="206">
        <f t="shared" si="178"/>
        <v>0</v>
      </c>
      <c r="D363" s="206">
        <f t="shared" ref="D363:F363" si="179">-D258-D261</f>
        <v>0</v>
      </c>
      <c r="E363" s="206">
        <f t="shared" si="179"/>
        <v>0</v>
      </c>
      <c r="F363" s="206">
        <f t="shared" si="179"/>
        <v>0</v>
      </c>
      <c r="G363" s="206">
        <f t="shared" si="178"/>
        <v>0</v>
      </c>
      <c r="H363" s="206">
        <f t="shared" si="178"/>
        <v>0</v>
      </c>
      <c r="I363" s="206">
        <f t="shared" si="178"/>
        <v>0</v>
      </c>
      <c r="J363" s="172">
        <f t="shared" si="178"/>
        <v>0</v>
      </c>
      <c r="K363" s="172">
        <f t="shared" si="178"/>
        <v>0</v>
      </c>
    </row>
    <row r="364" spans="1:13" x14ac:dyDescent="0.2">
      <c r="A364" s="219" t="s">
        <v>580</v>
      </c>
      <c r="B364" s="252">
        <v>0</v>
      </c>
      <c r="C364" s="206">
        <v>0</v>
      </c>
      <c r="D364" s="206">
        <v>0</v>
      </c>
      <c r="E364" s="206">
        <v>0</v>
      </c>
      <c r="F364" s="206">
        <v>0</v>
      </c>
      <c r="G364" s="206">
        <v>0</v>
      </c>
      <c r="H364" s="206">
        <v>0</v>
      </c>
      <c r="I364" s="206">
        <v>0</v>
      </c>
      <c r="J364" s="172">
        <v>0</v>
      </c>
      <c r="K364" s="172">
        <v>0</v>
      </c>
    </row>
    <row r="365" spans="1:13" x14ac:dyDescent="0.2">
      <c r="A365" s="238" t="s">
        <v>581</v>
      </c>
      <c r="B365" s="206">
        <f t="shared" ref="B365:K365" si="180">IF(B262+B190-B183&lt;0,-B262-B190+B183,0)</f>
        <v>0</v>
      </c>
      <c r="C365" s="206">
        <f t="shared" si="180"/>
        <v>0</v>
      </c>
      <c r="D365" s="206">
        <f t="shared" ref="D365:F365" si="181">IF(D262+D190-D183&lt;0,-D262-D190+D183,0)</f>
        <v>0</v>
      </c>
      <c r="E365" s="206">
        <f t="shared" si="181"/>
        <v>0</v>
      </c>
      <c r="F365" s="206">
        <f t="shared" si="181"/>
        <v>0</v>
      </c>
      <c r="G365" s="206">
        <f t="shared" si="180"/>
        <v>0</v>
      </c>
      <c r="H365" s="206">
        <f t="shared" si="180"/>
        <v>0</v>
      </c>
      <c r="I365" s="206">
        <f t="shared" si="180"/>
        <v>0</v>
      </c>
      <c r="J365" s="172">
        <f t="shared" si="180"/>
        <v>0</v>
      </c>
      <c r="K365" s="172">
        <f t="shared" si="180"/>
        <v>0</v>
      </c>
    </row>
    <row r="366" spans="1:13" x14ac:dyDescent="0.2">
      <c r="A366" s="219"/>
      <c r="B366" s="206"/>
      <c r="C366" s="206"/>
      <c r="D366" s="206"/>
      <c r="E366" s="206"/>
      <c r="F366" s="206"/>
      <c r="G366" s="206"/>
      <c r="H366" s="206"/>
      <c r="I366" s="206"/>
      <c r="J366" s="172"/>
      <c r="K366" s="172"/>
    </row>
    <row r="367" spans="1:13" x14ac:dyDescent="0.2">
      <c r="A367" s="239" t="s">
        <v>544</v>
      </c>
      <c r="B367" s="247">
        <f>SUM(B356:B365)</f>
        <v>0</v>
      </c>
      <c r="C367" s="247">
        <f t="shared" ref="C367:K367" si="182">SUM(C356:C365)</f>
        <v>0</v>
      </c>
      <c r="D367" s="247">
        <f t="shared" ref="D367:F367" si="183">SUM(D356:D365)</f>
        <v>0</v>
      </c>
      <c r="E367" s="247">
        <f t="shared" si="183"/>
        <v>0</v>
      </c>
      <c r="F367" s="247">
        <f t="shared" si="183"/>
        <v>0</v>
      </c>
      <c r="G367" s="247">
        <f t="shared" si="182"/>
        <v>0</v>
      </c>
      <c r="H367" s="247">
        <f t="shared" si="182"/>
        <v>0</v>
      </c>
      <c r="I367" s="247">
        <f t="shared" si="182"/>
        <v>0</v>
      </c>
      <c r="J367" s="248">
        <f t="shared" si="182"/>
        <v>0</v>
      </c>
      <c r="K367" s="248">
        <f t="shared" si="182"/>
        <v>0</v>
      </c>
    </row>
    <row r="368" spans="1:13" x14ac:dyDescent="0.2">
      <c r="A368" s="219" t="s">
        <v>337</v>
      </c>
      <c r="B368" s="209" t="s">
        <v>337</v>
      </c>
      <c r="C368" s="209" t="s">
        <v>337</v>
      </c>
      <c r="D368" s="209" t="s">
        <v>337</v>
      </c>
      <c r="E368" s="209" t="s">
        <v>337</v>
      </c>
      <c r="F368" s="209" t="s">
        <v>337</v>
      </c>
      <c r="G368" s="209" t="s">
        <v>337</v>
      </c>
      <c r="H368" s="209" t="s">
        <v>337</v>
      </c>
      <c r="I368" s="209" t="s">
        <v>337</v>
      </c>
      <c r="J368" s="178" t="s">
        <v>337</v>
      </c>
      <c r="K368" s="178" t="s">
        <v>337</v>
      </c>
    </row>
    <row r="369" spans="1:11" ht="13.8" x14ac:dyDescent="0.3">
      <c r="A369" s="250" t="s">
        <v>582</v>
      </c>
      <c r="B369" s="209" t="s">
        <v>337</v>
      </c>
      <c r="C369" s="209" t="s">
        <v>337</v>
      </c>
      <c r="D369" s="209" t="s">
        <v>337</v>
      </c>
      <c r="E369" s="209" t="s">
        <v>337</v>
      </c>
      <c r="F369" s="209" t="s">
        <v>337</v>
      </c>
      <c r="G369" s="209" t="s">
        <v>337</v>
      </c>
      <c r="H369" s="209" t="s">
        <v>337</v>
      </c>
      <c r="I369" s="209" t="s">
        <v>337</v>
      </c>
      <c r="J369" s="178" t="s">
        <v>337</v>
      </c>
      <c r="K369" s="178" t="s">
        <v>337</v>
      </c>
    </row>
    <row r="370" spans="1:11" x14ac:dyDescent="0.2">
      <c r="A370" s="238" t="s">
        <v>583</v>
      </c>
      <c r="B370" s="206">
        <f t="shared" ref="B370:K370" si="184">SUM(B255:B257)</f>
        <v>0</v>
      </c>
      <c r="C370" s="206">
        <f t="shared" si="184"/>
        <v>0</v>
      </c>
      <c r="D370" s="206">
        <f t="shared" ref="D370:F370" si="185">SUM(D255:D257)</f>
        <v>0</v>
      </c>
      <c r="E370" s="206">
        <f t="shared" si="185"/>
        <v>0</v>
      </c>
      <c r="F370" s="206">
        <f t="shared" si="185"/>
        <v>0</v>
      </c>
      <c r="G370" s="206">
        <f t="shared" si="184"/>
        <v>0</v>
      </c>
      <c r="H370" s="206">
        <f t="shared" si="184"/>
        <v>0</v>
      </c>
      <c r="I370" s="206">
        <f t="shared" si="184"/>
        <v>0</v>
      </c>
      <c r="J370" s="172">
        <f t="shared" si="184"/>
        <v>0</v>
      </c>
      <c r="K370" s="172">
        <f t="shared" si="184"/>
        <v>0</v>
      </c>
    </row>
    <row r="371" spans="1:11" x14ac:dyDescent="0.2">
      <c r="A371" s="238" t="s">
        <v>584</v>
      </c>
      <c r="B371" s="206">
        <f t="shared" ref="B371:K371" si="186">IF(B262+B190-B183&gt;0,B262+B190-B183,0)</f>
        <v>0</v>
      </c>
      <c r="C371" s="206">
        <f t="shared" si="186"/>
        <v>0</v>
      </c>
      <c r="D371" s="206">
        <f t="shared" ref="D371:F371" si="187">IF(D262+D190-D183&gt;0,D262+D190-D183,0)</f>
        <v>0</v>
      </c>
      <c r="E371" s="206">
        <f t="shared" si="187"/>
        <v>0</v>
      </c>
      <c r="F371" s="206">
        <f t="shared" si="187"/>
        <v>0</v>
      </c>
      <c r="G371" s="206">
        <f t="shared" si="186"/>
        <v>0</v>
      </c>
      <c r="H371" s="206">
        <f t="shared" si="186"/>
        <v>0</v>
      </c>
      <c r="I371" s="206">
        <f t="shared" si="186"/>
        <v>0</v>
      </c>
      <c r="J371" s="172">
        <f t="shared" si="186"/>
        <v>0</v>
      </c>
      <c r="K371" s="172">
        <f t="shared" si="186"/>
        <v>0</v>
      </c>
    </row>
    <row r="372" spans="1:11" x14ac:dyDescent="0.2">
      <c r="A372" s="219" t="s">
        <v>585</v>
      </c>
      <c r="B372" s="252">
        <v>0</v>
      </c>
      <c r="C372" s="206">
        <v>0</v>
      </c>
      <c r="D372" s="206">
        <v>0</v>
      </c>
      <c r="E372" s="206">
        <v>0</v>
      </c>
      <c r="F372" s="206">
        <v>0</v>
      </c>
      <c r="G372" s="206">
        <v>0</v>
      </c>
      <c r="H372" s="206">
        <v>0</v>
      </c>
      <c r="I372" s="206">
        <v>0</v>
      </c>
      <c r="J372" s="172">
        <v>0</v>
      </c>
      <c r="K372" s="172">
        <v>0</v>
      </c>
    </row>
    <row r="373" spans="1:11" x14ac:dyDescent="0.2">
      <c r="A373" s="219" t="s">
        <v>586</v>
      </c>
      <c r="B373" s="252">
        <v>0</v>
      </c>
      <c r="C373" s="206">
        <v>0</v>
      </c>
      <c r="D373" s="206">
        <v>0</v>
      </c>
      <c r="E373" s="206">
        <v>0</v>
      </c>
      <c r="F373" s="206">
        <v>0</v>
      </c>
      <c r="G373" s="206">
        <v>0</v>
      </c>
      <c r="H373" s="206">
        <v>0</v>
      </c>
      <c r="I373" s="206">
        <v>0</v>
      </c>
      <c r="J373" s="172">
        <v>0</v>
      </c>
      <c r="K373" s="172">
        <v>0</v>
      </c>
    </row>
    <row r="374" spans="1:11" x14ac:dyDescent="0.2">
      <c r="A374" s="219"/>
      <c r="B374" s="206"/>
      <c r="C374" s="206"/>
      <c r="D374" s="206"/>
      <c r="E374" s="206"/>
      <c r="F374" s="206"/>
      <c r="G374" s="206"/>
      <c r="H374" s="206"/>
      <c r="I374" s="206"/>
      <c r="J374" s="172"/>
      <c r="K374" s="172"/>
    </row>
    <row r="375" spans="1:11" x14ac:dyDescent="0.2">
      <c r="A375" s="239" t="s">
        <v>544</v>
      </c>
      <c r="B375" s="247">
        <f>SUM(B370:B373)</f>
        <v>0</v>
      </c>
      <c r="C375" s="247">
        <f t="shared" ref="C375:K375" si="188">SUM(C370:C373)</f>
        <v>0</v>
      </c>
      <c r="D375" s="247">
        <f t="shared" ref="D375:F375" si="189">SUM(D370:D373)</f>
        <v>0</v>
      </c>
      <c r="E375" s="247">
        <f t="shared" si="189"/>
        <v>0</v>
      </c>
      <c r="F375" s="247">
        <f t="shared" si="189"/>
        <v>0</v>
      </c>
      <c r="G375" s="247">
        <f t="shared" si="188"/>
        <v>0</v>
      </c>
      <c r="H375" s="247">
        <f t="shared" si="188"/>
        <v>0</v>
      </c>
      <c r="I375" s="247">
        <f t="shared" si="188"/>
        <v>0</v>
      </c>
      <c r="J375" s="248">
        <f t="shared" si="188"/>
        <v>0</v>
      </c>
      <c r="K375" s="248">
        <f t="shared" si="188"/>
        <v>0</v>
      </c>
    </row>
    <row r="376" spans="1:11" x14ac:dyDescent="0.2">
      <c r="A376" s="240" t="s">
        <v>337</v>
      </c>
      <c r="B376" s="253" t="s">
        <v>337</v>
      </c>
      <c r="C376" s="253" t="s">
        <v>337</v>
      </c>
      <c r="D376" s="253" t="s">
        <v>337</v>
      </c>
      <c r="E376" s="253" t="s">
        <v>337</v>
      </c>
      <c r="F376" s="253" t="s">
        <v>337</v>
      </c>
      <c r="G376" s="253" t="s">
        <v>337</v>
      </c>
      <c r="H376" s="253" t="s">
        <v>337</v>
      </c>
      <c r="I376" s="253" t="s">
        <v>337</v>
      </c>
      <c r="J376" s="254" t="s">
        <v>337</v>
      </c>
      <c r="K376" s="254" t="s">
        <v>337</v>
      </c>
    </row>
    <row r="377" spans="1:11" x14ac:dyDescent="0.2">
      <c r="A377" s="242" t="s">
        <v>587</v>
      </c>
      <c r="B377" s="222">
        <f t="shared" ref="B377:K377" si="190">B367-B375</f>
        <v>0</v>
      </c>
      <c r="C377" s="222">
        <f t="shared" si="190"/>
        <v>0</v>
      </c>
      <c r="D377" s="222">
        <f t="shared" ref="D377:F377" si="191">D367-D375</f>
        <v>0</v>
      </c>
      <c r="E377" s="222">
        <f t="shared" si="191"/>
        <v>0</v>
      </c>
      <c r="F377" s="222">
        <f t="shared" si="191"/>
        <v>0</v>
      </c>
      <c r="G377" s="222">
        <f t="shared" si="190"/>
        <v>0</v>
      </c>
      <c r="H377" s="222">
        <f t="shared" si="190"/>
        <v>0</v>
      </c>
      <c r="I377" s="222">
        <f t="shared" si="190"/>
        <v>0</v>
      </c>
      <c r="J377" s="223">
        <f t="shared" si="190"/>
        <v>0</v>
      </c>
      <c r="K377" s="223">
        <f t="shared" si="190"/>
        <v>0</v>
      </c>
    </row>
    <row r="378" spans="1:11" x14ac:dyDescent="0.2">
      <c r="A378" s="146" t="s">
        <v>337</v>
      </c>
      <c r="J378" s="249"/>
      <c r="K378" s="249"/>
    </row>
    <row r="379" spans="1:11" x14ac:dyDescent="0.2">
      <c r="J379" s="249"/>
      <c r="K379" s="249"/>
    </row>
    <row r="380" spans="1:11" s="159" customFormat="1" ht="13.8" x14ac:dyDescent="0.3">
      <c r="A380" s="237" t="s">
        <v>588</v>
      </c>
      <c r="B380" s="217">
        <f t="shared" ref="B380:K380" si="192">B7</f>
        <v>43828</v>
      </c>
      <c r="C380" s="217">
        <f t="shared" si="192"/>
        <v>44194</v>
      </c>
      <c r="D380" s="217">
        <f t="shared" ref="D380:F380" si="193">D7</f>
        <v>44560</v>
      </c>
      <c r="E380" s="217">
        <f t="shared" si="193"/>
        <v>44926</v>
      </c>
      <c r="F380" s="217">
        <f t="shared" si="193"/>
        <v>45291</v>
      </c>
      <c r="G380" s="217">
        <f t="shared" si="192"/>
        <v>45656</v>
      </c>
      <c r="H380" s="217">
        <f t="shared" si="192"/>
        <v>46021</v>
      </c>
      <c r="I380" s="217">
        <f t="shared" si="192"/>
        <v>46386</v>
      </c>
      <c r="J380" s="255">
        <f t="shared" si="192"/>
        <v>46751</v>
      </c>
      <c r="K380" s="255">
        <f t="shared" si="192"/>
        <v>47116</v>
      </c>
    </row>
    <row r="381" spans="1:11" ht="6.75" customHeight="1" x14ac:dyDescent="0.2">
      <c r="A381" s="184"/>
      <c r="B381" s="218"/>
      <c r="C381" s="218"/>
      <c r="D381" s="218"/>
      <c r="E381" s="218"/>
      <c r="F381" s="218"/>
      <c r="G381" s="218"/>
      <c r="H381" s="218"/>
      <c r="I381" s="218"/>
      <c r="J381" s="256"/>
      <c r="K381" s="256"/>
    </row>
    <row r="382" spans="1:11" ht="6.75" customHeight="1" x14ac:dyDescent="0.2">
      <c r="A382" s="219" t="s">
        <v>337</v>
      </c>
      <c r="B382" s="257" t="s">
        <v>337</v>
      </c>
      <c r="C382" s="257" t="s">
        <v>337</v>
      </c>
      <c r="D382" s="257" t="s">
        <v>337</v>
      </c>
      <c r="E382" s="257" t="s">
        <v>337</v>
      </c>
      <c r="F382" s="257" t="s">
        <v>337</v>
      </c>
      <c r="G382" s="257" t="s">
        <v>337</v>
      </c>
      <c r="H382" s="257" t="s">
        <v>337</v>
      </c>
      <c r="I382" s="257" t="s">
        <v>337</v>
      </c>
      <c r="J382" s="258" t="s">
        <v>337</v>
      </c>
      <c r="K382" s="258" t="s">
        <v>337</v>
      </c>
    </row>
    <row r="383" spans="1:11" x14ac:dyDescent="0.2">
      <c r="A383" s="219" t="s">
        <v>589</v>
      </c>
      <c r="B383" s="252">
        <v>0</v>
      </c>
      <c r="C383" s="206">
        <v>0</v>
      </c>
      <c r="D383" s="206">
        <v>0</v>
      </c>
      <c r="E383" s="206">
        <v>0</v>
      </c>
      <c r="F383" s="206">
        <v>0</v>
      </c>
      <c r="G383" s="206">
        <v>0</v>
      </c>
      <c r="H383" s="206">
        <v>0</v>
      </c>
      <c r="I383" s="206">
        <v>0</v>
      </c>
      <c r="J383" s="172">
        <v>0</v>
      </c>
      <c r="K383" s="172">
        <v>0</v>
      </c>
    </row>
    <row r="384" spans="1:11" x14ac:dyDescent="0.2">
      <c r="A384" s="219" t="s">
        <v>590</v>
      </c>
      <c r="B384" s="252">
        <v>0</v>
      </c>
      <c r="C384" s="206">
        <v>0</v>
      </c>
      <c r="D384" s="206">
        <v>0</v>
      </c>
      <c r="E384" s="206">
        <v>0</v>
      </c>
      <c r="F384" s="206">
        <v>0</v>
      </c>
      <c r="G384" s="206">
        <v>0</v>
      </c>
      <c r="H384" s="206">
        <v>0</v>
      </c>
      <c r="I384" s="206">
        <v>0</v>
      </c>
      <c r="J384" s="172">
        <v>0</v>
      </c>
      <c r="K384" s="172">
        <v>0</v>
      </c>
    </row>
    <row r="385" spans="1:11" x14ac:dyDescent="0.2">
      <c r="A385" s="219" t="s">
        <v>591</v>
      </c>
      <c r="B385" s="252">
        <v>0</v>
      </c>
      <c r="C385" s="206">
        <v>0</v>
      </c>
      <c r="D385" s="206">
        <v>0</v>
      </c>
      <c r="E385" s="206">
        <v>0</v>
      </c>
      <c r="F385" s="206">
        <v>0</v>
      </c>
      <c r="G385" s="206">
        <v>0</v>
      </c>
      <c r="H385" s="206">
        <v>0</v>
      </c>
      <c r="I385" s="206">
        <v>0</v>
      </c>
      <c r="J385" s="172">
        <v>0</v>
      </c>
      <c r="K385" s="172">
        <v>0</v>
      </c>
    </row>
    <row r="386" spans="1:11" x14ac:dyDescent="0.2">
      <c r="A386" s="219" t="s">
        <v>592</v>
      </c>
      <c r="B386" s="252">
        <v>0</v>
      </c>
      <c r="C386" s="206">
        <v>0</v>
      </c>
      <c r="D386" s="206">
        <v>0</v>
      </c>
      <c r="E386" s="206">
        <v>0</v>
      </c>
      <c r="F386" s="206">
        <v>0</v>
      </c>
      <c r="G386" s="206">
        <v>0</v>
      </c>
      <c r="H386" s="206">
        <v>0</v>
      </c>
      <c r="I386" s="206">
        <v>0</v>
      </c>
      <c r="J386" s="172">
        <v>0</v>
      </c>
      <c r="K386" s="172">
        <v>0</v>
      </c>
    </row>
    <row r="387" spans="1:11" x14ac:dyDescent="0.2">
      <c r="A387" s="219" t="s">
        <v>593</v>
      </c>
      <c r="B387" s="252">
        <v>0</v>
      </c>
      <c r="C387" s="206">
        <v>0</v>
      </c>
      <c r="D387" s="206">
        <v>0</v>
      </c>
      <c r="E387" s="206">
        <v>0</v>
      </c>
      <c r="F387" s="206">
        <v>0</v>
      </c>
      <c r="G387" s="206">
        <v>0</v>
      </c>
      <c r="H387" s="206">
        <v>0</v>
      </c>
      <c r="I387" s="206">
        <v>0</v>
      </c>
      <c r="J387" s="172">
        <v>0</v>
      </c>
      <c r="K387" s="172">
        <v>0</v>
      </c>
    </row>
    <row r="388" spans="1:11" x14ac:dyDescent="0.2">
      <c r="A388" s="219" t="s">
        <v>594</v>
      </c>
      <c r="B388" s="252">
        <v>0</v>
      </c>
      <c r="C388" s="206">
        <v>0</v>
      </c>
      <c r="D388" s="206">
        <v>0</v>
      </c>
      <c r="E388" s="206">
        <v>0</v>
      </c>
      <c r="F388" s="206">
        <v>0</v>
      </c>
      <c r="G388" s="206">
        <v>0</v>
      </c>
      <c r="H388" s="206">
        <v>0</v>
      </c>
      <c r="I388" s="206">
        <v>0</v>
      </c>
      <c r="J388" s="172">
        <v>0</v>
      </c>
      <c r="K388" s="172">
        <v>0</v>
      </c>
    </row>
    <row r="389" spans="1:11" ht="7.5" customHeight="1" x14ac:dyDescent="0.2">
      <c r="A389" s="240" t="s">
        <v>337</v>
      </c>
      <c r="B389" s="259" t="s">
        <v>337</v>
      </c>
      <c r="C389" s="259" t="s">
        <v>337</v>
      </c>
      <c r="D389" s="259" t="s">
        <v>337</v>
      </c>
      <c r="E389" s="259" t="s">
        <v>337</v>
      </c>
      <c r="F389" s="259" t="s">
        <v>337</v>
      </c>
      <c r="G389" s="259" t="s">
        <v>337</v>
      </c>
      <c r="H389" s="259" t="s">
        <v>337</v>
      </c>
      <c r="I389" s="259" t="s">
        <v>337</v>
      </c>
      <c r="J389" s="260" t="s">
        <v>337</v>
      </c>
      <c r="K389" s="260" t="s">
        <v>337</v>
      </c>
    </row>
    <row r="390" spans="1:11" x14ac:dyDescent="0.2">
      <c r="A390" s="242" t="s">
        <v>595</v>
      </c>
      <c r="B390" s="222">
        <f t="shared" ref="B390:K390" si="194">SUM(B383:B389)</f>
        <v>0</v>
      </c>
      <c r="C390" s="222">
        <f t="shared" si="194"/>
        <v>0</v>
      </c>
      <c r="D390" s="222">
        <f t="shared" ref="D390:F390" si="195">SUM(D383:D389)</f>
        <v>0</v>
      </c>
      <c r="E390" s="222">
        <f t="shared" si="195"/>
        <v>0</v>
      </c>
      <c r="F390" s="222">
        <f t="shared" si="195"/>
        <v>0</v>
      </c>
      <c r="G390" s="222">
        <f t="shared" si="194"/>
        <v>0</v>
      </c>
      <c r="H390" s="222">
        <f t="shared" si="194"/>
        <v>0</v>
      </c>
      <c r="I390" s="222">
        <f t="shared" si="194"/>
        <v>0</v>
      </c>
      <c r="J390" s="223">
        <f t="shared" si="194"/>
        <v>0</v>
      </c>
      <c r="K390" s="223">
        <f t="shared" si="194"/>
        <v>0</v>
      </c>
    </row>
    <row r="393" spans="1:11" ht="13.2" x14ac:dyDescent="0.25">
      <c r="A393" s="236" t="s">
        <v>596</v>
      </c>
    </row>
    <row r="395" spans="1:11" x14ac:dyDescent="0.2">
      <c r="A395" s="261" t="s">
        <v>597</v>
      </c>
      <c r="B395" s="262">
        <v>0.33989999999999998</v>
      </c>
      <c r="C395" s="262">
        <v>0.33989999999999998</v>
      </c>
      <c r="D395" s="262">
        <v>0.33989999999999998</v>
      </c>
      <c r="E395" s="262">
        <v>0.33989999999999998</v>
      </c>
      <c r="F395" s="262">
        <v>0.33989999999999998</v>
      </c>
      <c r="G395" s="262">
        <v>0.33989999999999998</v>
      </c>
      <c r="H395" s="262">
        <v>0.33989999999999998</v>
      </c>
      <c r="I395" s="262">
        <v>0.33989999999999998</v>
      </c>
      <c r="J395" s="263">
        <v>0.33989999999999998</v>
      </c>
      <c r="K395" s="263">
        <v>0.33989999999999998</v>
      </c>
    </row>
    <row r="396" spans="1:11" x14ac:dyDescent="0.2">
      <c r="B396" s="264"/>
      <c r="C396" s="264"/>
      <c r="D396" s="264"/>
      <c r="E396" s="264"/>
      <c r="F396" s="264"/>
      <c r="G396" s="264"/>
      <c r="H396" s="264"/>
      <c r="I396" s="264"/>
      <c r="J396" s="264"/>
      <c r="K396" s="264"/>
    </row>
    <row r="397" spans="1:11" s="159" customFormat="1" ht="13.8" x14ac:dyDescent="0.3">
      <c r="A397" s="237" t="s">
        <v>598</v>
      </c>
      <c r="B397" s="217">
        <f t="shared" ref="B397:K397" si="196">B7</f>
        <v>43828</v>
      </c>
      <c r="C397" s="217">
        <f t="shared" si="196"/>
        <v>44194</v>
      </c>
      <c r="D397" s="217">
        <f t="shared" ref="D397:F397" si="197">D7</f>
        <v>44560</v>
      </c>
      <c r="E397" s="217">
        <f t="shared" si="197"/>
        <v>44926</v>
      </c>
      <c r="F397" s="217">
        <f t="shared" si="197"/>
        <v>45291</v>
      </c>
      <c r="G397" s="217">
        <f t="shared" si="196"/>
        <v>45656</v>
      </c>
      <c r="H397" s="217">
        <f t="shared" si="196"/>
        <v>46021</v>
      </c>
      <c r="I397" s="217">
        <f t="shared" si="196"/>
        <v>46386</v>
      </c>
      <c r="J397" s="158">
        <f t="shared" si="196"/>
        <v>46751</v>
      </c>
      <c r="K397" s="158">
        <f t="shared" si="196"/>
        <v>47116</v>
      </c>
    </row>
    <row r="398" spans="1:11" x14ac:dyDescent="0.2">
      <c r="A398" s="184"/>
      <c r="B398" s="218"/>
      <c r="C398" s="218"/>
      <c r="D398" s="218"/>
      <c r="E398" s="218"/>
      <c r="F398" s="218"/>
      <c r="G398" s="218"/>
      <c r="H398" s="218"/>
      <c r="I398" s="218"/>
      <c r="J398" s="184"/>
      <c r="K398" s="184"/>
    </row>
    <row r="399" spans="1:11" x14ac:dyDescent="0.2">
      <c r="A399" s="219" t="s">
        <v>337</v>
      </c>
      <c r="B399" s="219"/>
      <c r="C399" s="219"/>
      <c r="D399" s="219"/>
      <c r="E399" s="219"/>
      <c r="F399" s="219"/>
      <c r="G399" s="219"/>
      <c r="H399" s="219"/>
      <c r="I399" s="219"/>
      <c r="J399" s="165"/>
      <c r="K399" s="165"/>
    </row>
    <row r="400" spans="1:11" x14ac:dyDescent="0.2">
      <c r="A400" s="219" t="s">
        <v>599</v>
      </c>
      <c r="B400" s="206">
        <f t="shared" ref="B400:K400" si="198">B167</f>
        <v>0</v>
      </c>
      <c r="C400" s="206">
        <f t="shared" si="198"/>
        <v>0</v>
      </c>
      <c r="D400" s="206">
        <f t="shared" ref="D400:F400" si="199">D167</f>
        <v>0</v>
      </c>
      <c r="E400" s="206">
        <f t="shared" si="199"/>
        <v>0</v>
      </c>
      <c r="F400" s="206">
        <f t="shared" si="199"/>
        <v>0</v>
      </c>
      <c r="G400" s="206">
        <f t="shared" si="198"/>
        <v>0</v>
      </c>
      <c r="H400" s="206">
        <f t="shared" si="198"/>
        <v>0</v>
      </c>
      <c r="I400" s="206">
        <f t="shared" si="198"/>
        <v>0</v>
      </c>
      <c r="J400" s="172">
        <f t="shared" si="198"/>
        <v>0</v>
      </c>
      <c r="K400" s="172">
        <f t="shared" si="198"/>
        <v>0</v>
      </c>
    </row>
    <row r="401" spans="1:11" x14ac:dyDescent="0.2">
      <c r="A401" s="238" t="s">
        <v>600</v>
      </c>
      <c r="B401" s="206">
        <f t="shared" ref="B401:K401" si="200">B172-B277-B278</f>
        <v>0</v>
      </c>
      <c r="C401" s="206">
        <f t="shared" si="200"/>
        <v>0</v>
      </c>
      <c r="D401" s="206">
        <f t="shared" ref="D401:F401" si="201">D172-D277-D278</f>
        <v>0</v>
      </c>
      <c r="E401" s="206">
        <f t="shared" si="201"/>
        <v>0</v>
      </c>
      <c r="F401" s="206">
        <f t="shared" si="201"/>
        <v>0</v>
      </c>
      <c r="G401" s="206">
        <f t="shared" si="200"/>
        <v>0</v>
      </c>
      <c r="H401" s="206">
        <f t="shared" si="200"/>
        <v>0</v>
      </c>
      <c r="I401" s="206">
        <f t="shared" si="200"/>
        <v>0</v>
      </c>
      <c r="J401" s="172">
        <f t="shared" si="200"/>
        <v>0</v>
      </c>
      <c r="K401" s="172">
        <f t="shared" si="200"/>
        <v>0</v>
      </c>
    </row>
    <row r="402" spans="1:11" x14ac:dyDescent="0.2">
      <c r="A402" s="241" t="s">
        <v>601</v>
      </c>
      <c r="B402" s="206">
        <f t="shared" ref="B402:K402" si="202">-B177+B284</f>
        <v>0</v>
      </c>
      <c r="C402" s="206">
        <f t="shared" si="202"/>
        <v>0</v>
      </c>
      <c r="D402" s="206">
        <f t="shared" ref="D402:F402" si="203">-D177+D284</f>
        <v>0</v>
      </c>
      <c r="E402" s="206">
        <f t="shared" si="203"/>
        <v>0</v>
      </c>
      <c r="F402" s="206">
        <f t="shared" si="203"/>
        <v>0</v>
      </c>
      <c r="G402" s="206">
        <f t="shared" si="202"/>
        <v>0</v>
      </c>
      <c r="H402" s="206">
        <f t="shared" si="202"/>
        <v>0</v>
      </c>
      <c r="I402" s="206">
        <f t="shared" si="202"/>
        <v>0</v>
      </c>
      <c r="J402" s="172">
        <f t="shared" si="202"/>
        <v>0</v>
      </c>
      <c r="K402" s="172">
        <f t="shared" si="202"/>
        <v>0</v>
      </c>
    </row>
    <row r="403" spans="1:11" x14ac:dyDescent="0.2">
      <c r="A403" s="241" t="s">
        <v>602</v>
      </c>
      <c r="B403" s="206">
        <f>IF(SUM(B400:B402)&lt;0,0,-B395*SUM(B400:B402))</f>
        <v>0</v>
      </c>
      <c r="C403" s="206">
        <f t="shared" ref="C403:K403" si="204">IF(SUM(C400:C402)&lt;0,0,-C395*SUM(C400:C402))</f>
        <v>0</v>
      </c>
      <c r="D403" s="206">
        <f t="shared" ref="D403:F403" si="205">IF(SUM(D400:D402)&lt;0,0,-D395*SUM(D400:D402))</f>
        <v>0</v>
      </c>
      <c r="E403" s="206">
        <f t="shared" si="205"/>
        <v>0</v>
      </c>
      <c r="F403" s="206">
        <f t="shared" si="205"/>
        <v>0</v>
      </c>
      <c r="G403" s="206">
        <f t="shared" si="204"/>
        <v>0</v>
      </c>
      <c r="H403" s="206">
        <f t="shared" si="204"/>
        <v>0</v>
      </c>
      <c r="I403" s="206">
        <f t="shared" si="204"/>
        <v>0</v>
      </c>
      <c r="J403" s="172">
        <f t="shared" si="204"/>
        <v>0</v>
      </c>
      <c r="K403" s="172">
        <f t="shared" si="204"/>
        <v>0</v>
      </c>
    </row>
    <row r="404" spans="1:11" x14ac:dyDescent="0.2">
      <c r="A404" s="241"/>
      <c r="B404" s="206"/>
      <c r="C404" s="206"/>
      <c r="D404" s="206"/>
      <c r="E404" s="206"/>
      <c r="F404" s="206"/>
      <c r="G404" s="206"/>
      <c r="H404" s="206"/>
      <c r="I404" s="206"/>
      <c r="J404" s="172"/>
      <c r="K404" s="172"/>
    </row>
    <row r="405" spans="1:11" x14ac:dyDescent="0.2">
      <c r="A405" s="265" t="s">
        <v>603</v>
      </c>
      <c r="B405" s="247">
        <f>SUM(B400:B404)</f>
        <v>0</v>
      </c>
      <c r="C405" s="247">
        <f t="shared" ref="C405:K405" si="206">SUM(C400:C404)</f>
        <v>0</v>
      </c>
      <c r="D405" s="247">
        <f t="shared" ref="D405:F405" si="207">SUM(D400:D404)</f>
        <v>0</v>
      </c>
      <c r="E405" s="247">
        <f t="shared" si="207"/>
        <v>0</v>
      </c>
      <c r="F405" s="247">
        <f t="shared" si="207"/>
        <v>0</v>
      </c>
      <c r="G405" s="247">
        <f t="shared" si="206"/>
        <v>0</v>
      </c>
      <c r="H405" s="247">
        <f t="shared" si="206"/>
        <v>0</v>
      </c>
      <c r="I405" s="247">
        <f t="shared" si="206"/>
        <v>0</v>
      </c>
      <c r="J405" s="248">
        <f t="shared" si="206"/>
        <v>0</v>
      </c>
      <c r="K405" s="248">
        <f t="shared" si="206"/>
        <v>0</v>
      </c>
    </row>
    <row r="406" spans="1:11" x14ac:dyDescent="0.2">
      <c r="A406" s="241"/>
      <c r="B406" s="206"/>
      <c r="C406" s="206"/>
      <c r="D406" s="206"/>
      <c r="E406" s="206"/>
      <c r="F406" s="206"/>
      <c r="G406" s="206"/>
      <c r="H406" s="206"/>
      <c r="I406" s="206"/>
      <c r="J406" s="172"/>
      <c r="K406" s="172"/>
    </row>
    <row r="407" spans="1:11" x14ac:dyDescent="0.2">
      <c r="A407" s="238" t="s">
        <v>604</v>
      </c>
      <c r="B407" s="206">
        <f t="shared" ref="B407:K407" si="208">B161</f>
        <v>0</v>
      </c>
      <c r="C407" s="206">
        <f t="shared" si="208"/>
        <v>0</v>
      </c>
      <c r="D407" s="206">
        <f t="shared" ref="D407:F407" si="209">D161</f>
        <v>0</v>
      </c>
      <c r="E407" s="206">
        <f t="shared" si="209"/>
        <v>0</v>
      </c>
      <c r="F407" s="206">
        <f t="shared" si="209"/>
        <v>0</v>
      </c>
      <c r="G407" s="206">
        <f t="shared" si="208"/>
        <v>0</v>
      </c>
      <c r="H407" s="206">
        <f t="shared" si="208"/>
        <v>0</v>
      </c>
      <c r="I407" s="206">
        <f t="shared" si="208"/>
        <v>0</v>
      </c>
      <c r="J407" s="172">
        <f t="shared" si="208"/>
        <v>0</v>
      </c>
      <c r="K407" s="172">
        <f t="shared" si="208"/>
        <v>0</v>
      </c>
    </row>
    <row r="408" spans="1:11" x14ac:dyDescent="0.2">
      <c r="A408" s="241" t="s">
        <v>605</v>
      </c>
      <c r="B408" s="206">
        <f t="shared" ref="B408:K408" si="210">B163</f>
        <v>0</v>
      </c>
      <c r="C408" s="206">
        <f t="shared" si="210"/>
        <v>0</v>
      </c>
      <c r="D408" s="206">
        <f t="shared" ref="D408:F408" si="211">D163</f>
        <v>0</v>
      </c>
      <c r="E408" s="206">
        <f t="shared" si="211"/>
        <v>0</v>
      </c>
      <c r="F408" s="206">
        <f t="shared" si="211"/>
        <v>0</v>
      </c>
      <c r="G408" s="206">
        <f t="shared" si="210"/>
        <v>0</v>
      </c>
      <c r="H408" s="206">
        <f t="shared" si="210"/>
        <v>0</v>
      </c>
      <c r="I408" s="206">
        <f t="shared" si="210"/>
        <v>0</v>
      </c>
      <c r="J408" s="172">
        <f t="shared" si="210"/>
        <v>0</v>
      </c>
      <c r="K408" s="172">
        <f t="shared" si="210"/>
        <v>0</v>
      </c>
    </row>
    <row r="409" spans="1:11" x14ac:dyDescent="0.2">
      <c r="A409" s="219" t="s">
        <v>337</v>
      </c>
      <c r="B409" s="206" t="s">
        <v>337</v>
      </c>
      <c r="C409" s="206" t="s">
        <v>337</v>
      </c>
      <c r="D409" s="206" t="s">
        <v>337</v>
      </c>
      <c r="E409" s="206" t="s">
        <v>337</v>
      </c>
      <c r="F409" s="206" t="s">
        <v>337</v>
      </c>
      <c r="G409" s="206" t="s">
        <v>337</v>
      </c>
      <c r="H409" s="206" t="s">
        <v>337</v>
      </c>
      <c r="I409" s="206" t="s">
        <v>337</v>
      </c>
      <c r="J409" s="172" t="s">
        <v>337</v>
      </c>
      <c r="K409" s="172" t="s">
        <v>337</v>
      </c>
    </row>
    <row r="410" spans="1:11" x14ac:dyDescent="0.2">
      <c r="A410" s="266" t="s">
        <v>606</v>
      </c>
      <c r="B410" s="222">
        <f t="shared" ref="B410:K410" si="212">SUM(B405:B409)</f>
        <v>0</v>
      </c>
      <c r="C410" s="222">
        <f t="shared" si="212"/>
        <v>0</v>
      </c>
      <c r="D410" s="222">
        <f t="shared" ref="D410:F410" si="213">SUM(D405:D409)</f>
        <v>0</v>
      </c>
      <c r="E410" s="222">
        <f t="shared" si="213"/>
        <v>0</v>
      </c>
      <c r="F410" s="222">
        <f t="shared" si="213"/>
        <v>0</v>
      </c>
      <c r="G410" s="222">
        <f t="shared" si="212"/>
        <v>0</v>
      </c>
      <c r="H410" s="222">
        <f t="shared" si="212"/>
        <v>0</v>
      </c>
      <c r="I410" s="222">
        <f t="shared" si="212"/>
        <v>0</v>
      </c>
      <c r="J410" s="223">
        <f t="shared" si="212"/>
        <v>0</v>
      </c>
      <c r="K410" s="223">
        <f t="shared" si="212"/>
        <v>0</v>
      </c>
    </row>
    <row r="411" spans="1:11" x14ac:dyDescent="0.2">
      <c r="A411" s="219"/>
      <c r="B411" s="206" t="s">
        <v>337</v>
      </c>
      <c r="C411" s="206" t="s">
        <v>337</v>
      </c>
      <c r="D411" s="206" t="s">
        <v>337</v>
      </c>
      <c r="E411" s="206" t="s">
        <v>337</v>
      </c>
      <c r="F411" s="206" t="s">
        <v>337</v>
      </c>
      <c r="G411" s="206" t="s">
        <v>337</v>
      </c>
      <c r="H411" s="206" t="s">
        <v>337</v>
      </c>
      <c r="I411" s="206" t="s">
        <v>337</v>
      </c>
      <c r="J411" s="172" t="s">
        <v>337</v>
      </c>
      <c r="K411" s="172" t="s">
        <v>337</v>
      </c>
    </row>
    <row r="412" spans="1:11" x14ac:dyDescent="0.2">
      <c r="A412" s="219" t="s">
        <v>607</v>
      </c>
      <c r="B412" s="206">
        <f t="shared" ref="B412:K412" si="214">-(B390-B387-B388)-B413</f>
        <v>0</v>
      </c>
      <c r="C412" s="206">
        <f t="shared" si="214"/>
        <v>0</v>
      </c>
      <c r="D412" s="206">
        <f t="shared" ref="D412:F412" si="215">-(D390-D387-D388)-D413</f>
        <v>0</v>
      </c>
      <c r="E412" s="206">
        <f t="shared" si="215"/>
        <v>0</v>
      </c>
      <c r="F412" s="206">
        <f t="shared" si="215"/>
        <v>0</v>
      </c>
      <c r="G412" s="206">
        <f t="shared" si="214"/>
        <v>0</v>
      </c>
      <c r="H412" s="206">
        <f t="shared" si="214"/>
        <v>0</v>
      </c>
      <c r="I412" s="206">
        <f t="shared" si="214"/>
        <v>0</v>
      </c>
      <c r="J412" s="172">
        <f t="shared" si="214"/>
        <v>0</v>
      </c>
      <c r="K412" s="172">
        <f t="shared" si="214"/>
        <v>0</v>
      </c>
    </row>
    <row r="413" spans="1:11" x14ac:dyDescent="0.2">
      <c r="A413" s="241" t="s">
        <v>608</v>
      </c>
      <c r="B413" s="206">
        <f t="shared" ref="B413:K413" si="216">B162</f>
        <v>0</v>
      </c>
      <c r="C413" s="206">
        <f t="shared" si="216"/>
        <v>0</v>
      </c>
      <c r="D413" s="206">
        <f t="shared" ref="D413:F413" si="217">D162</f>
        <v>0</v>
      </c>
      <c r="E413" s="206">
        <f t="shared" si="217"/>
        <v>0</v>
      </c>
      <c r="F413" s="206">
        <f t="shared" si="217"/>
        <v>0</v>
      </c>
      <c r="G413" s="206">
        <f t="shared" si="216"/>
        <v>0</v>
      </c>
      <c r="H413" s="206">
        <f t="shared" si="216"/>
        <v>0</v>
      </c>
      <c r="I413" s="206">
        <f t="shared" si="216"/>
        <v>0</v>
      </c>
      <c r="J413" s="172">
        <f t="shared" si="216"/>
        <v>0</v>
      </c>
      <c r="K413" s="172">
        <f t="shared" si="216"/>
        <v>0</v>
      </c>
    </row>
    <row r="414" spans="1:11" ht="11.25" customHeight="1" x14ac:dyDescent="0.2">
      <c r="A414" s="219" t="s">
        <v>609</v>
      </c>
      <c r="B414" s="206">
        <f t="shared" ref="B414:K414" si="218">-(B370-B363)</f>
        <v>0</v>
      </c>
      <c r="C414" s="206">
        <f t="shared" si="218"/>
        <v>0</v>
      </c>
      <c r="D414" s="206">
        <f t="shared" ref="D414:F414" si="219">-(D370-D363)</f>
        <v>0</v>
      </c>
      <c r="E414" s="206">
        <f t="shared" si="219"/>
        <v>0</v>
      </c>
      <c r="F414" s="206">
        <f t="shared" si="219"/>
        <v>0</v>
      </c>
      <c r="G414" s="206">
        <f t="shared" si="218"/>
        <v>0</v>
      </c>
      <c r="H414" s="206">
        <f t="shared" si="218"/>
        <v>0</v>
      </c>
      <c r="I414" s="206">
        <f t="shared" si="218"/>
        <v>0</v>
      </c>
      <c r="J414" s="172">
        <f t="shared" si="218"/>
        <v>0</v>
      </c>
      <c r="K414" s="172">
        <f t="shared" si="218"/>
        <v>0</v>
      </c>
    </row>
    <row r="415" spans="1:11" x14ac:dyDescent="0.2">
      <c r="A415" s="219"/>
      <c r="B415" s="206"/>
      <c r="C415" s="206"/>
      <c r="D415" s="206"/>
      <c r="E415" s="206"/>
      <c r="F415" s="206"/>
      <c r="G415" s="206"/>
      <c r="H415" s="206"/>
      <c r="I415" s="206"/>
      <c r="J415" s="172"/>
      <c r="K415" s="172"/>
    </row>
    <row r="416" spans="1:11" x14ac:dyDescent="0.2">
      <c r="A416" s="265" t="s">
        <v>610</v>
      </c>
      <c r="B416" s="267">
        <f>SUM(B412:B415)</f>
        <v>0</v>
      </c>
      <c r="C416" s="267">
        <f t="shared" ref="C416:K416" si="220">SUM(C412:C415)</f>
        <v>0</v>
      </c>
      <c r="D416" s="267">
        <f t="shared" ref="D416:F416" si="221">SUM(D412:D415)</f>
        <v>0</v>
      </c>
      <c r="E416" s="267">
        <f t="shared" si="221"/>
        <v>0</v>
      </c>
      <c r="F416" s="267">
        <f t="shared" si="221"/>
        <v>0</v>
      </c>
      <c r="G416" s="267">
        <f t="shared" si="220"/>
        <v>0</v>
      </c>
      <c r="H416" s="267">
        <f t="shared" si="220"/>
        <v>0</v>
      </c>
      <c r="I416" s="267">
        <f t="shared" si="220"/>
        <v>0</v>
      </c>
      <c r="J416" s="268">
        <f t="shared" si="220"/>
        <v>0</v>
      </c>
      <c r="K416" s="268">
        <f t="shared" si="220"/>
        <v>0</v>
      </c>
    </row>
    <row r="417" spans="1:244" x14ac:dyDescent="0.2">
      <c r="A417" s="219"/>
      <c r="B417" s="209"/>
      <c r="C417" s="209"/>
      <c r="D417" s="209"/>
      <c r="E417" s="209"/>
      <c r="F417" s="209"/>
      <c r="G417" s="209"/>
      <c r="H417" s="209"/>
      <c r="I417" s="209"/>
      <c r="J417" s="178"/>
      <c r="K417" s="178"/>
    </row>
    <row r="418" spans="1:244" x14ac:dyDescent="0.2">
      <c r="A418" s="266" t="s">
        <v>611</v>
      </c>
      <c r="B418" s="222">
        <f t="shared" ref="B418:K418" si="222">B410+B416</f>
        <v>0</v>
      </c>
      <c r="C418" s="222">
        <f t="shared" si="222"/>
        <v>0</v>
      </c>
      <c r="D418" s="222">
        <f t="shared" ref="D418:F418" si="223">D410+D416</f>
        <v>0</v>
      </c>
      <c r="E418" s="222">
        <f t="shared" si="223"/>
        <v>0</v>
      </c>
      <c r="F418" s="222">
        <f t="shared" si="223"/>
        <v>0</v>
      </c>
      <c r="G418" s="222">
        <f t="shared" si="222"/>
        <v>0</v>
      </c>
      <c r="H418" s="222">
        <f t="shared" si="222"/>
        <v>0</v>
      </c>
      <c r="I418" s="222">
        <f t="shared" si="222"/>
        <v>0</v>
      </c>
      <c r="J418" s="223">
        <f t="shared" si="222"/>
        <v>0</v>
      </c>
      <c r="K418" s="223">
        <f t="shared" si="222"/>
        <v>0</v>
      </c>
    </row>
    <row r="419" spans="1:244" x14ac:dyDescent="0.2">
      <c r="A419" s="219"/>
      <c r="B419" s="209"/>
      <c r="C419" s="209"/>
      <c r="D419" s="209"/>
      <c r="E419" s="209"/>
      <c r="F419" s="209"/>
      <c r="G419" s="209"/>
      <c r="H419" s="209"/>
      <c r="I419" s="209"/>
      <c r="J419" s="178"/>
      <c r="K419" s="178"/>
    </row>
    <row r="420" spans="1:244" ht="11.25" customHeight="1" x14ac:dyDescent="0.2">
      <c r="A420" s="241" t="s">
        <v>612</v>
      </c>
      <c r="B420" s="209">
        <f t="shared" ref="B420:K420" si="224">-B175-B284</f>
        <v>0</v>
      </c>
      <c r="C420" s="209">
        <f t="shared" si="224"/>
        <v>0</v>
      </c>
      <c r="D420" s="209">
        <f t="shared" ref="D420:F420" si="225">-D175-D284</f>
        <v>0</v>
      </c>
      <c r="E420" s="209">
        <f t="shared" si="225"/>
        <v>0</v>
      </c>
      <c r="F420" s="209">
        <f t="shared" si="225"/>
        <v>0</v>
      </c>
      <c r="G420" s="209">
        <f t="shared" si="224"/>
        <v>0</v>
      </c>
      <c r="H420" s="209">
        <f t="shared" si="224"/>
        <v>0</v>
      </c>
      <c r="I420" s="209">
        <f t="shared" si="224"/>
        <v>0</v>
      </c>
      <c r="J420" s="178">
        <f t="shared" si="224"/>
        <v>0</v>
      </c>
      <c r="K420" s="178">
        <f t="shared" si="224"/>
        <v>0</v>
      </c>
    </row>
    <row r="421" spans="1:244" ht="11.25" customHeight="1" x14ac:dyDescent="0.2">
      <c r="A421" s="241" t="s">
        <v>613</v>
      </c>
      <c r="B421" s="209">
        <f t="shared" ref="B421:K421" si="226">B282</f>
        <v>0</v>
      </c>
      <c r="C421" s="209">
        <f t="shared" si="226"/>
        <v>0</v>
      </c>
      <c r="D421" s="209">
        <f t="shared" ref="D421:F421" si="227">D282</f>
        <v>0</v>
      </c>
      <c r="E421" s="209">
        <f t="shared" si="227"/>
        <v>0</v>
      </c>
      <c r="F421" s="209">
        <f t="shared" si="227"/>
        <v>0</v>
      </c>
      <c r="G421" s="209">
        <f t="shared" si="226"/>
        <v>0</v>
      </c>
      <c r="H421" s="209">
        <f t="shared" si="226"/>
        <v>0</v>
      </c>
      <c r="I421" s="209">
        <f t="shared" si="226"/>
        <v>0</v>
      </c>
      <c r="J421" s="178">
        <f t="shared" si="226"/>
        <v>0</v>
      </c>
      <c r="K421" s="178">
        <f t="shared" si="226"/>
        <v>0</v>
      </c>
    </row>
    <row r="422" spans="1:244" ht="11.25" customHeight="1" x14ac:dyDescent="0.2">
      <c r="A422" s="238" t="s">
        <v>614</v>
      </c>
      <c r="B422" s="209">
        <f t="shared" ref="B422:K422" si="228">B170+B171</f>
        <v>0</v>
      </c>
      <c r="C422" s="209">
        <f t="shared" si="228"/>
        <v>0</v>
      </c>
      <c r="D422" s="209">
        <f t="shared" ref="D422:F422" si="229">D170+D171</f>
        <v>0</v>
      </c>
      <c r="E422" s="209">
        <f t="shared" si="229"/>
        <v>0</v>
      </c>
      <c r="F422" s="209">
        <f t="shared" si="229"/>
        <v>0</v>
      </c>
      <c r="G422" s="209">
        <f t="shared" si="228"/>
        <v>0</v>
      </c>
      <c r="H422" s="209">
        <f t="shared" si="228"/>
        <v>0</v>
      </c>
      <c r="I422" s="209">
        <f t="shared" si="228"/>
        <v>0</v>
      </c>
      <c r="J422" s="178">
        <f t="shared" si="228"/>
        <v>0</v>
      </c>
      <c r="K422" s="178">
        <f t="shared" si="228"/>
        <v>0</v>
      </c>
    </row>
    <row r="423" spans="1:244" ht="11.25" customHeight="1" x14ac:dyDescent="0.2">
      <c r="A423" s="238" t="s">
        <v>615</v>
      </c>
      <c r="B423" s="209">
        <f t="shared" ref="B423:K423" si="230">-B176</f>
        <v>0</v>
      </c>
      <c r="C423" s="209">
        <f t="shared" si="230"/>
        <v>0</v>
      </c>
      <c r="D423" s="209">
        <f t="shared" ref="D423:F423" si="231">-D176</f>
        <v>0</v>
      </c>
      <c r="E423" s="209">
        <f t="shared" si="231"/>
        <v>0</v>
      </c>
      <c r="F423" s="209">
        <f t="shared" si="231"/>
        <v>0</v>
      </c>
      <c r="G423" s="209">
        <f t="shared" si="230"/>
        <v>0</v>
      </c>
      <c r="H423" s="209">
        <f t="shared" si="230"/>
        <v>0</v>
      </c>
      <c r="I423" s="209">
        <f t="shared" si="230"/>
        <v>0</v>
      </c>
      <c r="J423" s="178">
        <f t="shared" si="230"/>
        <v>0</v>
      </c>
      <c r="K423" s="178">
        <f t="shared" si="230"/>
        <v>0</v>
      </c>
      <c r="L423" s="227"/>
      <c r="M423" s="269"/>
    </row>
    <row r="424" spans="1:244" ht="11.25" customHeight="1" x14ac:dyDescent="0.2">
      <c r="A424" s="238" t="s">
        <v>616</v>
      </c>
      <c r="B424" s="209">
        <f t="shared" ref="B424:K424" si="232">B278</f>
        <v>0</v>
      </c>
      <c r="C424" s="209">
        <f t="shared" si="232"/>
        <v>0</v>
      </c>
      <c r="D424" s="209">
        <f t="shared" ref="D424:F424" si="233">D278</f>
        <v>0</v>
      </c>
      <c r="E424" s="209">
        <f t="shared" si="233"/>
        <v>0</v>
      </c>
      <c r="F424" s="209">
        <f t="shared" si="233"/>
        <v>0</v>
      </c>
      <c r="G424" s="209">
        <f t="shared" si="232"/>
        <v>0</v>
      </c>
      <c r="H424" s="209">
        <f t="shared" si="232"/>
        <v>0</v>
      </c>
      <c r="I424" s="209">
        <f t="shared" si="232"/>
        <v>0</v>
      </c>
      <c r="J424" s="178">
        <f t="shared" si="232"/>
        <v>0</v>
      </c>
      <c r="K424" s="178">
        <f t="shared" si="232"/>
        <v>0</v>
      </c>
    </row>
    <row r="425" spans="1:244" ht="11.25" customHeight="1" x14ac:dyDescent="0.2">
      <c r="A425" s="241" t="s">
        <v>617</v>
      </c>
      <c r="B425" s="209">
        <f>-B395*SUM(B420:B424)</f>
        <v>0</v>
      </c>
      <c r="C425" s="209">
        <f t="shared" ref="C425:K425" si="234">-C395*SUM(C420:C424)</f>
        <v>0</v>
      </c>
      <c r="D425" s="209">
        <f t="shared" ref="D425:F425" si="235">-D395*SUM(D420:D424)</f>
        <v>0</v>
      </c>
      <c r="E425" s="209">
        <f t="shared" si="235"/>
        <v>0</v>
      </c>
      <c r="F425" s="209">
        <f t="shared" si="235"/>
        <v>0</v>
      </c>
      <c r="G425" s="209">
        <f t="shared" si="234"/>
        <v>0</v>
      </c>
      <c r="H425" s="209">
        <f t="shared" si="234"/>
        <v>0</v>
      </c>
      <c r="I425" s="209">
        <f t="shared" si="234"/>
        <v>0</v>
      </c>
      <c r="J425" s="178">
        <f t="shared" si="234"/>
        <v>0</v>
      </c>
      <c r="K425" s="178">
        <f t="shared" si="234"/>
        <v>0</v>
      </c>
    </row>
    <row r="426" spans="1:244" x14ac:dyDescent="0.2">
      <c r="A426" s="219"/>
      <c r="B426" s="209"/>
      <c r="C426" s="209"/>
      <c r="D426" s="209"/>
      <c r="E426" s="209"/>
      <c r="F426" s="209"/>
      <c r="G426" s="209"/>
      <c r="H426" s="209"/>
      <c r="I426" s="209"/>
      <c r="J426" s="178"/>
      <c r="K426" s="178"/>
    </row>
    <row r="427" spans="1:244" x14ac:dyDescent="0.2">
      <c r="A427" s="265" t="s">
        <v>618</v>
      </c>
      <c r="B427" s="267">
        <f t="shared" ref="B427:K427" si="236">SUM(B420:B426)</f>
        <v>0</v>
      </c>
      <c r="C427" s="267">
        <f t="shared" si="236"/>
        <v>0</v>
      </c>
      <c r="D427" s="267">
        <f t="shared" ref="D427:F427" si="237">SUM(D420:D426)</f>
        <v>0</v>
      </c>
      <c r="E427" s="267">
        <f t="shared" si="237"/>
        <v>0</v>
      </c>
      <c r="F427" s="267">
        <f t="shared" si="237"/>
        <v>0</v>
      </c>
      <c r="G427" s="267">
        <f t="shared" si="236"/>
        <v>0</v>
      </c>
      <c r="H427" s="267">
        <f t="shared" si="236"/>
        <v>0</v>
      </c>
      <c r="I427" s="267">
        <f t="shared" si="236"/>
        <v>0</v>
      </c>
      <c r="J427" s="268">
        <f t="shared" si="236"/>
        <v>0</v>
      </c>
      <c r="K427" s="268">
        <f t="shared" si="236"/>
        <v>0</v>
      </c>
    </row>
    <row r="428" spans="1:244" x14ac:dyDescent="0.2">
      <c r="A428" s="219"/>
      <c r="B428" s="209"/>
      <c r="C428" s="209"/>
      <c r="D428" s="209"/>
      <c r="E428" s="209"/>
      <c r="F428" s="209"/>
      <c r="G428" s="209"/>
      <c r="H428" s="209"/>
      <c r="I428" s="209"/>
      <c r="J428" s="178"/>
      <c r="K428" s="178"/>
      <c r="L428" s="155"/>
      <c r="M428" s="155"/>
      <c r="N428" s="155"/>
      <c r="O428" s="155"/>
      <c r="P428" s="155"/>
      <c r="Q428" s="155"/>
      <c r="R428" s="155"/>
      <c r="S428" s="155"/>
      <c r="T428" s="155"/>
      <c r="U428" s="155"/>
      <c r="V428" s="155"/>
      <c r="W428" s="155"/>
      <c r="X428" s="155"/>
      <c r="Y428" s="155"/>
      <c r="Z428" s="155"/>
      <c r="AA428" s="155"/>
      <c r="AB428" s="155"/>
      <c r="AC428" s="155"/>
      <c r="AD428" s="155"/>
      <c r="AE428" s="155"/>
      <c r="AF428" s="155"/>
      <c r="AG428" s="155"/>
      <c r="AH428" s="155"/>
      <c r="AI428" s="155"/>
      <c r="AJ428" s="155"/>
      <c r="AK428" s="155"/>
      <c r="AL428" s="155"/>
      <c r="AM428" s="155"/>
      <c r="AN428" s="155"/>
      <c r="AO428" s="155"/>
      <c r="AP428" s="155"/>
      <c r="AQ428" s="155"/>
      <c r="AR428" s="155"/>
      <c r="AS428" s="155"/>
      <c r="AT428" s="155"/>
      <c r="AU428" s="155"/>
      <c r="AV428" s="155"/>
      <c r="AW428" s="155"/>
      <c r="AX428" s="155"/>
      <c r="AY428" s="155"/>
      <c r="AZ428" s="155"/>
      <c r="BA428" s="155"/>
      <c r="BB428" s="155"/>
      <c r="BC428" s="155"/>
      <c r="BD428" s="155"/>
      <c r="BE428" s="155"/>
      <c r="BF428" s="155"/>
      <c r="BG428" s="155"/>
      <c r="BH428" s="155"/>
      <c r="BI428" s="155"/>
      <c r="BJ428" s="155"/>
      <c r="BK428" s="155"/>
      <c r="BL428" s="155"/>
      <c r="BM428" s="155"/>
      <c r="BN428" s="155"/>
      <c r="BO428" s="155"/>
      <c r="BP428" s="155"/>
      <c r="BQ428" s="155"/>
      <c r="BR428" s="155"/>
      <c r="BS428" s="155"/>
      <c r="BT428" s="155"/>
      <c r="BU428" s="155"/>
      <c r="BV428" s="155"/>
      <c r="BW428" s="155"/>
      <c r="BX428" s="155"/>
      <c r="BY428" s="155"/>
      <c r="BZ428" s="155"/>
      <c r="CA428" s="155"/>
      <c r="CB428" s="155"/>
      <c r="CC428" s="155"/>
      <c r="CD428" s="155"/>
      <c r="CE428" s="155"/>
      <c r="CF428" s="155"/>
      <c r="CG428" s="155"/>
      <c r="CH428" s="155"/>
      <c r="CI428" s="155"/>
      <c r="CJ428" s="155"/>
      <c r="CK428" s="155"/>
      <c r="CL428" s="155"/>
      <c r="CM428" s="155"/>
      <c r="CN428" s="155"/>
      <c r="CO428" s="155"/>
      <c r="CP428" s="155"/>
      <c r="CQ428" s="155"/>
      <c r="CR428" s="155"/>
      <c r="CS428" s="155"/>
      <c r="CT428" s="155"/>
      <c r="CU428" s="155"/>
      <c r="CV428" s="155"/>
      <c r="CW428" s="155"/>
      <c r="CX428" s="155"/>
      <c r="CY428" s="155"/>
      <c r="CZ428" s="155"/>
      <c r="DA428" s="155"/>
      <c r="DB428" s="155"/>
      <c r="DC428" s="155"/>
      <c r="DD428" s="155"/>
      <c r="DE428" s="155"/>
      <c r="DF428" s="155"/>
      <c r="DG428" s="155"/>
      <c r="DH428" s="155"/>
      <c r="DI428" s="155"/>
      <c r="DJ428" s="155"/>
      <c r="DK428" s="155"/>
      <c r="DL428" s="155"/>
      <c r="DM428" s="155"/>
      <c r="DN428" s="155"/>
      <c r="DO428" s="155"/>
      <c r="DP428" s="155"/>
      <c r="DQ428" s="155"/>
      <c r="DR428" s="155"/>
      <c r="DS428" s="155"/>
      <c r="DT428" s="155"/>
      <c r="DU428" s="155"/>
      <c r="DV428" s="155"/>
      <c r="DW428" s="155"/>
      <c r="DX428" s="155"/>
      <c r="DY428" s="155"/>
      <c r="DZ428" s="155"/>
      <c r="EA428" s="155"/>
      <c r="EB428" s="155"/>
      <c r="EC428" s="155"/>
      <c r="ED428" s="155"/>
      <c r="EE428" s="155"/>
      <c r="EF428" s="155"/>
      <c r="EG428" s="155"/>
      <c r="EH428" s="155"/>
      <c r="EI428" s="155"/>
      <c r="EJ428" s="155"/>
      <c r="EK428" s="155"/>
      <c r="EL428" s="155"/>
      <c r="EM428" s="155"/>
      <c r="EN428" s="155"/>
      <c r="EO428" s="155"/>
      <c r="EP428" s="155"/>
      <c r="EQ428" s="155"/>
      <c r="ER428" s="155"/>
      <c r="ES428" s="155"/>
      <c r="ET428" s="155"/>
      <c r="EU428" s="155"/>
      <c r="EV428" s="155"/>
      <c r="EW428" s="155"/>
      <c r="EX428" s="155"/>
      <c r="EY428" s="155"/>
      <c r="EZ428" s="155"/>
      <c r="FA428" s="155"/>
      <c r="FB428" s="155"/>
      <c r="FC428" s="155"/>
      <c r="FD428" s="155"/>
      <c r="FE428" s="155"/>
      <c r="FF428" s="155"/>
      <c r="FG428" s="155"/>
      <c r="FH428" s="155"/>
      <c r="FI428" s="155"/>
      <c r="FJ428" s="155"/>
      <c r="FK428" s="155"/>
      <c r="FL428" s="155"/>
      <c r="FM428" s="155"/>
      <c r="FN428" s="155"/>
      <c r="FO428" s="155"/>
      <c r="FP428" s="155"/>
      <c r="FQ428" s="155"/>
      <c r="FR428" s="155"/>
      <c r="FS428" s="155"/>
      <c r="FT428" s="155"/>
      <c r="FU428" s="155"/>
      <c r="FV428" s="155"/>
      <c r="FW428" s="155"/>
      <c r="FX428" s="155"/>
      <c r="FY428" s="155"/>
      <c r="FZ428" s="155"/>
      <c r="GA428" s="155"/>
      <c r="GB428" s="155"/>
      <c r="GC428" s="155"/>
      <c r="GD428" s="155"/>
      <c r="GE428" s="155"/>
      <c r="GF428" s="155"/>
      <c r="GG428" s="155"/>
      <c r="GH428" s="155"/>
      <c r="GI428" s="155"/>
      <c r="GJ428" s="155"/>
      <c r="GK428" s="155"/>
      <c r="GL428" s="155"/>
      <c r="GM428" s="155"/>
      <c r="GN428" s="155"/>
      <c r="GO428" s="155"/>
      <c r="GP428" s="155"/>
      <c r="GQ428" s="155"/>
      <c r="GR428" s="155"/>
      <c r="GS428" s="155"/>
      <c r="GT428" s="155"/>
      <c r="GU428" s="155"/>
      <c r="GV428" s="155"/>
      <c r="GW428" s="155"/>
      <c r="GX428" s="155"/>
      <c r="GY428" s="155"/>
      <c r="GZ428" s="155"/>
      <c r="HA428" s="155"/>
      <c r="HB428" s="155"/>
      <c r="HC428" s="155"/>
      <c r="HD428" s="155"/>
      <c r="HE428" s="155"/>
      <c r="HF428" s="155"/>
      <c r="HG428" s="155"/>
      <c r="HH428" s="155"/>
      <c r="HI428" s="155"/>
      <c r="HJ428" s="155"/>
      <c r="HK428" s="155"/>
      <c r="HL428" s="155"/>
      <c r="HM428" s="155"/>
      <c r="HN428" s="155"/>
      <c r="HO428" s="155"/>
      <c r="HP428" s="155"/>
      <c r="HQ428" s="155"/>
      <c r="HR428" s="155"/>
      <c r="HS428" s="155"/>
      <c r="HT428" s="155"/>
      <c r="HU428" s="155"/>
      <c r="HV428" s="155"/>
      <c r="HW428" s="155"/>
      <c r="HX428" s="155"/>
      <c r="HY428" s="155"/>
      <c r="HZ428" s="155"/>
      <c r="IA428" s="155"/>
      <c r="IB428" s="155"/>
      <c r="IC428" s="155"/>
      <c r="ID428" s="155"/>
      <c r="IE428" s="155"/>
      <c r="IF428" s="155"/>
      <c r="IG428" s="155"/>
      <c r="IH428" s="155"/>
      <c r="II428" s="155"/>
      <c r="IJ428" s="155"/>
    </row>
    <row r="429" spans="1:244" x14ac:dyDescent="0.2">
      <c r="A429" s="242" t="s">
        <v>619</v>
      </c>
      <c r="B429" s="222">
        <f t="shared" ref="B429:K429" si="238">B418+B427</f>
        <v>0</v>
      </c>
      <c r="C429" s="222">
        <f t="shared" si="238"/>
        <v>0</v>
      </c>
      <c r="D429" s="222">
        <f t="shared" ref="D429:F429" si="239">D418+D427</f>
        <v>0</v>
      </c>
      <c r="E429" s="222">
        <f t="shared" si="239"/>
        <v>0</v>
      </c>
      <c r="F429" s="222">
        <f t="shared" si="239"/>
        <v>0</v>
      </c>
      <c r="G429" s="222">
        <f t="shared" si="238"/>
        <v>0</v>
      </c>
      <c r="H429" s="222">
        <f t="shared" si="238"/>
        <v>0</v>
      </c>
      <c r="I429" s="222">
        <f t="shared" si="238"/>
        <v>0</v>
      </c>
      <c r="J429" s="223">
        <f t="shared" si="238"/>
        <v>0</v>
      </c>
      <c r="K429" s="223">
        <f t="shared" si="238"/>
        <v>0</v>
      </c>
    </row>
    <row r="430" spans="1:244" x14ac:dyDescent="0.2">
      <c r="A430" s="270"/>
      <c r="B430" s="209"/>
      <c r="C430" s="209"/>
      <c r="D430" s="209"/>
      <c r="E430" s="209"/>
      <c r="F430" s="209"/>
      <c r="G430" s="209"/>
      <c r="H430" s="209"/>
      <c r="I430" s="209"/>
      <c r="J430" s="178"/>
      <c r="K430" s="178"/>
    </row>
    <row r="431" spans="1:244" x14ac:dyDescent="0.2">
      <c r="A431" s="271" t="s">
        <v>620</v>
      </c>
      <c r="B431" s="209">
        <f t="shared" ref="B431:K431" si="240">B185+B186</f>
        <v>0</v>
      </c>
      <c r="C431" s="209">
        <f t="shared" si="240"/>
        <v>0</v>
      </c>
      <c r="D431" s="209">
        <f t="shared" ref="D431:F431" si="241">D185+D186</f>
        <v>0</v>
      </c>
      <c r="E431" s="209">
        <f t="shared" si="241"/>
        <v>0</v>
      </c>
      <c r="F431" s="209">
        <f t="shared" si="241"/>
        <v>0</v>
      </c>
      <c r="G431" s="209">
        <f t="shared" si="240"/>
        <v>0</v>
      </c>
      <c r="H431" s="209">
        <f t="shared" si="240"/>
        <v>0</v>
      </c>
      <c r="I431" s="209">
        <f t="shared" si="240"/>
        <v>0</v>
      </c>
      <c r="J431" s="178">
        <f t="shared" si="240"/>
        <v>0</v>
      </c>
      <c r="K431" s="178">
        <f t="shared" si="240"/>
        <v>0</v>
      </c>
    </row>
    <row r="432" spans="1:244" x14ac:dyDescent="0.2">
      <c r="A432" s="272" t="s">
        <v>621</v>
      </c>
      <c r="B432" s="209">
        <f t="shared" ref="B432:K432" si="242">-B192-B193-B194</f>
        <v>0</v>
      </c>
      <c r="C432" s="209">
        <f t="shared" si="242"/>
        <v>0</v>
      </c>
      <c r="D432" s="209">
        <f t="shared" ref="D432:F432" si="243">-D192-D193-D194</f>
        <v>0</v>
      </c>
      <c r="E432" s="209">
        <f t="shared" si="243"/>
        <v>0</v>
      </c>
      <c r="F432" s="209">
        <f t="shared" si="243"/>
        <v>0</v>
      </c>
      <c r="G432" s="209">
        <f t="shared" si="242"/>
        <v>0</v>
      </c>
      <c r="H432" s="209">
        <f t="shared" si="242"/>
        <v>0</v>
      </c>
      <c r="I432" s="209">
        <f t="shared" si="242"/>
        <v>0</v>
      </c>
      <c r="J432" s="178">
        <f t="shared" si="242"/>
        <v>0</v>
      </c>
      <c r="K432" s="178">
        <f t="shared" si="242"/>
        <v>0</v>
      </c>
    </row>
    <row r="433" spans="1:11" x14ac:dyDescent="0.2">
      <c r="A433" s="270" t="s">
        <v>622</v>
      </c>
      <c r="B433" s="209">
        <f t="shared" ref="B433:K433" si="244">-B403-B425</f>
        <v>0</v>
      </c>
      <c r="C433" s="209">
        <f t="shared" si="244"/>
        <v>0</v>
      </c>
      <c r="D433" s="209">
        <f t="shared" ref="D433:F433" si="245">-D403-D425</f>
        <v>0</v>
      </c>
      <c r="E433" s="209">
        <f t="shared" si="245"/>
        <v>0</v>
      </c>
      <c r="F433" s="209">
        <f t="shared" si="245"/>
        <v>0</v>
      </c>
      <c r="G433" s="209">
        <f t="shared" si="244"/>
        <v>0</v>
      </c>
      <c r="H433" s="209">
        <f t="shared" si="244"/>
        <v>0</v>
      </c>
      <c r="I433" s="209">
        <f t="shared" si="244"/>
        <v>0</v>
      </c>
      <c r="J433" s="178">
        <f t="shared" si="244"/>
        <v>0</v>
      </c>
      <c r="K433" s="178">
        <f t="shared" si="244"/>
        <v>0</v>
      </c>
    </row>
    <row r="434" spans="1:11" x14ac:dyDescent="0.2">
      <c r="A434" s="238" t="s">
        <v>623</v>
      </c>
      <c r="B434" s="209">
        <f t="shared" ref="B434:K434" si="246">B207</f>
        <v>0</v>
      </c>
      <c r="C434" s="209">
        <f t="shared" si="246"/>
        <v>0</v>
      </c>
      <c r="D434" s="209">
        <f t="shared" ref="D434:F434" si="247">D207</f>
        <v>0</v>
      </c>
      <c r="E434" s="209">
        <f t="shared" si="247"/>
        <v>0</v>
      </c>
      <c r="F434" s="209">
        <f t="shared" si="247"/>
        <v>0</v>
      </c>
      <c r="G434" s="209">
        <f t="shared" si="246"/>
        <v>0</v>
      </c>
      <c r="H434" s="209">
        <f t="shared" si="246"/>
        <v>0</v>
      </c>
      <c r="I434" s="209">
        <f t="shared" si="246"/>
        <v>0</v>
      </c>
      <c r="J434" s="178">
        <f t="shared" si="246"/>
        <v>0</v>
      </c>
      <c r="K434" s="178">
        <f t="shared" si="246"/>
        <v>0</v>
      </c>
    </row>
    <row r="435" spans="1:11" x14ac:dyDescent="0.2">
      <c r="A435" s="270"/>
      <c r="B435" s="209"/>
      <c r="C435" s="209"/>
      <c r="D435" s="209"/>
      <c r="E435" s="209"/>
      <c r="F435" s="209"/>
      <c r="G435" s="209"/>
      <c r="H435" s="209"/>
      <c r="I435" s="209"/>
      <c r="J435" s="178"/>
      <c r="K435" s="178"/>
    </row>
    <row r="436" spans="1:11" x14ac:dyDescent="0.2">
      <c r="A436" s="273" t="s">
        <v>624</v>
      </c>
      <c r="B436" s="267">
        <f>SUM(B431:B435)</f>
        <v>0</v>
      </c>
      <c r="C436" s="267">
        <f t="shared" ref="C436:K436" si="248">SUM(C431:C435)</f>
        <v>0</v>
      </c>
      <c r="D436" s="267">
        <f t="shared" ref="D436:F436" si="249">SUM(D431:D435)</f>
        <v>0</v>
      </c>
      <c r="E436" s="267">
        <f t="shared" si="249"/>
        <v>0</v>
      </c>
      <c r="F436" s="267">
        <f t="shared" si="249"/>
        <v>0</v>
      </c>
      <c r="G436" s="267">
        <f t="shared" si="248"/>
        <v>0</v>
      </c>
      <c r="H436" s="267">
        <f t="shared" si="248"/>
        <v>0</v>
      </c>
      <c r="I436" s="267">
        <f t="shared" si="248"/>
        <v>0</v>
      </c>
      <c r="J436" s="268">
        <f t="shared" si="248"/>
        <v>0</v>
      </c>
      <c r="K436" s="268">
        <f t="shared" si="248"/>
        <v>0</v>
      </c>
    </row>
    <row r="437" spans="1:11" x14ac:dyDescent="0.2">
      <c r="A437" s="219"/>
      <c r="B437" s="209"/>
      <c r="C437" s="209"/>
      <c r="D437" s="209"/>
      <c r="E437" s="209"/>
      <c r="F437" s="209"/>
      <c r="G437" s="209"/>
      <c r="H437" s="209"/>
      <c r="I437" s="209"/>
      <c r="J437" s="178"/>
      <c r="K437" s="178"/>
    </row>
    <row r="438" spans="1:11" x14ac:dyDescent="0.2">
      <c r="A438" s="242" t="s">
        <v>625</v>
      </c>
      <c r="B438" s="222">
        <f t="shared" ref="B438:K438" si="250">B429+B436</f>
        <v>0</v>
      </c>
      <c r="C438" s="222">
        <f t="shared" si="250"/>
        <v>0</v>
      </c>
      <c r="D438" s="222">
        <f t="shared" ref="D438:F438" si="251">D429+D436</f>
        <v>0</v>
      </c>
      <c r="E438" s="222">
        <f t="shared" si="251"/>
        <v>0</v>
      </c>
      <c r="F438" s="222">
        <f t="shared" si="251"/>
        <v>0</v>
      </c>
      <c r="G438" s="222">
        <f t="shared" si="250"/>
        <v>0</v>
      </c>
      <c r="H438" s="222">
        <f t="shared" si="250"/>
        <v>0</v>
      </c>
      <c r="I438" s="222">
        <f t="shared" si="250"/>
        <v>0</v>
      </c>
      <c r="J438" s="223">
        <f t="shared" si="250"/>
        <v>0</v>
      </c>
      <c r="K438" s="223">
        <f t="shared" si="250"/>
        <v>0</v>
      </c>
    </row>
    <row r="439" spans="1:11" ht="13.2" x14ac:dyDescent="0.25">
      <c r="A439" s="141"/>
      <c r="B439" s="215"/>
      <c r="C439" s="215"/>
      <c r="D439" s="215"/>
      <c r="E439" s="215"/>
      <c r="F439" s="215"/>
      <c r="G439" s="215"/>
      <c r="H439" s="215"/>
      <c r="I439" s="215"/>
      <c r="J439" s="215"/>
      <c r="K439" s="215"/>
    </row>
    <row r="440" spans="1:11" ht="13.8" x14ac:dyDescent="0.3">
      <c r="A440" s="274" t="s">
        <v>626</v>
      </c>
      <c r="B440" s="275"/>
      <c r="C440" s="275"/>
      <c r="D440" s="275"/>
      <c r="E440" s="275"/>
      <c r="F440" s="275"/>
      <c r="G440" s="275"/>
      <c r="H440" s="275"/>
      <c r="I440" s="275"/>
      <c r="J440" s="275"/>
      <c r="K440" s="275"/>
    </row>
    <row r="441" spans="1:11" ht="12.6" x14ac:dyDescent="0.25">
      <c r="A441" s="184"/>
      <c r="B441" s="275"/>
      <c r="C441" s="275"/>
      <c r="D441" s="275"/>
      <c r="E441" s="275"/>
      <c r="F441" s="275"/>
      <c r="G441" s="275"/>
      <c r="H441" s="275"/>
      <c r="I441" s="275"/>
      <c r="J441" s="275"/>
      <c r="K441" s="275"/>
    </row>
    <row r="442" spans="1:11" x14ac:dyDescent="0.2">
      <c r="A442" s="219" t="s">
        <v>337</v>
      </c>
      <c r="B442" s="276"/>
      <c r="C442" s="276"/>
      <c r="D442" s="276"/>
      <c r="E442" s="276"/>
      <c r="F442" s="276"/>
      <c r="G442" s="276"/>
      <c r="H442" s="276"/>
      <c r="I442" s="276"/>
      <c r="J442" s="277"/>
      <c r="K442" s="277"/>
    </row>
    <row r="443" spans="1:11" x14ac:dyDescent="0.2">
      <c r="A443" s="219" t="s">
        <v>627</v>
      </c>
      <c r="B443" s="252">
        <v>0</v>
      </c>
      <c r="C443" s="206">
        <v>0</v>
      </c>
      <c r="D443" s="206">
        <v>0</v>
      </c>
      <c r="E443" s="206">
        <v>0</v>
      </c>
      <c r="F443" s="206">
        <v>0</v>
      </c>
      <c r="G443" s="206">
        <v>0</v>
      </c>
      <c r="H443" s="206">
        <v>0</v>
      </c>
      <c r="I443" s="206">
        <v>0</v>
      </c>
      <c r="J443" s="172">
        <v>0</v>
      </c>
      <c r="K443" s="172">
        <v>0</v>
      </c>
    </row>
    <row r="444" spans="1:11" x14ac:dyDescent="0.2">
      <c r="A444" s="219" t="s">
        <v>628</v>
      </c>
      <c r="B444" s="252">
        <v>0</v>
      </c>
      <c r="C444" s="206">
        <v>0</v>
      </c>
      <c r="D444" s="206">
        <v>0</v>
      </c>
      <c r="E444" s="206">
        <v>0</v>
      </c>
      <c r="F444" s="206">
        <v>0</v>
      </c>
      <c r="G444" s="206">
        <v>0</v>
      </c>
      <c r="H444" s="206">
        <v>0</v>
      </c>
      <c r="I444" s="206">
        <v>0</v>
      </c>
      <c r="J444" s="172">
        <v>0</v>
      </c>
      <c r="K444" s="172">
        <v>0</v>
      </c>
    </row>
    <row r="445" spans="1:11" x14ac:dyDescent="0.2">
      <c r="A445" s="219" t="s">
        <v>629</v>
      </c>
      <c r="B445" s="252">
        <v>0</v>
      </c>
      <c r="C445" s="206">
        <v>0</v>
      </c>
      <c r="D445" s="206">
        <v>0</v>
      </c>
      <c r="E445" s="206">
        <v>0</v>
      </c>
      <c r="F445" s="206">
        <v>0</v>
      </c>
      <c r="G445" s="206">
        <v>0</v>
      </c>
      <c r="H445" s="206">
        <v>0</v>
      </c>
      <c r="I445" s="206">
        <v>0</v>
      </c>
      <c r="J445" s="172">
        <v>0</v>
      </c>
      <c r="K445" s="172">
        <v>0</v>
      </c>
    </row>
    <row r="446" spans="1:11" x14ac:dyDescent="0.2">
      <c r="A446" s="219" t="s">
        <v>630</v>
      </c>
      <c r="B446" s="252">
        <v>0</v>
      </c>
      <c r="C446" s="206">
        <v>0</v>
      </c>
      <c r="D446" s="206">
        <v>0</v>
      </c>
      <c r="E446" s="206">
        <v>0</v>
      </c>
      <c r="F446" s="206">
        <v>0</v>
      </c>
      <c r="G446" s="206">
        <v>0</v>
      </c>
      <c r="H446" s="206">
        <v>0</v>
      </c>
      <c r="I446" s="206">
        <v>0</v>
      </c>
      <c r="J446" s="172">
        <v>0</v>
      </c>
      <c r="K446" s="172">
        <v>0</v>
      </c>
    </row>
    <row r="447" spans="1:11" x14ac:dyDescent="0.2">
      <c r="A447" s="219" t="s">
        <v>631</v>
      </c>
      <c r="B447" s="252">
        <f t="shared" ref="B447:K447" si="252">B357+B358</f>
        <v>0</v>
      </c>
      <c r="C447" s="206">
        <f t="shared" si="252"/>
        <v>0</v>
      </c>
      <c r="D447" s="206">
        <f t="shared" ref="D447:F447" si="253">D357+D358</f>
        <v>0</v>
      </c>
      <c r="E447" s="206">
        <f t="shared" si="253"/>
        <v>0</v>
      </c>
      <c r="F447" s="206">
        <f t="shared" si="253"/>
        <v>0</v>
      </c>
      <c r="G447" s="206">
        <f t="shared" si="252"/>
        <v>0</v>
      </c>
      <c r="H447" s="206">
        <f t="shared" si="252"/>
        <v>0</v>
      </c>
      <c r="I447" s="206">
        <f t="shared" si="252"/>
        <v>0</v>
      </c>
      <c r="J447" s="172">
        <f t="shared" si="252"/>
        <v>0</v>
      </c>
      <c r="K447" s="172">
        <f t="shared" si="252"/>
        <v>0</v>
      </c>
    </row>
    <row r="448" spans="1:11" x14ac:dyDescent="0.2">
      <c r="A448" s="241" t="s">
        <v>632</v>
      </c>
      <c r="B448" s="206">
        <f t="shared" ref="B448:K448" si="254">B322</f>
        <v>0</v>
      </c>
      <c r="C448" s="206">
        <f t="shared" si="254"/>
        <v>0</v>
      </c>
      <c r="D448" s="206">
        <f t="shared" ref="D448:F448" si="255">D322</f>
        <v>0</v>
      </c>
      <c r="E448" s="206">
        <f t="shared" si="255"/>
        <v>0</v>
      </c>
      <c r="F448" s="206">
        <f t="shared" si="255"/>
        <v>0</v>
      </c>
      <c r="G448" s="206">
        <f t="shared" si="254"/>
        <v>0</v>
      </c>
      <c r="H448" s="206">
        <f t="shared" si="254"/>
        <v>0</v>
      </c>
      <c r="I448" s="206">
        <f t="shared" si="254"/>
        <v>0</v>
      </c>
      <c r="J448" s="172">
        <f t="shared" si="254"/>
        <v>0</v>
      </c>
      <c r="K448" s="172">
        <f t="shared" si="254"/>
        <v>0</v>
      </c>
    </row>
    <row r="449" spans="1:11" x14ac:dyDescent="0.2">
      <c r="A449" s="238" t="s">
        <v>633</v>
      </c>
      <c r="B449" s="206">
        <f t="shared" ref="B449:K450" si="256">B361</f>
        <v>0</v>
      </c>
      <c r="C449" s="206">
        <f t="shared" si="256"/>
        <v>0</v>
      </c>
      <c r="D449" s="206">
        <f t="shared" ref="D449:F449" si="257">D361</f>
        <v>0</v>
      </c>
      <c r="E449" s="206">
        <f t="shared" si="257"/>
        <v>0</v>
      </c>
      <c r="F449" s="206">
        <f t="shared" si="257"/>
        <v>0</v>
      </c>
      <c r="G449" s="206">
        <f t="shared" si="256"/>
        <v>0</v>
      </c>
      <c r="H449" s="206">
        <f t="shared" si="256"/>
        <v>0</v>
      </c>
      <c r="I449" s="206">
        <f t="shared" si="256"/>
        <v>0</v>
      </c>
      <c r="J449" s="172">
        <f t="shared" si="256"/>
        <v>0</v>
      </c>
      <c r="K449" s="172">
        <f t="shared" si="256"/>
        <v>0</v>
      </c>
    </row>
    <row r="450" spans="1:11" x14ac:dyDescent="0.2">
      <c r="A450" s="219" t="s">
        <v>634</v>
      </c>
      <c r="B450" s="206">
        <f t="shared" si="256"/>
        <v>0</v>
      </c>
      <c r="C450" s="206">
        <f t="shared" si="256"/>
        <v>0</v>
      </c>
      <c r="D450" s="206">
        <f t="shared" ref="D450:F450" si="258">D362</f>
        <v>0</v>
      </c>
      <c r="E450" s="206">
        <f t="shared" si="258"/>
        <v>0</v>
      </c>
      <c r="F450" s="206">
        <f t="shared" si="258"/>
        <v>0</v>
      </c>
      <c r="G450" s="206">
        <f t="shared" si="256"/>
        <v>0</v>
      </c>
      <c r="H450" s="206">
        <f t="shared" si="256"/>
        <v>0</v>
      </c>
      <c r="I450" s="206">
        <f t="shared" si="256"/>
        <v>0</v>
      </c>
      <c r="J450" s="172">
        <f t="shared" si="256"/>
        <v>0</v>
      </c>
      <c r="K450" s="172">
        <f t="shared" si="256"/>
        <v>0</v>
      </c>
    </row>
    <row r="451" spans="1:11" x14ac:dyDescent="0.2">
      <c r="A451" s="219" t="s">
        <v>337</v>
      </c>
      <c r="B451" s="206" t="s">
        <v>337</v>
      </c>
      <c r="C451" s="206" t="s">
        <v>337</v>
      </c>
      <c r="D451" s="206" t="s">
        <v>337</v>
      </c>
      <c r="E451" s="206" t="s">
        <v>337</v>
      </c>
      <c r="F451" s="206" t="s">
        <v>337</v>
      </c>
      <c r="G451" s="206" t="s">
        <v>337</v>
      </c>
      <c r="H451" s="206" t="s">
        <v>337</v>
      </c>
      <c r="I451" s="206" t="s">
        <v>337</v>
      </c>
      <c r="J451" s="172" t="s">
        <v>337</v>
      </c>
      <c r="K451" s="172" t="s">
        <v>337</v>
      </c>
    </row>
    <row r="452" spans="1:11" x14ac:dyDescent="0.2">
      <c r="A452" s="266" t="s">
        <v>635</v>
      </c>
      <c r="B452" s="222">
        <f t="shared" ref="B452:K452" si="259">SUM(B443:B451)</f>
        <v>0</v>
      </c>
      <c r="C452" s="222">
        <f t="shared" si="259"/>
        <v>0</v>
      </c>
      <c r="D452" s="222">
        <f t="shared" ref="D452:F452" si="260">SUM(D443:D451)</f>
        <v>0</v>
      </c>
      <c r="E452" s="222">
        <f t="shared" si="260"/>
        <v>0</v>
      </c>
      <c r="F452" s="222">
        <f t="shared" si="260"/>
        <v>0</v>
      </c>
      <c r="G452" s="222">
        <f t="shared" si="259"/>
        <v>0</v>
      </c>
      <c r="H452" s="222">
        <f t="shared" si="259"/>
        <v>0</v>
      </c>
      <c r="I452" s="222">
        <f t="shared" si="259"/>
        <v>0</v>
      </c>
      <c r="J452" s="223">
        <f t="shared" si="259"/>
        <v>0</v>
      </c>
      <c r="K452" s="223">
        <f t="shared" si="259"/>
        <v>0</v>
      </c>
    </row>
    <row r="453" spans="1:11" x14ac:dyDescent="0.2">
      <c r="A453" s="270"/>
      <c r="B453" s="215"/>
      <c r="C453" s="215"/>
      <c r="D453" s="215"/>
      <c r="E453" s="215"/>
      <c r="F453" s="215"/>
      <c r="G453" s="215"/>
      <c r="H453" s="215"/>
      <c r="I453" s="215"/>
      <c r="J453" s="215"/>
      <c r="K453" s="215"/>
    </row>
    <row r="454" spans="1:11" x14ac:dyDescent="0.2">
      <c r="A454" s="278" t="s">
        <v>636</v>
      </c>
      <c r="B454" s="279">
        <f t="shared" ref="B454:K454" si="261">B438+B452</f>
        <v>0</v>
      </c>
      <c r="C454" s="279">
        <f t="shared" si="261"/>
        <v>0</v>
      </c>
      <c r="D454" s="280">
        <f t="shared" ref="D454:F454" si="262">D438+D452</f>
        <v>0</v>
      </c>
      <c r="E454" s="280">
        <f t="shared" si="262"/>
        <v>0</v>
      </c>
      <c r="F454" s="280">
        <f t="shared" si="262"/>
        <v>0</v>
      </c>
      <c r="G454" s="280">
        <f t="shared" si="261"/>
        <v>0</v>
      </c>
      <c r="H454" s="280">
        <f t="shared" si="261"/>
        <v>0</v>
      </c>
      <c r="I454" s="280">
        <f t="shared" si="261"/>
        <v>0</v>
      </c>
      <c r="J454" s="281">
        <f t="shared" si="261"/>
        <v>0</v>
      </c>
      <c r="K454" s="281">
        <f t="shared" si="261"/>
        <v>0</v>
      </c>
    </row>
    <row r="455" spans="1:11" x14ac:dyDescent="0.2">
      <c r="A455" s="282" t="s">
        <v>637</v>
      </c>
      <c r="B455" s="283"/>
      <c r="C455" s="283"/>
      <c r="D455" s="213"/>
      <c r="E455" s="213"/>
      <c r="F455" s="213"/>
      <c r="G455" s="213"/>
      <c r="H455" s="213"/>
      <c r="I455" s="213"/>
      <c r="J455" s="179"/>
      <c r="K455" s="179"/>
    </row>
    <row r="456" spans="1:11" x14ac:dyDescent="0.2">
      <c r="A456" s="147"/>
    </row>
    <row r="458" spans="1:11" s="159" customFormat="1" ht="13.8" x14ac:dyDescent="0.3">
      <c r="A458" s="237" t="s">
        <v>638</v>
      </c>
      <c r="B458" s="217">
        <f t="shared" ref="B458:K458" si="263">B7</f>
        <v>43828</v>
      </c>
      <c r="C458" s="217">
        <f t="shared" si="263"/>
        <v>44194</v>
      </c>
      <c r="D458" s="217">
        <f t="shared" ref="D458:F458" si="264">D7</f>
        <v>44560</v>
      </c>
      <c r="E458" s="217">
        <f t="shared" si="264"/>
        <v>44926</v>
      </c>
      <c r="F458" s="217">
        <f t="shared" si="264"/>
        <v>45291</v>
      </c>
      <c r="G458" s="217">
        <f t="shared" si="263"/>
        <v>45656</v>
      </c>
      <c r="H458" s="217">
        <f t="shared" si="263"/>
        <v>46021</v>
      </c>
      <c r="I458" s="217">
        <f t="shared" si="263"/>
        <v>46386</v>
      </c>
      <c r="J458" s="158">
        <f t="shared" si="263"/>
        <v>46751</v>
      </c>
      <c r="K458" s="158">
        <f t="shared" si="263"/>
        <v>47116</v>
      </c>
    </row>
    <row r="459" spans="1:11" ht="11.25" customHeight="1" x14ac:dyDescent="0.2">
      <c r="A459" s="184"/>
      <c r="B459" s="218"/>
      <c r="C459" s="218"/>
      <c r="D459" s="284"/>
      <c r="E459" s="284"/>
      <c r="F459" s="284"/>
      <c r="G459" s="284"/>
      <c r="H459" s="284"/>
      <c r="I459" s="284"/>
      <c r="J459" s="285"/>
      <c r="K459" s="285"/>
    </row>
    <row r="460" spans="1:11" x14ac:dyDescent="0.2">
      <c r="A460" s="219" t="s">
        <v>337</v>
      </c>
      <c r="B460" s="219"/>
      <c r="C460" s="219"/>
      <c r="D460" s="219"/>
      <c r="E460" s="219"/>
      <c r="F460" s="219"/>
      <c r="G460" s="219"/>
      <c r="H460" s="219"/>
      <c r="I460" s="219"/>
      <c r="J460" s="165"/>
      <c r="K460" s="165"/>
    </row>
    <row r="461" spans="1:11" x14ac:dyDescent="0.2">
      <c r="A461" s="219" t="s">
        <v>639</v>
      </c>
      <c r="B461" s="252">
        <v>0</v>
      </c>
      <c r="C461" s="206">
        <v>0</v>
      </c>
      <c r="D461" s="206">
        <v>0</v>
      </c>
      <c r="E461" s="206">
        <v>0</v>
      </c>
      <c r="F461" s="206">
        <v>0</v>
      </c>
      <c r="G461" s="206">
        <v>0</v>
      </c>
      <c r="H461" s="206">
        <v>0</v>
      </c>
      <c r="I461" s="206">
        <v>0</v>
      </c>
      <c r="J461" s="172">
        <v>0</v>
      </c>
      <c r="K461" s="172">
        <v>0</v>
      </c>
    </row>
    <row r="462" spans="1:11" x14ac:dyDescent="0.2">
      <c r="A462" s="219" t="s">
        <v>640</v>
      </c>
      <c r="B462" s="252">
        <f t="shared" ref="B462:K462" si="265">-B388</f>
        <v>0</v>
      </c>
      <c r="C462" s="206">
        <f t="shared" si="265"/>
        <v>0</v>
      </c>
      <c r="D462" s="206">
        <f t="shared" ref="D462:F462" si="266">-D388</f>
        <v>0</v>
      </c>
      <c r="E462" s="206">
        <f t="shared" si="266"/>
        <v>0</v>
      </c>
      <c r="F462" s="206">
        <f t="shared" si="266"/>
        <v>0</v>
      </c>
      <c r="G462" s="206">
        <f t="shared" si="265"/>
        <v>0</v>
      </c>
      <c r="H462" s="206">
        <f t="shared" si="265"/>
        <v>0</v>
      </c>
      <c r="I462" s="206">
        <f t="shared" si="265"/>
        <v>0</v>
      </c>
      <c r="J462" s="172">
        <f t="shared" si="265"/>
        <v>0</v>
      </c>
      <c r="K462" s="172">
        <f t="shared" si="265"/>
        <v>0</v>
      </c>
    </row>
    <row r="463" spans="1:11" x14ac:dyDescent="0.2">
      <c r="A463" s="219" t="s">
        <v>337</v>
      </c>
      <c r="B463" s="206" t="s">
        <v>337</v>
      </c>
      <c r="C463" s="206" t="s">
        <v>337</v>
      </c>
      <c r="D463" s="206" t="s">
        <v>337</v>
      </c>
      <c r="E463" s="206" t="s">
        <v>337</v>
      </c>
      <c r="F463" s="206" t="s">
        <v>337</v>
      </c>
      <c r="G463" s="206" t="s">
        <v>337</v>
      </c>
      <c r="H463" s="206" t="s">
        <v>337</v>
      </c>
      <c r="I463" s="206" t="s">
        <v>337</v>
      </c>
      <c r="J463" s="172" t="s">
        <v>337</v>
      </c>
      <c r="K463" s="172" t="s">
        <v>337</v>
      </c>
    </row>
    <row r="464" spans="1:11" x14ac:dyDescent="0.2">
      <c r="A464" s="242" t="s">
        <v>641</v>
      </c>
      <c r="B464" s="222">
        <f t="shared" ref="B464:K464" si="267">SUM(B461:B463)</f>
        <v>0</v>
      </c>
      <c r="C464" s="222">
        <f t="shared" si="267"/>
        <v>0</v>
      </c>
      <c r="D464" s="222">
        <f t="shared" ref="D464:F464" si="268">SUM(D461:D463)</f>
        <v>0</v>
      </c>
      <c r="E464" s="222">
        <f t="shared" si="268"/>
        <v>0</v>
      </c>
      <c r="F464" s="222">
        <f t="shared" si="268"/>
        <v>0</v>
      </c>
      <c r="G464" s="222">
        <f t="shared" si="267"/>
        <v>0</v>
      </c>
      <c r="H464" s="222">
        <f t="shared" si="267"/>
        <v>0</v>
      </c>
      <c r="I464" s="222">
        <f t="shared" si="267"/>
        <v>0</v>
      </c>
      <c r="J464" s="223">
        <f t="shared" si="267"/>
        <v>0</v>
      </c>
      <c r="K464" s="223">
        <f t="shared" si="267"/>
        <v>0</v>
      </c>
    </row>
    <row r="465" spans="1:11" x14ac:dyDescent="0.2">
      <c r="A465" s="147"/>
    </row>
    <row r="466" spans="1:11" x14ac:dyDescent="0.2">
      <c r="A466" s="146" t="s">
        <v>642</v>
      </c>
    </row>
    <row r="467" spans="1:11" x14ac:dyDescent="0.2">
      <c r="A467" s="146" t="s">
        <v>643</v>
      </c>
    </row>
    <row r="468" spans="1:11" x14ac:dyDescent="0.2">
      <c r="A468" s="146" t="s">
        <v>644</v>
      </c>
    </row>
    <row r="471" spans="1:11" s="159" customFormat="1" ht="13.2" x14ac:dyDescent="0.25">
      <c r="A471" s="286" t="s">
        <v>645</v>
      </c>
      <c r="B471" s="217">
        <f t="shared" ref="B471:K471" si="269">B7</f>
        <v>43828</v>
      </c>
      <c r="C471" s="217">
        <f t="shared" si="269"/>
        <v>44194</v>
      </c>
      <c r="D471" s="217">
        <f t="shared" ref="D471:F471" si="270">D7</f>
        <v>44560</v>
      </c>
      <c r="E471" s="217">
        <f t="shared" si="270"/>
        <v>44926</v>
      </c>
      <c r="F471" s="217">
        <f t="shared" si="270"/>
        <v>45291</v>
      </c>
      <c r="G471" s="217">
        <f t="shared" si="269"/>
        <v>45656</v>
      </c>
      <c r="H471" s="217">
        <f t="shared" si="269"/>
        <v>46021</v>
      </c>
      <c r="I471" s="217">
        <f t="shared" si="269"/>
        <v>46386</v>
      </c>
      <c r="J471" s="158">
        <f t="shared" si="269"/>
        <v>46751</v>
      </c>
      <c r="K471" s="158">
        <f t="shared" si="269"/>
        <v>47116</v>
      </c>
    </row>
    <row r="472" spans="1:11" ht="11.25" customHeight="1" x14ac:dyDescent="0.2">
      <c r="A472" s="184"/>
      <c r="B472" s="218"/>
      <c r="C472" s="218"/>
      <c r="D472" s="218"/>
      <c r="E472" s="218"/>
      <c r="F472" s="218"/>
      <c r="G472" s="218"/>
      <c r="H472" s="218"/>
      <c r="I472" s="218"/>
      <c r="J472" s="184"/>
      <c r="K472" s="184"/>
    </row>
    <row r="473" spans="1:11" x14ac:dyDescent="0.2">
      <c r="A473" s="155" t="s">
        <v>337</v>
      </c>
      <c r="B473" s="155"/>
      <c r="C473" s="155"/>
      <c r="D473" s="155"/>
      <c r="E473" s="155"/>
      <c r="F473" s="155"/>
      <c r="G473" s="155"/>
      <c r="H473" s="155"/>
      <c r="I473" s="155"/>
      <c r="J473" s="155"/>
      <c r="K473" s="155"/>
    </row>
    <row r="474" spans="1:11" x14ac:dyDescent="0.2">
      <c r="A474" s="155"/>
      <c r="B474" s="155"/>
      <c r="C474" s="155"/>
      <c r="D474" s="155"/>
      <c r="E474" s="155"/>
      <c r="F474" s="155"/>
      <c r="G474" s="155"/>
      <c r="H474" s="155"/>
      <c r="I474" s="155"/>
      <c r="J474" s="155"/>
      <c r="K474" s="155"/>
    </row>
    <row r="475" spans="1:11" ht="13.8" x14ac:dyDescent="0.3">
      <c r="A475" s="168" t="s">
        <v>337</v>
      </c>
      <c r="B475" s="155"/>
      <c r="C475" s="155"/>
      <c r="D475" s="155"/>
      <c r="E475" s="155"/>
      <c r="F475" s="155"/>
      <c r="G475" s="155"/>
      <c r="H475" s="155"/>
      <c r="I475" s="155"/>
      <c r="J475" s="155"/>
      <c r="K475" s="155"/>
    </row>
    <row r="476" spans="1:11" ht="13.8" x14ac:dyDescent="0.3">
      <c r="A476" s="168" t="s">
        <v>646</v>
      </c>
      <c r="B476" s="249"/>
      <c r="C476" s="249"/>
      <c r="D476" s="249"/>
      <c r="E476" s="249"/>
      <c r="F476" s="249"/>
      <c r="G476" s="249"/>
      <c r="H476" s="249"/>
      <c r="I476" s="249"/>
      <c r="J476" s="249"/>
      <c r="K476" s="249"/>
    </row>
    <row r="477" spans="1:11" ht="6" customHeight="1" x14ac:dyDescent="0.2">
      <c r="A477" s="155" t="s">
        <v>337</v>
      </c>
      <c r="B477" s="249"/>
      <c r="C477" s="249"/>
      <c r="D477" s="249"/>
      <c r="E477" s="249"/>
      <c r="F477" s="249"/>
      <c r="G477" s="249"/>
      <c r="H477" s="249"/>
      <c r="I477" s="249"/>
      <c r="J477" s="249"/>
      <c r="K477" s="249"/>
    </row>
    <row r="478" spans="1:11" ht="13.2" x14ac:dyDescent="0.25">
      <c r="A478" s="287" t="s">
        <v>647</v>
      </c>
      <c r="B478" s="288" t="e">
        <f t="shared" ref="B478:K478" si="271">(B41-B43)/(B120+B134)</f>
        <v>#DIV/0!</v>
      </c>
      <c r="C478" s="288" t="e">
        <f t="shared" si="271"/>
        <v>#DIV/0!</v>
      </c>
      <c r="D478" s="288" t="e">
        <f t="shared" ref="D478:F478" si="272">(D41-D43)/(D120+D134)</f>
        <v>#DIV/0!</v>
      </c>
      <c r="E478" s="288" t="e">
        <f t="shared" si="272"/>
        <v>#DIV/0!</v>
      </c>
      <c r="F478" s="288" t="e">
        <f t="shared" si="272"/>
        <v>#DIV/0!</v>
      </c>
      <c r="G478" s="288" t="e">
        <f t="shared" si="271"/>
        <v>#DIV/0!</v>
      </c>
      <c r="H478" s="288" t="e">
        <f t="shared" si="271"/>
        <v>#DIV/0!</v>
      </c>
      <c r="I478" s="288" t="e">
        <f t="shared" si="271"/>
        <v>#DIV/0!</v>
      </c>
      <c r="J478" s="289" t="e">
        <f t="shared" si="271"/>
        <v>#DIV/0!</v>
      </c>
      <c r="K478" s="289" t="e">
        <f t="shared" si="271"/>
        <v>#DIV/0!</v>
      </c>
    </row>
    <row r="479" spans="1:11" ht="13.2" x14ac:dyDescent="0.25">
      <c r="A479" s="290" t="s">
        <v>648</v>
      </c>
      <c r="B479" s="291" t="e">
        <f t="shared" ref="B479:K479" si="273">(B57+B61+B65)/(B120-B128)</f>
        <v>#DIV/0!</v>
      </c>
      <c r="C479" s="291" t="e">
        <f t="shared" si="273"/>
        <v>#DIV/0!</v>
      </c>
      <c r="D479" s="291" t="e">
        <f t="shared" ref="D479:F479" si="274">(D57+D61+D65)/(D120-D128)</f>
        <v>#DIV/0!</v>
      </c>
      <c r="E479" s="291" t="e">
        <f t="shared" si="274"/>
        <v>#DIV/0!</v>
      </c>
      <c r="F479" s="291" t="e">
        <f t="shared" si="274"/>
        <v>#DIV/0!</v>
      </c>
      <c r="G479" s="291" t="e">
        <f t="shared" si="273"/>
        <v>#DIV/0!</v>
      </c>
      <c r="H479" s="291" t="e">
        <f t="shared" si="273"/>
        <v>#DIV/0!</v>
      </c>
      <c r="I479" s="291" t="e">
        <f t="shared" si="273"/>
        <v>#DIV/0!</v>
      </c>
      <c r="J479" s="292" t="e">
        <f t="shared" si="273"/>
        <v>#DIV/0!</v>
      </c>
      <c r="K479" s="292" t="e">
        <f t="shared" si="273"/>
        <v>#DIV/0!</v>
      </c>
    </row>
    <row r="480" spans="1:11" ht="13.2" x14ac:dyDescent="0.25">
      <c r="A480" s="290" t="s">
        <v>649</v>
      </c>
      <c r="B480" s="293" t="str">
        <f t="shared" ref="B480:K480" si="275">IF(B49+B52+B53+B54=0,"NVT",(B156*(12/B9))/(B49+B52+B53+B54))</f>
        <v>NVT</v>
      </c>
      <c r="C480" s="293" t="str">
        <f t="shared" si="275"/>
        <v>NVT</v>
      </c>
      <c r="D480" s="293" t="str">
        <f t="shared" ref="D480:F480" si="276">IF(D49+D52+D53+D54=0,"NVT",(D156*(12/D9))/(D49+D52+D53+D54))</f>
        <v>NVT</v>
      </c>
      <c r="E480" s="293" t="str">
        <f t="shared" si="276"/>
        <v>NVT</v>
      </c>
      <c r="F480" s="293" t="str">
        <f t="shared" si="276"/>
        <v>NVT</v>
      </c>
      <c r="G480" s="293" t="str">
        <f t="shared" si="275"/>
        <v>NVT</v>
      </c>
      <c r="H480" s="293" t="str">
        <f t="shared" si="275"/>
        <v>NVT</v>
      </c>
      <c r="I480" s="293" t="str">
        <f t="shared" si="275"/>
        <v>NVT</v>
      </c>
      <c r="J480" s="294" t="str">
        <f t="shared" si="275"/>
        <v>NVT</v>
      </c>
      <c r="K480" s="294" t="str">
        <f t="shared" si="275"/>
        <v>NVT</v>
      </c>
    </row>
    <row r="481" spans="1:11" ht="13.2" x14ac:dyDescent="0.25">
      <c r="A481" s="290" t="s">
        <v>650</v>
      </c>
      <c r="B481" s="293" t="str">
        <f t="shared" ref="B481:K481" si="277">IF(B50+B51+B55=0,"NVT",((B153-B149-B150-B275-B277)*(12/B9))/(B50+B51+B55))</f>
        <v>NVT</v>
      </c>
      <c r="C481" s="293" t="str">
        <f t="shared" si="277"/>
        <v>NVT</v>
      </c>
      <c r="D481" s="293" t="str">
        <f t="shared" ref="D481:F481" si="278">IF(D50+D51+D55=0,"NVT",((D153-D149-D150-D275-D277)*(12/D9))/(D50+D51+D55))</f>
        <v>NVT</v>
      </c>
      <c r="E481" s="293" t="str">
        <f t="shared" si="278"/>
        <v>NVT</v>
      </c>
      <c r="F481" s="293" t="str">
        <f t="shared" si="278"/>
        <v>NVT</v>
      </c>
      <c r="G481" s="293" t="str">
        <f t="shared" si="277"/>
        <v>NVT</v>
      </c>
      <c r="H481" s="293" t="str">
        <f t="shared" si="277"/>
        <v>NVT</v>
      </c>
      <c r="I481" s="293" t="str">
        <f t="shared" si="277"/>
        <v>NVT</v>
      </c>
      <c r="J481" s="294" t="str">
        <f t="shared" si="277"/>
        <v>NVT</v>
      </c>
      <c r="K481" s="294" t="str">
        <f t="shared" si="277"/>
        <v>NVT</v>
      </c>
    </row>
    <row r="482" spans="1:11" ht="13.2" x14ac:dyDescent="0.25">
      <c r="A482" s="290" t="s">
        <v>651</v>
      </c>
      <c r="B482" s="229" t="e">
        <f t="shared" ref="B482:K482" si="279">365*(B44+B58)/((B148+B151+B292)*(12/B9))</f>
        <v>#DIV/0!</v>
      </c>
      <c r="C482" s="229" t="e">
        <f t="shared" si="279"/>
        <v>#DIV/0!</v>
      </c>
      <c r="D482" s="229" t="e">
        <f t="shared" ref="D482:F482" si="280">365*(D44+D58)/((D148+D151+D292)*(12/D9))</f>
        <v>#DIV/0!</v>
      </c>
      <c r="E482" s="229" t="e">
        <f t="shared" si="280"/>
        <v>#DIV/0!</v>
      </c>
      <c r="F482" s="229" t="e">
        <f t="shared" si="280"/>
        <v>#DIV/0!</v>
      </c>
      <c r="G482" s="229" t="e">
        <f t="shared" si="279"/>
        <v>#DIV/0!</v>
      </c>
      <c r="H482" s="229" t="e">
        <f t="shared" si="279"/>
        <v>#DIV/0!</v>
      </c>
      <c r="I482" s="229" t="e">
        <f t="shared" si="279"/>
        <v>#DIV/0!</v>
      </c>
      <c r="J482" s="230" t="e">
        <f t="shared" si="279"/>
        <v>#DIV/0!</v>
      </c>
      <c r="K482" s="230" t="e">
        <f t="shared" si="279"/>
        <v>#DIV/0!</v>
      </c>
    </row>
    <row r="483" spans="1:11" ht="13.2" x14ac:dyDescent="0.25">
      <c r="A483" s="290" t="s">
        <v>652</v>
      </c>
      <c r="B483" s="229" t="e">
        <f t="shared" ref="B483:K483" si="281">365*(B114+B125)/((B157+B159+B291)*(12/B9))</f>
        <v>#DIV/0!</v>
      </c>
      <c r="C483" s="229" t="e">
        <f t="shared" si="281"/>
        <v>#DIV/0!</v>
      </c>
      <c r="D483" s="229" t="e">
        <f t="shared" ref="D483:F483" si="282">365*(D114+D125)/((D157+D159+D291)*(12/D9))</f>
        <v>#DIV/0!</v>
      </c>
      <c r="E483" s="229" t="e">
        <f t="shared" si="282"/>
        <v>#DIV/0!</v>
      </c>
      <c r="F483" s="229" t="e">
        <f t="shared" si="282"/>
        <v>#DIV/0!</v>
      </c>
      <c r="G483" s="229" t="e">
        <f t="shared" si="281"/>
        <v>#DIV/0!</v>
      </c>
      <c r="H483" s="229" t="e">
        <f t="shared" si="281"/>
        <v>#DIV/0!</v>
      </c>
      <c r="I483" s="229" t="e">
        <f t="shared" si="281"/>
        <v>#DIV/0!</v>
      </c>
      <c r="J483" s="230" t="e">
        <f t="shared" si="281"/>
        <v>#DIV/0!</v>
      </c>
      <c r="K483" s="230" t="e">
        <f t="shared" si="281"/>
        <v>#DIV/0!</v>
      </c>
    </row>
    <row r="484" spans="1:11" ht="13.2" x14ac:dyDescent="0.25">
      <c r="A484" s="295" t="s">
        <v>653</v>
      </c>
      <c r="B484" s="296" t="e">
        <f t="shared" ref="B484:K484" si="283">100*(B47+B58-B125)/((B148+B149)*(12/B9))</f>
        <v>#DIV/0!</v>
      </c>
      <c r="C484" s="296" t="e">
        <f t="shared" si="283"/>
        <v>#DIV/0!</v>
      </c>
      <c r="D484" s="296" t="e">
        <f t="shared" ref="D484:F484" si="284">100*(D47+D58-D125)/((D148+D149)*(12/D9))</f>
        <v>#DIV/0!</v>
      </c>
      <c r="E484" s="296" t="e">
        <f t="shared" si="284"/>
        <v>#DIV/0!</v>
      </c>
      <c r="F484" s="296" t="e">
        <f t="shared" si="284"/>
        <v>#DIV/0!</v>
      </c>
      <c r="G484" s="296" t="e">
        <f t="shared" si="283"/>
        <v>#DIV/0!</v>
      </c>
      <c r="H484" s="296" t="e">
        <f t="shared" si="283"/>
        <v>#DIV/0!</v>
      </c>
      <c r="I484" s="296" t="e">
        <f t="shared" si="283"/>
        <v>#DIV/0!</v>
      </c>
      <c r="J484" s="297" t="e">
        <f t="shared" si="283"/>
        <v>#DIV/0!</v>
      </c>
      <c r="K484" s="297" t="e">
        <f t="shared" si="283"/>
        <v>#DIV/0!</v>
      </c>
    </row>
    <row r="485" spans="1:11" ht="13.2" x14ac:dyDescent="0.25">
      <c r="A485" s="187"/>
      <c r="B485" s="249"/>
      <c r="C485" s="249"/>
      <c r="D485" s="249"/>
      <c r="E485" s="249"/>
      <c r="F485" s="249"/>
      <c r="G485" s="249"/>
      <c r="H485" s="249"/>
      <c r="I485" s="249"/>
      <c r="J485" s="249"/>
      <c r="K485" s="249"/>
    </row>
    <row r="486" spans="1:11" x14ac:dyDescent="0.2">
      <c r="A486" s="155" t="s">
        <v>337</v>
      </c>
      <c r="B486" s="249"/>
      <c r="C486" s="249"/>
      <c r="D486" s="249"/>
      <c r="E486" s="249"/>
      <c r="F486" s="249"/>
      <c r="G486" s="249"/>
      <c r="H486" s="249"/>
      <c r="I486" s="249"/>
      <c r="J486" s="249"/>
      <c r="K486" s="249"/>
    </row>
    <row r="487" spans="1:11" ht="13.8" x14ac:dyDescent="0.3">
      <c r="A487" s="168" t="s">
        <v>654</v>
      </c>
      <c r="B487" s="249"/>
      <c r="C487" s="249"/>
      <c r="D487" s="249"/>
      <c r="E487" s="249"/>
      <c r="F487" s="249"/>
      <c r="G487" s="249"/>
      <c r="H487" s="249"/>
      <c r="I487" s="249"/>
      <c r="J487" s="249"/>
      <c r="K487" s="249"/>
    </row>
    <row r="488" spans="1:11" ht="6" customHeight="1" x14ac:dyDescent="0.2">
      <c r="A488" s="155" t="s">
        <v>337</v>
      </c>
      <c r="B488" s="249"/>
      <c r="C488" s="249"/>
      <c r="D488" s="249"/>
      <c r="E488" s="249"/>
      <c r="F488" s="249"/>
      <c r="G488" s="249"/>
      <c r="H488" s="249"/>
      <c r="I488" s="249"/>
      <c r="J488" s="249"/>
      <c r="K488" s="249"/>
    </row>
    <row r="489" spans="1:11" ht="13.2" x14ac:dyDescent="0.25">
      <c r="A489" s="287" t="s">
        <v>655</v>
      </c>
      <c r="B489" s="288" t="e">
        <f t="shared" ref="B489:K489" si="285">100*(B105+B96)/B136</f>
        <v>#DIV/0!</v>
      </c>
      <c r="C489" s="288" t="e">
        <f t="shared" si="285"/>
        <v>#DIV/0!</v>
      </c>
      <c r="D489" s="288" t="e">
        <f t="shared" ref="D489:F489" si="286">100*(D105+D96)/D136</f>
        <v>#DIV/0!</v>
      </c>
      <c r="E489" s="288" t="e">
        <f t="shared" si="286"/>
        <v>#DIV/0!</v>
      </c>
      <c r="F489" s="288" t="e">
        <f t="shared" si="286"/>
        <v>#DIV/0!</v>
      </c>
      <c r="G489" s="288" t="e">
        <f t="shared" si="285"/>
        <v>#DIV/0!</v>
      </c>
      <c r="H489" s="288" t="e">
        <f t="shared" si="285"/>
        <v>#DIV/0!</v>
      </c>
      <c r="I489" s="288" t="e">
        <f t="shared" si="285"/>
        <v>#DIV/0!</v>
      </c>
      <c r="J489" s="289" t="e">
        <f t="shared" si="285"/>
        <v>#DIV/0!</v>
      </c>
      <c r="K489" s="289" t="e">
        <f t="shared" si="285"/>
        <v>#DIV/0!</v>
      </c>
    </row>
    <row r="490" spans="1:11" ht="13.2" x14ac:dyDescent="0.25">
      <c r="A490" s="298" t="s">
        <v>656</v>
      </c>
      <c r="B490" s="291" t="e">
        <f t="shared" ref="B490:K490" si="287">(B96+B107-B109)/(B75+B109)</f>
        <v>#DIV/0!</v>
      </c>
      <c r="C490" s="291" t="e">
        <f t="shared" si="287"/>
        <v>#DIV/0!</v>
      </c>
      <c r="D490" s="291" t="e">
        <f t="shared" ref="D490:F490" si="288">(D96+D107-D109)/(D75+D109)</f>
        <v>#DIV/0!</v>
      </c>
      <c r="E490" s="291" t="e">
        <f t="shared" si="288"/>
        <v>#DIV/0!</v>
      </c>
      <c r="F490" s="291" t="e">
        <f t="shared" si="288"/>
        <v>#DIV/0!</v>
      </c>
      <c r="G490" s="291" t="e">
        <f t="shared" si="287"/>
        <v>#DIV/0!</v>
      </c>
      <c r="H490" s="291" t="e">
        <f t="shared" si="287"/>
        <v>#DIV/0!</v>
      </c>
      <c r="I490" s="291" t="e">
        <f t="shared" si="287"/>
        <v>#DIV/0!</v>
      </c>
      <c r="J490" s="292" t="e">
        <f t="shared" si="287"/>
        <v>#DIV/0!</v>
      </c>
      <c r="K490" s="292" t="e">
        <f t="shared" si="287"/>
        <v>#DIV/0!</v>
      </c>
    </row>
    <row r="491" spans="1:11" ht="13.2" x14ac:dyDescent="0.25">
      <c r="A491" s="298" t="s">
        <v>657</v>
      </c>
      <c r="B491" s="299" t="e">
        <f t="shared" ref="B491:K491" si="289">100*(B108+B121+B122-B63-B65)/B136</f>
        <v>#DIV/0!</v>
      </c>
      <c r="C491" s="299" t="e">
        <f t="shared" si="289"/>
        <v>#DIV/0!</v>
      </c>
      <c r="D491" s="299" t="e">
        <f t="shared" ref="D491:F491" si="290">100*(D108+D121+D122-D63-D65)/D136</f>
        <v>#DIV/0!</v>
      </c>
      <c r="E491" s="299" t="e">
        <f t="shared" si="290"/>
        <v>#DIV/0!</v>
      </c>
      <c r="F491" s="299" t="e">
        <f t="shared" si="290"/>
        <v>#DIV/0!</v>
      </c>
      <c r="G491" s="299" t="e">
        <f t="shared" si="289"/>
        <v>#DIV/0!</v>
      </c>
      <c r="H491" s="299" t="e">
        <f t="shared" si="289"/>
        <v>#DIV/0!</v>
      </c>
      <c r="I491" s="299" t="e">
        <f t="shared" si="289"/>
        <v>#DIV/0!</v>
      </c>
      <c r="J491" s="300" t="e">
        <f t="shared" si="289"/>
        <v>#DIV/0!</v>
      </c>
      <c r="K491" s="300" t="e">
        <f t="shared" si="289"/>
        <v>#DIV/0!</v>
      </c>
    </row>
    <row r="492" spans="1:11" ht="13.2" x14ac:dyDescent="0.25">
      <c r="A492" s="290" t="s">
        <v>658</v>
      </c>
      <c r="B492" s="293" t="e">
        <f t="shared" ref="B492:K492" si="291">IF(B349&lt;0,"NVT",(B320*(12/B9))/(B107+B96))</f>
        <v>#DIV/0!</v>
      </c>
      <c r="C492" s="293" t="e">
        <f t="shared" si="291"/>
        <v>#DIV/0!</v>
      </c>
      <c r="D492" s="293" t="e">
        <f t="shared" ref="D492:F492" si="292">IF(D349&lt;0,"NVT",(D320*(12/D9))/(D107+D96))</f>
        <v>#DIV/0!</v>
      </c>
      <c r="E492" s="293" t="e">
        <f t="shared" si="292"/>
        <v>#DIV/0!</v>
      </c>
      <c r="F492" s="293" t="e">
        <f t="shared" si="292"/>
        <v>#DIV/0!</v>
      </c>
      <c r="G492" s="293" t="e">
        <f t="shared" si="291"/>
        <v>#DIV/0!</v>
      </c>
      <c r="H492" s="293" t="e">
        <f t="shared" si="291"/>
        <v>#DIV/0!</v>
      </c>
      <c r="I492" s="293" t="e">
        <f t="shared" si="291"/>
        <v>#DIV/0!</v>
      </c>
      <c r="J492" s="294" t="e">
        <f t="shared" si="291"/>
        <v>#DIV/0!</v>
      </c>
      <c r="K492" s="294" t="e">
        <f t="shared" si="291"/>
        <v>#DIV/0!</v>
      </c>
    </row>
    <row r="493" spans="1:11" ht="13.2" x14ac:dyDescent="0.25">
      <c r="A493" s="295" t="s">
        <v>659</v>
      </c>
      <c r="B493" s="296" t="e">
        <f t="shared" ref="B493:K493" si="293">(B320*(12/B9))/(B121+(B175+B284-B278)*(12/B9))</f>
        <v>#DIV/0!</v>
      </c>
      <c r="C493" s="296" t="e">
        <f t="shared" si="293"/>
        <v>#DIV/0!</v>
      </c>
      <c r="D493" s="296" t="e">
        <f t="shared" ref="D493:F493" si="294">(D320*(12/D9))/(D121+(D175+D284-D278)*(12/D9))</f>
        <v>#DIV/0!</v>
      </c>
      <c r="E493" s="296" t="e">
        <f t="shared" si="294"/>
        <v>#DIV/0!</v>
      </c>
      <c r="F493" s="296" t="e">
        <f t="shared" si="294"/>
        <v>#DIV/0!</v>
      </c>
      <c r="G493" s="296" t="e">
        <f t="shared" si="293"/>
        <v>#DIV/0!</v>
      </c>
      <c r="H493" s="296" t="e">
        <f t="shared" si="293"/>
        <v>#DIV/0!</v>
      </c>
      <c r="I493" s="296" t="e">
        <f t="shared" si="293"/>
        <v>#DIV/0!</v>
      </c>
      <c r="J493" s="297" t="e">
        <f t="shared" si="293"/>
        <v>#DIV/0!</v>
      </c>
      <c r="K493" s="297" t="e">
        <f t="shared" si="293"/>
        <v>#DIV/0!</v>
      </c>
    </row>
    <row r="494" spans="1:11" ht="13.2" x14ac:dyDescent="0.25">
      <c r="A494" s="187"/>
      <c r="B494" s="301"/>
      <c r="C494" s="301"/>
      <c r="D494" s="301"/>
      <c r="E494" s="301"/>
      <c r="F494" s="301"/>
      <c r="G494" s="301"/>
      <c r="H494" s="301"/>
      <c r="I494" s="301"/>
      <c r="J494" s="301"/>
      <c r="K494" s="301"/>
    </row>
    <row r="495" spans="1:11" x14ac:dyDescent="0.2">
      <c r="A495" s="155"/>
      <c r="B495" s="249"/>
      <c r="C495" s="249"/>
      <c r="D495" s="249"/>
      <c r="E495" s="249"/>
      <c r="F495" s="249"/>
      <c r="G495" s="249"/>
      <c r="H495" s="249"/>
      <c r="I495" s="249"/>
      <c r="J495" s="249"/>
      <c r="K495" s="249"/>
    </row>
    <row r="496" spans="1:11" ht="13.8" x14ac:dyDescent="0.3">
      <c r="A496" s="168" t="s">
        <v>660</v>
      </c>
      <c r="B496" s="249"/>
      <c r="C496" s="249"/>
      <c r="D496" s="249"/>
      <c r="E496" s="249"/>
      <c r="F496" s="249"/>
      <c r="G496" s="249"/>
      <c r="H496" s="249"/>
      <c r="I496" s="249"/>
      <c r="J496" s="249"/>
      <c r="K496" s="249"/>
    </row>
    <row r="497" spans="1:11" ht="6" customHeight="1" x14ac:dyDescent="0.2">
      <c r="A497" s="155" t="s">
        <v>337</v>
      </c>
      <c r="B497" s="249"/>
      <c r="C497" s="249"/>
      <c r="D497" s="249"/>
      <c r="E497" s="249"/>
      <c r="F497" s="249"/>
      <c r="G497" s="249"/>
      <c r="H497" s="249"/>
      <c r="I497" s="249"/>
      <c r="J497" s="249"/>
      <c r="K497" s="249"/>
    </row>
    <row r="498" spans="1:11" ht="13.2" x14ac:dyDescent="0.25">
      <c r="A498" s="302" t="s">
        <v>661</v>
      </c>
      <c r="B498" s="303" t="str">
        <f t="shared" ref="B498:K498" si="295">IF(B156=0,"NVT",100*(B148+B149-B156)/(B148+B149))</f>
        <v>NVT</v>
      </c>
      <c r="C498" s="303" t="str">
        <f t="shared" si="295"/>
        <v>NVT</v>
      </c>
      <c r="D498" s="303" t="str">
        <f t="shared" ref="D498:F498" si="296">IF(D156=0,"NVT",100*(D148+D149-D156)/(D148+D149))</f>
        <v>NVT</v>
      </c>
      <c r="E498" s="303" t="str">
        <f t="shared" si="296"/>
        <v>NVT</v>
      </c>
      <c r="F498" s="303" t="str">
        <f t="shared" si="296"/>
        <v>NVT</v>
      </c>
      <c r="G498" s="303" t="str">
        <f t="shared" si="295"/>
        <v>NVT</v>
      </c>
      <c r="H498" s="303" t="str">
        <f t="shared" si="295"/>
        <v>NVT</v>
      </c>
      <c r="I498" s="303" t="str">
        <f t="shared" si="295"/>
        <v>NVT</v>
      </c>
      <c r="J498" s="304" t="str">
        <f t="shared" si="295"/>
        <v>NVT</v>
      </c>
      <c r="K498" s="304" t="str">
        <f t="shared" si="295"/>
        <v>NVT</v>
      </c>
    </row>
    <row r="499" spans="1:11" ht="13.2" x14ac:dyDescent="0.25">
      <c r="A499" s="290" t="s">
        <v>662</v>
      </c>
      <c r="B499" s="291" t="e">
        <f t="shared" ref="B499:K499" si="297">100*(B167+B161+B162+B163)/(B148+B151)</f>
        <v>#DIV/0!</v>
      </c>
      <c r="C499" s="291" t="e">
        <f t="shared" si="297"/>
        <v>#DIV/0!</v>
      </c>
      <c r="D499" s="291" t="e">
        <f t="shared" ref="D499:F499" si="298">100*(D167+D161+D162+D163)/(D148+D151)</f>
        <v>#DIV/0!</v>
      </c>
      <c r="E499" s="291" t="e">
        <f t="shared" si="298"/>
        <v>#DIV/0!</v>
      </c>
      <c r="F499" s="291" t="e">
        <f t="shared" si="298"/>
        <v>#DIV/0!</v>
      </c>
      <c r="G499" s="291" t="e">
        <f t="shared" si="297"/>
        <v>#DIV/0!</v>
      </c>
      <c r="H499" s="291" t="e">
        <f t="shared" si="297"/>
        <v>#DIV/0!</v>
      </c>
      <c r="I499" s="291" t="e">
        <f t="shared" si="297"/>
        <v>#DIV/0!</v>
      </c>
      <c r="J499" s="292" t="e">
        <f t="shared" si="297"/>
        <v>#DIV/0!</v>
      </c>
      <c r="K499" s="292" t="e">
        <f t="shared" si="297"/>
        <v>#DIV/0!</v>
      </c>
    </row>
    <row r="500" spans="1:11" ht="13.2" x14ac:dyDescent="0.25">
      <c r="A500" s="290" t="s">
        <v>663</v>
      </c>
      <c r="B500" s="291" t="e">
        <f t="shared" ref="B500:K500" si="299">100*(B167+B277)/(B148+B151)</f>
        <v>#DIV/0!</v>
      </c>
      <c r="C500" s="291" t="e">
        <f t="shared" si="299"/>
        <v>#DIV/0!</v>
      </c>
      <c r="D500" s="291" t="e">
        <f t="shared" ref="D500:F500" si="300">100*(D167+D277)/(D148+D151)</f>
        <v>#DIV/0!</v>
      </c>
      <c r="E500" s="291" t="e">
        <f t="shared" si="300"/>
        <v>#DIV/0!</v>
      </c>
      <c r="F500" s="291" t="e">
        <f t="shared" si="300"/>
        <v>#DIV/0!</v>
      </c>
      <c r="G500" s="291" t="e">
        <f t="shared" si="299"/>
        <v>#DIV/0!</v>
      </c>
      <c r="H500" s="291" t="e">
        <f t="shared" si="299"/>
        <v>#DIV/0!</v>
      </c>
      <c r="I500" s="291" t="e">
        <f t="shared" si="299"/>
        <v>#DIV/0!</v>
      </c>
      <c r="J500" s="292" t="e">
        <f t="shared" si="299"/>
        <v>#DIV/0!</v>
      </c>
      <c r="K500" s="292" t="e">
        <f t="shared" si="299"/>
        <v>#DIV/0!</v>
      </c>
    </row>
    <row r="501" spans="1:11" ht="13.2" x14ac:dyDescent="0.25">
      <c r="A501" s="290" t="s">
        <v>664</v>
      </c>
      <c r="B501" s="291" t="e">
        <f t="shared" ref="B501:K501" si="301">100*12*(B212-B207+B175+B284-B278)/(B69*B9)</f>
        <v>#DIV/0!</v>
      </c>
      <c r="C501" s="291" t="e">
        <f t="shared" si="301"/>
        <v>#DIV/0!</v>
      </c>
      <c r="D501" s="291" t="e">
        <f t="shared" ref="D501:F501" si="302">100*12*(D212-D207+D175+D284-D278)/(D69*D9)</f>
        <v>#DIV/0!</v>
      </c>
      <c r="E501" s="291" t="e">
        <f t="shared" si="302"/>
        <v>#DIV/0!</v>
      </c>
      <c r="F501" s="291" t="e">
        <f t="shared" si="302"/>
        <v>#DIV/0!</v>
      </c>
      <c r="G501" s="291" t="e">
        <f t="shared" si="301"/>
        <v>#DIV/0!</v>
      </c>
      <c r="H501" s="291" t="e">
        <f t="shared" si="301"/>
        <v>#DIV/0!</v>
      </c>
      <c r="I501" s="291" t="e">
        <f t="shared" si="301"/>
        <v>#DIV/0!</v>
      </c>
      <c r="J501" s="292" t="e">
        <f t="shared" si="301"/>
        <v>#DIV/0!</v>
      </c>
      <c r="K501" s="292" t="e">
        <f t="shared" si="301"/>
        <v>#DIV/0!</v>
      </c>
    </row>
    <row r="502" spans="1:11" ht="13.2" x14ac:dyDescent="0.25">
      <c r="A502" s="290" t="s">
        <v>665</v>
      </c>
      <c r="B502" s="291" t="e">
        <f t="shared" ref="B502:K502" si="303">100*12/B9*(B167+B277)/(B75+B96+B108+B121+B122-B63-B65)</f>
        <v>#DIV/0!</v>
      </c>
      <c r="C502" s="291" t="e">
        <f t="shared" si="303"/>
        <v>#DIV/0!</v>
      </c>
      <c r="D502" s="291" t="e">
        <f t="shared" ref="D502:F502" si="304">100*12/D9*(D167+D277)/(D75+D96+D108+D121+D122-D63-D65)</f>
        <v>#DIV/0!</v>
      </c>
      <c r="E502" s="291" t="e">
        <f t="shared" si="304"/>
        <v>#DIV/0!</v>
      </c>
      <c r="F502" s="291" t="e">
        <f t="shared" si="304"/>
        <v>#DIV/0!</v>
      </c>
      <c r="G502" s="291" t="e">
        <f t="shared" si="303"/>
        <v>#DIV/0!</v>
      </c>
      <c r="H502" s="291" t="e">
        <f t="shared" si="303"/>
        <v>#DIV/0!</v>
      </c>
      <c r="I502" s="291" t="e">
        <f t="shared" si="303"/>
        <v>#DIV/0!</v>
      </c>
      <c r="J502" s="292" t="e">
        <f t="shared" si="303"/>
        <v>#DIV/0!</v>
      </c>
      <c r="K502" s="292" t="e">
        <f t="shared" si="303"/>
        <v>#DIV/0!</v>
      </c>
    </row>
    <row r="503" spans="1:11" ht="13.2" x14ac:dyDescent="0.25">
      <c r="A503" s="295" t="s">
        <v>666</v>
      </c>
      <c r="B503" s="296" t="e">
        <f t="shared" ref="B503:K503" si="305">100*12*(B212/B75)/B9</f>
        <v>#DIV/0!</v>
      </c>
      <c r="C503" s="296" t="e">
        <f t="shared" si="305"/>
        <v>#DIV/0!</v>
      </c>
      <c r="D503" s="296" t="e">
        <f t="shared" ref="D503:F503" si="306">100*12*(D212/D75)/D9</f>
        <v>#DIV/0!</v>
      </c>
      <c r="E503" s="296" t="e">
        <f t="shared" si="306"/>
        <v>#DIV/0!</v>
      </c>
      <c r="F503" s="296" t="e">
        <f t="shared" si="306"/>
        <v>#DIV/0!</v>
      </c>
      <c r="G503" s="296" t="e">
        <f t="shared" si="305"/>
        <v>#DIV/0!</v>
      </c>
      <c r="H503" s="296" t="e">
        <f t="shared" si="305"/>
        <v>#DIV/0!</v>
      </c>
      <c r="I503" s="296" t="e">
        <f t="shared" si="305"/>
        <v>#DIV/0!</v>
      </c>
      <c r="J503" s="297" t="e">
        <f t="shared" si="305"/>
        <v>#DIV/0!</v>
      </c>
      <c r="K503" s="297" t="e">
        <f t="shared" si="305"/>
        <v>#DIV/0!</v>
      </c>
    </row>
    <row r="504" spans="1:11" ht="13.2" x14ac:dyDescent="0.25">
      <c r="A504" s="187"/>
      <c r="B504" s="301"/>
      <c r="C504" s="301"/>
      <c r="D504" s="301"/>
      <c r="E504" s="301"/>
      <c r="F504" s="301"/>
      <c r="G504" s="301"/>
      <c r="H504" s="301"/>
      <c r="I504" s="301"/>
      <c r="J504" s="301"/>
      <c r="K504" s="301"/>
    </row>
    <row r="506" spans="1:11" ht="13.8" x14ac:dyDescent="0.3">
      <c r="A506" s="168" t="s">
        <v>667</v>
      </c>
      <c r="B506" s="249"/>
      <c r="C506" s="249"/>
      <c r="D506" s="249"/>
      <c r="E506" s="249"/>
      <c r="F506" s="249"/>
      <c r="G506" s="249"/>
      <c r="H506" s="249"/>
      <c r="I506" s="249"/>
      <c r="J506" s="249"/>
      <c r="K506" s="249"/>
    </row>
    <row r="507" spans="1:11" ht="6" customHeight="1" x14ac:dyDescent="0.3">
      <c r="A507" s="168"/>
      <c r="B507" s="249"/>
      <c r="C507" s="249"/>
      <c r="D507" s="249"/>
      <c r="E507" s="249"/>
      <c r="F507" s="249"/>
      <c r="G507" s="249"/>
      <c r="H507" s="249"/>
      <c r="I507" s="249"/>
      <c r="J507" s="249"/>
      <c r="K507" s="249"/>
    </row>
    <row r="508" spans="1:11" ht="13.2" x14ac:dyDescent="0.25">
      <c r="A508" s="305" t="s">
        <v>668</v>
      </c>
      <c r="B508" s="288" t="e">
        <f t="shared" ref="B508:K508" si="307">(12/B9)*(B148+B151-B275)/(B69-B65-B61-B43-B29)</f>
        <v>#DIV/0!</v>
      </c>
      <c r="C508" s="288" t="e">
        <f t="shared" si="307"/>
        <v>#DIV/0!</v>
      </c>
      <c r="D508" s="288" t="e">
        <f t="shared" ref="D508:F508" si="308">(12/D9)*(D148+D151-D275)/(D69-D65-D61-D43-D29)</f>
        <v>#DIV/0!</v>
      </c>
      <c r="E508" s="288" t="e">
        <f t="shared" si="308"/>
        <v>#DIV/0!</v>
      </c>
      <c r="F508" s="288" t="e">
        <f t="shared" si="308"/>
        <v>#DIV/0!</v>
      </c>
      <c r="G508" s="288" t="e">
        <f t="shared" si="307"/>
        <v>#DIV/0!</v>
      </c>
      <c r="H508" s="288" t="e">
        <f t="shared" si="307"/>
        <v>#DIV/0!</v>
      </c>
      <c r="I508" s="288" t="e">
        <f t="shared" si="307"/>
        <v>#DIV/0!</v>
      </c>
      <c r="J508" s="289" t="e">
        <f t="shared" si="307"/>
        <v>#DIV/0!</v>
      </c>
      <c r="K508" s="289" t="e">
        <f t="shared" si="307"/>
        <v>#DIV/0!</v>
      </c>
    </row>
    <row r="509" spans="1:11" ht="13.2" x14ac:dyDescent="0.25">
      <c r="A509" s="306" t="s">
        <v>669</v>
      </c>
      <c r="B509" s="291" t="e">
        <f t="shared" ref="B509:K509" si="309">(B145*(12/B9))/B21</f>
        <v>#DIV/0!</v>
      </c>
      <c r="C509" s="291" t="e">
        <f t="shared" si="309"/>
        <v>#DIV/0!</v>
      </c>
      <c r="D509" s="291" t="e">
        <f t="shared" ref="D509:F509" si="310">(D145*(12/D9))/D21</f>
        <v>#DIV/0!</v>
      </c>
      <c r="E509" s="291" t="e">
        <f t="shared" si="310"/>
        <v>#DIV/0!</v>
      </c>
      <c r="F509" s="291" t="e">
        <f t="shared" si="310"/>
        <v>#DIV/0!</v>
      </c>
      <c r="G509" s="291" t="e">
        <f t="shared" si="309"/>
        <v>#DIV/0!</v>
      </c>
      <c r="H509" s="291" t="e">
        <f t="shared" si="309"/>
        <v>#DIV/0!</v>
      </c>
      <c r="I509" s="291" t="e">
        <f t="shared" si="309"/>
        <v>#DIV/0!</v>
      </c>
      <c r="J509" s="292" t="e">
        <f t="shared" si="309"/>
        <v>#DIV/0!</v>
      </c>
      <c r="K509" s="292" t="e">
        <f t="shared" si="309"/>
        <v>#DIV/0!</v>
      </c>
    </row>
    <row r="510" spans="1:11" ht="13.2" x14ac:dyDescent="0.25">
      <c r="A510" s="307" t="s">
        <v>670</v>
      </c>
      <c r="B510" s="291" t="e">
        <f>100*(12/B9)*SUM(B255:B257)/B145</f>
        <v>#DIV/0!</v>
      </c>
      <c r="C510" s="291" t="e">
        <f t="shared" ref="C510:K510" si="311">100*(12/C9)*SUM(C255:C257)/C145</f>
        <v>#DIV/0!</v>
      </c>
      <c r="D510" s="291" t="e">
        <f t="shared" ref="D510:F510" si="312">100*(12/D9)*SUM(D255:D257)/D145</f>
        <v>#DIV/0!</v>
      </c>
      <c r="E510" s="291" t="e">
        <f t="shared" si="312"/>
        <v>#DIV/0!</v>
      </c>
      <c r="F510" s="291" t="e">
        <f t="shared" si="312"/>
        <v>#DIV/0!</v>
      </c>
      <c r="G510" s="291" t="e">
        <f t="shared" si="311"/>
        <v>#DIV/0!</v>
      </c>
      <c r="H510" s="291" t="e">
        <f t="shared" si="311"/>
        <v>#DIV/0!</v>
      </c>
      <c r="I510" s="291" t="e">
        <f t="shared" si="311"/>
        <v>#DIV/0!</v>
      </c>
      <c r="J510" s="292" t="e">
        <f t="shared" si="311"/>
        <v>#DIV/0!</v>
      </c>
      <c r="K510" s="292" t="e">
        <f t="shared" si="311"/>
        <v>#DIV/0!</v>
      </c>
    </row>
    <row r="511" spans="1:11" ht="13.2" x14ac:dyDescent="0.25">
      <c r="A511" s="307" t="s">
        <v>671</v>
      </c>
      <c r="B511" s="291" t="e">
        <f t="shared" ref="B511:K511" si="313">100*(12/B9)*(B275+B277+B278+B280)/B145</f>
        <v>#DIV/0!</v>
      </c>
      <c r="C511" s="291" t="e">
        <f t="shared" si="313"/>
        <v>#DIV/0!</v>
      </c>
      <c r="D511" s="291" t="e">
        <f t="shared" ref="D511:F511" si="314">100*(12/D9)*(D275+D277+D278+D280)/D145</f>
        <v>#DIV/0!</v>
      </c>
      <c r="E511" s="291" t="e">
        <f t="shared" si="314"/>
        <v>#DIV/0!</v>
      </c>
      <c r="F511" s="291" t="e">
        <f t="shared" si="314"/>
        <v>#DIV/0!</v>
      </c>
      <c r="G511" s="291" t="e">
        <f t="shared" si="313"/>
        <v>#DIV/0!</v>
      </c>
      <c r="H511" s="291" t="e">
        <f t="shared" si="313"/>
        <v>#DIV/0!</v>
      </c>
      <c r="I511" s="291" t="e">
        <f t="shared" si="313"/>
        <v>#DIV/0!</v>
      </c>
      <c r="J511" s="292" t="e">
        <f t="shared" si="313"/>
        <v>#DIV/0!</v>
      </c>
      <c r="K511" s="292" t="e">
        <f t="shared" si="313"/>
        <v>#DIV/0!</v>
      </c>
    </row>
    <row r="512" spans="1:11" ht="13.2" x14ac:dyDescent="0.25">
      <c r="A512" s="307" t="s">
        <v>672</v>
      </c>
      <c r="B512" s="229" t="e">
        <f t="shared" ref="B512:K512" si="315">12/B9*(B17+B19+B21)/B302</f>
        <v>#DIV/0!</v>
      </c>
      <c r="C512" s="229" t="e">
        <f t="shared" si="315"/>
        <v>#DIV/0!</v>
      </c>
      <c r="D512" s="229" t="e">
        <f t="shared" ref="D512:F512" si="316">12/D9*(D17+D19+D21)/D302</f>
        <v>#DIV/0!</v>
      </c>
      <c r="E512" s="229" t="e">
        <f t="shared" si="316"/>
        <v>#DIV/0!</v>
      </c>
      <c r="F512" s="229" t="e">
        <f t="shared" si="316"/>
        <v>#DIV/0!</v>
      </c>
      <c r="G512" s="229" t="e">
        <f t="shared" si="315"/>
        <v>#DIV/0!</v>
      </c>
      <c r="H512" s="229" t="e">
        <f t="shared" si="315"/>
        <v>#DIV/0!</v>
      </c>
      <c r="I512" s="229" t="e">
        <f t="shared" si="315"/>
        <v>#DIV/0!</v>
      </c>
      <c r="J512" s="230" t="e">
        <f t="shared" si="315"/>
        <v>#DIV/0!</v>
      </c>
      <c r="K512" s="230" t="e">
        <f t="shared" si="315"/>
        <v>#DIV/0!</v>
      </c>
    </row>
    <row r="513" spans="1:11" ht="13.2" x14ac:dyDescent="0.25">
      <c r="A513" s="298" t="s">
        <v>673</v>
      </c>
      <c r="B513" s="229" t="e">
        <f t="shared" ref="B513:K513" si="317">(12/B9)*(B145+B304)/B302</f>
        <v>#DIV/0!</v>
      </c>
      <c r="C513" s="229" t="e">
        <f t="shared" si="317"/>
        <v>#DIV/0!</v>
      </c>
      <c r="D513" s="229" t="e">
        <f t="shared" ref="D513:F513" si="318">(12/D9)*(D145+D304)/D302</f>
        <v>#DIV/0!</v>
      </c>
      <c r="E513" s="229" t="e">
        <f t="shared" si="318"/>
        <v>#DIV/0!</v>
      </c>
      <c r="F513" s="229" t="e">
        <f t="shared" si="318"/>
        <v>#DIV/0!</v>
      </c>
      <c r="G513" s="229" t="e">
        <f t="shared" si="317"/>
        <v>#DIV/0!</v>
      </c>
      <c r="H513" s="229" t="e">
        <f t="shared" si="317"/>
        <v>#DIV/0!</v>
      </c>
      <c r="I513" s="229" t="e">
        <f t="shared" si="317"/>
        <v>#DIV/0!</v>
      </c>
      <c r="J513" s="230" t="e">
        <f t="shared" si="317"/>
        <v>#DIV/0!</v>
      </c>
      <c r="K513" s="230" t="e">
        <f t="shared" si="317"/>
        <v>#DIV/0!</v>
      </c>
    </row>
    <row r="514" spans="1:11" ht="13.2" x14ac:dyDescent="0.25">
      <c r="A514" s="308" t="s">
        <v>674</v>
      </c>
      <c r="B514" s="309" t="e">
        <f t="shared" ref="B514:K514" si="319">(12/B9)*(B160+B304)/B302</f>
        <v>#DIV/0!</v>
      </c>
      <c r="C514" s="309" t="e">
        <f t="shared" si="319"/>
        <v>#DIV/0!</v>
      </c>
      <c r="D514" s="309" t="e">
        <f t="shared" ref="D514:F514" si="320">(12/D9)*(D160+D304)/D302</f>
        <v>#DIV/0!</v>
      </c>
      <c r="E514" s="309" t="e">
        <f t="shared" si="320"/>
        <v>#DIV/0!</v>
      </c>
      <c r="F514" s="309" t="e">
        <f t="shared" si="320"/>
        <v>#DIV/0!</v>
      </c>
      <c r="G514" s="309" t="e">
        <f t="shared" si="319"/>
        <v>#DIV/0!</v>
      </c>
      <c r="H514" s="309" t="e">
        <f t="shared" si="319"/>
        <v>#DIV/0!</v>
      </c>
      <c r="I514" s="309" t="e">
        <f t="shared" si="319"/>
        <v>#DIV/0!</v>
      </c>
      <c r="J514" s="310" t="e">
        <f t="shared" si="319"/>
        <v>#DIV/0!</v>
      </c>
      <c r="K514" s="310" t="e">
        <f t="shared" si="319"/>
        <v>#DIV/0!</v>
      </c>
    </row>
    <row r="518" spans="1:11" x14ac:dyDescent="0.2">
      <c r="A518" s="311" t="s">
        <v>675</v>
      </c>
      <c r="B518" s="312"/>
      <c r="C518" s="312"/>
      <c r="D518" s="312"/>
      <c r="E518" s="312"/>
      <c r="F518" s="312"/>
      <c r="G518" s="312"/>
      <c r="H518" s="312"/>
      <c r="I518" s="312"/>
      <c r="J518" s="312"/>
      <c r="K518" s="312"/>
    </row>
    <row r="519" spans="1:11" x14ac:dyDescent="0.2">
      <c r="A519" s="270"/>
    </row>
    <row r="520" spans="1:11" x14ac:dyDescent="0.2">
      <c r="A520" s="270" t="s">
        <v>676</v>
      </c>
    </row>
    <row r="521" spans="1:11" x14ac:dyDescent="0.2">
      <c r="A521" s="271" t="s">
        <v>677</v>
      </c>
    </row>
    <row r="522" spans="1:11" x14ac:dyDescent="0.2">
      <c r="A522" s="271" t="s">
        <v>678</v>
      </c>
    </row>
    <row r="523" spans="1:11" x14ac:dyDescent="0.2">
      <c r="A523" s="270" t="s">
        <v>679</v>
      </c>
    </row>
    <row r="524" spans="1:11" x14ac:dyDescent="0.2">
      <c r="A524" s="270" t="s">
        <v>680</v>
      </c>
    </row>
    <row r="525" spans="1:11" x14ac:dyDescent="0.2">
      <c r="A525" s="270" t="s">
        <v>681</v>
      </c>
    </row>
    <row r="526" spans="1:11" x14ac:dyDescent="0.2">
      <c r="A526" s="270" t="s">
        <v>682</v>
      </c>
    </row>
    <row r="527" spans="1:11" x14ac:dyDescent="0.2">
      <c r="A527" s="270" t="s">
        <v>683</v>
      </c>
    </row>
    <row r="528" spans="1:11" x14ac:dyDescent="0.2">
      <c r="A528" s="270" t="s">
        <v>684</v>
      </c>
    </row>
    <row r="529" spans="1:1" x14ac:dyDescent="0.2">
      <c r="A529" s="270" t="s">
        <v>685</v>
      </c>
    </row>
    <row r="530" spans="1:1" x14ac:dyDescent="0.2">
      <c r="A530" s="271" t="s">
        <v>686</v>
      </c>
    </row>
    <row r="531" spans="1:1" x14ac:dyDescent="0.2">
      <c r="A531" s="270" t="s">
        <v>687</v>
      </c>
    </row>
    <row r="532" spans="1:1" x14ac:dyDescent="0.2">
      <c r="A532" s="270" t="s">
        <v>688</v>
      </c>
    </row>
    <row r="533" spans="1:1" x14ac:dyDescent="0.2">
      <c r="A533" s="271" t="s">
        <v>689</v>
      </c>
    </row>
    <row r="534" spans="1:1" x14ac:dyDescent="0.2">
      <c r="A534" s="271" t="s">
        <v>690</v>
      </c>
    </row>
    <row r="535" spans="1:1" x14ac:dyDescent="0.2">
      <c r="A535" s="270" t="s">
        <v>691</v>
      </c>
    </row>
    <row r="536" spans="1:1" x14ac:dyDescent="0.2">
      <c r="A536" s="270" t="s">
        <v>692</v>
      </c>
    </row>
    <row r="537" spans="1:1" x14ac:dyDescent="0.2">
      <c r="A537" s="270" t="s">
        <v>693</v>
      </c>
    </row>
    <row r="538" spans="1:1" x14ac:dyDescent="0.2">
      <c r="A538" s="270" t="s">
        <v>694</v>
      </c>
    </row>
    <row r="539" spans="1:1" x14ac:dyDescent="0.2">
      <c r="A539" s="271" t="s">
        <v>695</v>
      </c>
    </row>
    <row r="540" spans="1:1" x14ac:dyDescent="0.2">
      <c r="A540" s="270" t="s">
        <v>696</v>
      </c>
    </row>
    <row r="541" spans="1:1" x14ac:dyDescent="0.2">
      <c r="A541" s="270" t="s">
        <v>697</v>
      </c>
    </row>
    <row r="542" spans="1:1" x14ac:dyDescent="0.2">
      <c r="A542" s="270" t="s">
        <v>698</v>
      </c>
    </row>
    <row r="543" spans="1:1" x14ac:dyDescent="0.2">
      <c r="A543" s="313" t="s">
        <v>699</v>
      </c>
    </row>
    <row r="544" spans="1:1" x14ac:dyDescent="0.2">
      <c r="A544" s="271" t="s">
        <v>700</v>
      </c>
    </row>
    <row r="545" spans="1:11" x14ac:dyDescent="0.2">
      <c r="A545" s="314" t="s">
        <v>701</v>
      </c>
      <c r="B545" s="315"/>
      <c r="C545" s="315"/>
      <c r="D545" s="315"/>
      <c r="E545" s="315"/>
      <c r="F545" s="315"/>
      <c r="G545" s="315"/>
      <c r="H545" s="315"/>
      <c r="I545" s="315"/>
      <c r="J545" s="315"/>
      <c r="K545" s="315"/>
    </row>
    <row r="548" spans="1:11" x14ac:dyDescent="0.2">
      <c r="A548" s="316"/>
    </row>
    <row r="549" spans="1:11" x14ac:dyDescent="0.2">
      <c r="A549" s="316"/>
    </row>
    <row r="550" spans="1:11" x14ac:dyDescent="0.2">
      <c r="A550" s="316"/>
    </row>
    <row r="551" spans="1:11" x14ac:dyDescent="0.2">
      <c r="A551" s="316"/>
    </row>
    <row r="552" spans="1:11" x14ac:dyDescent="0.2">
      <c r="A552" s="316"/>
    </row>
    <row r="553" spans="1:11" x14ac:dyDescent="0.2">
      <c r="A553" s="316"/>
    </row>
    <row r="554" spans="1:11" x14ac:dyDescent="0.2">
      <c r="A554" s="316"/>
    </row>
    <row r="555" spans="1:11" x14ac:dyDescent="0.2">
      <c r="A555" s="316"/>
    </row>
    <row r="556" spans="1:11" x14ac:dyDescent="0.2">
      <c r="A556" s="316"/>
    </row>
    <row r="557" spans="1:11" x14ac:dyDescent="0.2">
      <c r="A557" s="316"/>
    </row>
    <row r="558" spans="1:11" x14ac:dyDescent="0.2">
      <c r="A558" s="316"/>
    </row>
    <row r="559" spans="1:11" x14ac:dyDescent="0.2">
      <c r="A559" s="316"/>
    </row>
    <row r="560" spans="1:11" x14ac:dyDescent="0.2">
      <c r="A560" s="316"/>
    </row>
    <row r="561" spans="1:1" x14ac:dyDescent="0.2">
      <c r="A561" s="316"/>
    </row>
    <row r="562" spans="1:1" x14ac:dyDescent="0.2">
      <c r="A562" s="316"/>
    </row>
    <row r="563" spans="1:1" x14ac:dyDescent="0.2">
      <c r="A563" s="316"/>
    </row>
    <row r="564" spans="1:1" x14ac:dyDescent="0.2">
      <c r="A564" s="316"/>
    </row>
    <row r="565" spans="1:1" x14ac:dyDescent="0.2">
      <c r="A565" s="316"/>
    </row>
    <row r="566" spans="1:1" x14ac:dyDescent="0.2">
      <c r="A566" s="316"/>
    </row>
    <row r="567" spans="1:1" x14ac:dyDescent="0.2">
      <c r="A567" s="316"/>
    </row>
    <row r="568" spans="1:1" x14ac:dyDescent="0.2">
      <c r="A568" s="316"/>
    </row>
    <row r="569" spans="1:1" x14ac:dyDescent="0.2">
      <c r="A569" s="316"/>
    </row>
    <row r="570" spans="1:1" x14ac:dyDescent="0.2">
      <c r="A570" s="316"/>
    </row>
    <row r="571" spans="1:1" x14ac:dyDescent="0.2">
      <c r="A571" s="316"/>
    </row>
    <row r="572" spans="1:1" x14ac:dyDescent="0.2">
      <c r="A572" s="316"/>
    </row>
    <row r="573" spans="1:1" x14ac:dyDescent="0.2">
      <c r="A573" s="316"/>
    </row>
    <row r="574" spans="1:1" x14ac:dyDescent="0.2">
      <c r="A574" s="316"/>
    </row>
    <row r="575" spans="1:1" x14ac:dyDescent="0.2">
      <c r="A575" s="316"/>
    </row>
    <row r="576" spans="1:1" x14ac:dyDescent="0.2">
      <c r="A576" s="316"/>
    </row>
    <row r="577" spans="1:1" x14ac:dyDescent="0.2">
      <c r="A577" s="316"/>
    </row>
    <row r="578" spans="1:1" x14ac:dyDescent="0.2">
      <c r="A578" s="316"/>
    </row>
    <row r="579" spans="1:1" x14ac:dyDescent="0.2">
      <c r="A579" s="316"/>
    </row>
    <row r="580" spans="1:1" x14ac:dyDescent="0.2">
      <c r="A580" s="316"/>
    </row>
    <row r="581" spans="1:1" x14ac:dyDescent="0.2">
      <c r="A581" s="316"/>
    </row>
    <row r="582" spans="1:1" x14ac:dyDescent="0.2">
      <c r="A582" s="316"/>
    </row>
    <row r="583" spans="1:1" x14ac:dyDescent="0.2">
      <c r="A583" s="316"/>
    </row>
    <row r="584" spans="1:1" x14ac:dyDescent="0.2">
      <c r="A584" s="316"/>
    </row>
    <row r="585" spans="1:1" x14ac:dyDescent="0.2">
      <c r="A585" s="316"/>
    </row>
    <row r="586" spans="1:1" x14ac:dyDescent="0.2">
      <c r="A586" s="316"/>
    </row>
    <row r="587" spans="1:1" x14ac:dyDescent="0.2">
      <c r="A587" s="316"/>
    </row>
    <row r="588" spans="1:1" x14ac:dyDescent="0.2">
      <c r="A588" s="316"/>
    </row>
    <row r="589" spans="1:1" x14ac:dyDescent="0.2">
      <c r="A589" s="316"/>
    </row>
    <row r="590" spans="1:1" x14ac:dyDescent="0.2">
      <c r="A590" s="316"/>
    </row>
    <row r="591" spans="1:1" x14ac:dyDescent="0.2">
      <c r="A591" s="316"/>
    </row>
    <row r="592" spans="1:1" x14ac:dyDescent="0.2">
      <c r="A592" s="316"/>
    </row>
    <row r="593" spans="1:1" x14ac:dyDescent="0.2">
      <c r="A593" s="316"/>
    </row>
    <row r="594" spans="1:1" x14ac:dyDescent="0.2">
      <c r="A594" s="316"/>
    </row>
    <row r="595" spans="1:1" x14ac:dyDescent="0.2">
      <c r="A595" s="316"/>
    </row>
    <row r="596" spans="1:1" x14ac:dyDescent="0.2">
      <c r="A596" s="316"/>
    </row>
    <row r="597" spans="1:1" x14ac:dyDescent="0.2">
      <c r="A597" s="316"/>
    </row>
    <row r="598" spans="1:1" x14ac:dyDescent="0.2">
      <c r="A598" s="316"/>
    </row>
    <row r="599" spans="1:1" x14ac:dyDescent="0.2">
      <c r="A599" s="316"/>
    </row>
    <row r="600" spans="1:1" x14ac:dyDescent="0.2">
      <c r="A600" s="316"/>
    </row>
    <row r="601" spans="1:1" x14ac:dyDescent="0.2">
      <c r="A601" s="316"/>
    </row>
    <row r="602" spans="1:1" x14ac:dyDescent="0.2">
      <c r="A602" s="316"/>
    </row>
    <row r="603" spans="1:1" x14ac:dyDescent="0.2">
      <c r="A603" s="316"/>
    </row>
    <row r="604" spans="1:1" x14ac:dyDescent="0.2">
      <c r="A604" s="316"/>
    </row>
    <row r="605" spans="1:1" x14ac:dyDescent="0.2">
      <c r="A605" s="316"/>
    </row>
    <row r="606" spans="1:1" x14ac:dyDescent="0.2">
      <c r="A606" s="316"/>
    </row>
    <row r="607" spans="1:1" x14ac:dyDescent="0.2">
      <c r="A607" s="316"/>
    </row>
    <row r="608" spans="1:1" x14ac:dyDescent="0.2">
      <c r="A608" s="316"/>
    </row>
    <row r="609" spans="1:1" x14ac:dyDescent="0.2">
      <c r="A609" s="316"/>
    </row>
    <row r="610" spans="1:1" x14ac:dyDescent="0.2">
      <c r="A610" s="316"/>
    </row>
    <row r="611" spans="1:1" x14ac:dyDescent="0.2">
      <c r="A611" s="316"/>
    </row>
    <row r="612" spans="1:1" x14ac:dyDescent="0.2">
      <c r="A612" s="316"/>
    </row>
    <row r="613" spans="1:1" x14ac:dyDescent="0.2">
      <c r="A613" s="316"/>
    </row>
    <row r="614" spans="1:1" x14ac:dyDescent="0.2">
      <c r="A614" s="316"/>
    </row>
    <row r="615" spans="1:1" x14ac:dyDescent="0.2">
      <c r="A615" s="316"/>
    </row>
    <row r="616" spans="1:1" x14ac:dyDescent="0.2">
      <c r="A616" s="316"/>
    </row>
    <row r="617" spans="1:1" x14ac:dyDescent="0.2">
      <c r="A617" s="316"/>
    </row>
    <row r="618" spans="1:1" x14ac:dyDescent="0.2">
      <c r="A618" s="316"/>
    </row>
    <row r="619" spans="1:1" x14ac:dyDescent="0.2">
      <c r="A619" s="316"/>
    </row>
    <row r="620" spans="1:1" x14ac:dyDescent="0.2">
      <c r="A620" s="316"/>
    </row>
    <row r="621" spans="1:1" x14ac:dyDescent="0.2">
      <c r="A621" s="316"/>
    </row>
    <row r="622" spans="1:1" x14ac:dyDescent="0.2">
      <c r="A622" s="316"/>
    </row>
    <row r="623" spans="1:1" x14ac:dyDescent="0.2">
      <c r="A623" s="316"/>
    </row>
    <row r="624" spans="1:1" x14ac:dyDescent="0.2">
      <c r="A624" s="316"/>
    </row>
    <row r="625" spans="1:1" x14ac:dyDescent="0.2">
      <c r="A625" s="316"/>
    </row>
    <row r="626" spans="1:1" x14ac:dyDescent="0.2">
      <c r="A626" s="316"/>
    </row>
    <row r="627" spans="1:1" x14ac:dyDescent="0.2">
      <c r="A627" s="316"/>
    </row>
    <row r="628" spans="1:1" x14ac:dyDescent="0.2">
      <c r="A628" s="316"/>
    </row>
    <row r="629" spans="1:1" x14ac:dyDescent="0.2">
      <c r="A629" s="316"/>
    </row>
    <row r="630" spans="1:1" x14ac:dyDescent="0.2">
      <c r="A630" s="316"/>
    </row>
    <row r="631" spans="1:1" x14ac:dyDescent="0.2">
      <c r="A631" s="316"/>
    </row>
    <row r="632" spans="1:1" x14ac:dyDescent="0.2">
      <c r="A632" s="316"/>
    </row>
    <row r="633" spans="1:1" x14ac:dyDescent="0.2">
      <c r="A633" s="316"/>
    </row>
    <row r="634" spans="1:1" x14ac:dyDescent="0.2">
      <c r="A634" s="316"/>
    </row>
    <row r="635" spans="1:1" x14ac:dyDescent="0.2">
      <c r="A635" s="316"/>
    </row>
    <row r="636" spans="1:1" x14ac:dyDescent="0.2">
      <c r="A636" s="316"/>
    </row>
    <row r="637" spans="1:1" x14ac:dyDescent="0.2">
      <c r="A637" s="316"/>
    </row>
    <row r="638" spans="1:1" x14ac:dyDescent="0.2">
      <c r="A638" s="316"/>
    </row>
    <row r="639" spans="1:1" x14ac:dyDescent="0.2">
      <c r="A639" s="316"/>
    </row>
    <row r="640" spans="1:1" x14ac:dyDescent="0.2">
      <c r="A640" s="316"/>
    </row>
    <row r="641" spans="1:1" x14ac:dyDescent="0.2">
      <c r="A641" s="316"/>
    </row>
    <row r="642" spans="1:1" x14ac:dyDescent="0.2">
      <c r="A642" s="316"/>
    </row>
    <row r="643" spans="1:1" x14ac:dyDescent="0.2">
      <c r="A643" s="316"/>
    </row>
    <row r="644" spans="1:1" x14ac:dyDescent="0.2">
      <c r="A644" s="316"/>
    </row>
    <row r="645" spans="1:1" x14ac:dyDescent="0.2">
      <c r="A645" s="316"/>
    </row>
    <row r="646" spans="1:1" x14ac:dyDescent="0.2">
      <c r="A646" s="316"/>
    </row>
    <row r="647" spans="1:1" x14ac:dyDescent="0.2">
      <c r="A647" s="316"/>
    </row>
    <row r="648" spans="1:1" x14ac:dyDescent="0.2">
      <c r="A648" s="316"/>
    </row>
    <row r="649" spans="1:1" x14ac:dyDescent="0.2">
      <c r="A649" s="316"/>
    </row>
    <row r="650" spans="1:1" x14ac:dyDescent="0.2">
      <c r="A650" s="316"/>
    </row>
    <row r="651" spans="1:1" x14ac:dyDescent="0.2">
      <c r="A651" s="316"/>
    </row>
    <row r="652" spans="1:1" x14ac:dyDescent="0.2">
      <c r="A652" s="316"/>
    </row>
    <row r="653" spans="1:1" x14ac:dyDescent="0.2">
      <c r="A653" s="316"/>
    </row>
    <row r="654" spans="1:1" x14ac:dyDescent="0.2">
      <c r="A654" s="316"/>
    </row>
    <row r="655" spans="1:1" x14ac:dyDescent="0.2">
      <c r="A655" s="316"/>
    </row>
    <row r="656" spans="1:1" x14ac:dyDescent="0.2">
      <c r="A656" s="316"/>
    </row>
    <row r="657" spans="1:1" x14ac:dyDescent="0.2">
      <c r="A657" s="316"/>
    </row>
    <row r="658" spans="1:1" x14ac:dyDescent="0.2">
      <c r="A658" s="316"/>
    </row>
    <row r="659" spans="1:1" x14ac:dyDescent="0.2">
      <c r="A659" s="316"/>
    </row>
    <row r="660" spans="1:1" x14ac:dyDescent="0.2">
      <c r="A660" s="316"/>
    </row>
    <row r="661" spans="1:1" x14ac:dyDescent="0.2">
      <c r="A661" s="316"/>
    </row>
    <row r="662" spans="1:1" x14ac:dyDescent="0.2">
      <c r="A662" s="316"/>
    </row>
    <row r="663" spans="1:1" x14ac:dyDescent="0.2">
      <c r="A663" s="316"/>
    </row>
    <row r="664" spans="1:1" x14ac:dyDescent="0.2">
      <c r="A664" s="316"/>
    </row>
    <row r="665" spans="1:1" x14ac:dyDescent="0.2">
      <c r="A665" s="316"/>
    </row>
    <row r="666" spans="1:1" x14ac:dyDescent="0.2">
      <c r="A666" s="316"/>
    </row>
    <row r="667" spans="1:1" x14ac:dyDescent="0.2">
      <c r="A667" s="316"/>
    </row>
    <row r="668" spans="1:1" x14ac:dyDescent="0.2">
      <c r="A668" s="316"/>
    </row>
    <row r="669" spans="1:1" x14ac:dyDescent="0.2">
      <c r="A669" s="316"/>
    </row>
    <row r="670" spans="1:1" x14ac:dyDescent="0.2">
      <c r="A670" s="316"/>
    </row>
    <row r="671" spans="1:1" x14ac:dyDescent="0.2">
      <c r="A671" s="316"/>
    </row>
    <row r="672" spans="1:1" x14ac:dyDescent="0.2">
      <c r="A672" s="316"/>
    </row>
    <row r="673" spans="1:1" x14ac:dyDescent="0.2">
      <c r="A673" s="316"/>
    </row>
    <row r="674" spans="1:1" x14ac:dyDescent="0.2">
      <c r="A674" s="316"/>
    </row>
    <row r="675" spans="1:1" x14ac:dyDescent="0.2">
      <c r="A675" s="316"/>
    </row>
    <row r="676" spans="1:1" x14ac:dyDescent="0.2">
      <c r="A676" s="316"/>
    </row>
    <row r="677" spans="1:1" x14ac:dyDescent="0.2">
      <c r="A677" s="316"/>
    </row>
    <row r="678" spans="1:1" x14ac:dyDescent="0.2">
      <c r="A678" s="316"/>
    </row>
    <row r="679" spans="1:1" x14ac:dyDescent="0.2">
      <c r="A679" s="316"/>
    </row>
    <row r="680" spans="1:1" x14ac:dyDescent="0.2">
      <c r="A680" s="316"/>
    </row>
    <row r="681" spans="1:1" x14ac:dyDescent="0.2">
      <c r="A681" s="316"/>
    </row>
    <row r="682" spans="1:1" x14ac:dyDescent="0.2">
      <c r="A682" s="316"/>
    </row>
    <row r="683" spans="1:1" x14ac:dyDescent="0.2">
      <c r="A683" s="316"/>
    </row>
    <row r="684" spans="1:1" x14ac:dyDescent="0.2">
      <c r="A684" s="316"/>
    </row>
    <row r="685" spans="1:1" x14ac:dyDescent="0.2">
      <c r="A685" s="316"/>
    </row>
    <row r="686" spans="1:1" x14ac:dyDescent="0.2">
      <c r="A686" s="316"/>
    </row>
    <row r="687" spans="1:1" x14ac:dyDescent="0.2">
      <c r="A687" s="316"/>
    </row>
    <row r="688" spans="1:1" x14ac:dyDescent="0.2">
      <c r="A688" s="316"/>
    </row>
    <row r="689" spans="1:1" x14ac:dyDescent="0.2">
      <c r="A689" s="316"/>
    </row>
    <row r="690" spans="1:1" x14ac:dyDescent="0.2">
      <c r="A690" s="316"/>
    </row>
    <row r="691" spans="1:1" x14ac:dyDescent="0.2">
      <c r="A691" s="316"/>
    </row>
    <row r="692" spans="1:1" x14ac:dyDescent="0.2">
      <c r="A692" s="316"/>
    </row>
    <row r="693" spans="1:1" x14ac:dyDescent="0.2">
      <c r="A693" s="316"/>
    </row>
    <row r="694" spans="1:1" x14ac:dyDescent="0.2">
      <c r="A694" s="316"/>
    </row>
    <row r="695" spans="1:1" x14ac:dyDescent="0.2">
      <c r="A695" s="316"/>
    </row>
    <row r="696" spans="1:1" x14ac:dyDescent="0.2">
      <c r="A696" s="316"/>
    </row>
    <row r="697" spans="1:1" x14ac:dyDescent="0.2">
      <c r="A697" s="316"/>
    </row>
    <row r="698" spans="1:1" x14ac:dyDescent="0.2">
      <c r="A698" s="316"/>
    </row>
    <row r="699" spans="1:1" x14ac:dyDescent="0.2">
      <c r="A699" s="316"/>
    </row>
    <row r="700" spans="1:1" x14ac:dyDescent="0.2">
      <c r="A700" s="316"/>
    </row>
    <row r="701" spans="1:1" x14ac:dyDescent="0.2">
      <c r="A701" s="316"/>
    </row>
    <row r="702" spans="1:1" x14ac:dyDescent="0.2">
      <c r="A702" s="316"/>
    </row>
    <row r="703" spans="1:1" x14ac:dyDescent="0.2">
      <c r="A703" s="316"/>
    </row>
    <row r="706" spans="1:11" ht="13.2" x14ac:dyDescent="0.25">
      <c r="D706" s="141"/>
      <c r="E706" s="141"/>
      <c r="F706" s="141"/>
      <c r="G706" s="141"/>
      <c r="H706" s="141"/>
      <c r="I706" s="141"/>
      <c r="J706" s="141"/>
      <c r="K706" s="141"/>
    </row>
    <row r="707" spans="1:11" ht="13.2" x14ac:dyDescent="0.25">
      <c r="D707" s="141"/>
      <c r="E707" s="141"/>
      <c r="F707" s="141"/>
      <c r="G707" s="141"/>
      <c r="H707" s="141"/>
      <c r="I707" s="141"/>
      <c r="J707" s="141"/>
      <c r="K707" s="141"/>
    </row>
    <row r="708" spans="1:11" ht="13.2" x14ac:dyDescent="0.25">
      <c r="D708" s="141"/>
      <c r="E708" s="141"/>
      <c r="F708" s="141"/>
      <c r="G708" s="141"/>
      <c r="H708" s="141"/>
      <c r="I708" s="141"/>
      <c r="J708" s="141"/>
      <c r="K708" s="141"/>
    </row>
    <row r="709" spans="1:11" ht="13.2" x14ac:dyDescent="0.25">
      <c r="D709" s="141"/>
      <c r="E709" s="141"/>
      <c r="F709" s="141"/>
      <c r="G709" s="141"/>
      <c r="H709" s="141"/>
      <c r="I709" s="141"/>
      <c r="J709" s="141"/>
      <c r="K709" s="141"/>
    </row>
    <row r="710" spans="1:11" ht="13.2" x14ac:dyDescent="0.25">
      <c r="D710" s="141"/>
      <c r="E710" s="141"/>
      <c r="F710" s="141"/>
      <c r="G710" s="141"/>
      <c r="H710" s="141"/>
      <c r="I710" s="141"/>
      <c r="J710" s="141"/>
      <c r="K710" s="141"/>
    </row>
    <row r="711" spans="1:11" ht="13.2" x14ac:dyDescent="0.25">
      <c r="D711" s="141"/>
      <c r="E711" s="141"/>
      <c r="F711" s="141"/>
      <c r="G711" s="141"/>
      <c r="H711" s="141"/>
      <c r="I711" s="141"/>
      <c r="J711" s="141"/>
      <c r="K711" s="141"/>
    </row>
    <row r="712" spans="1:11" ht="13.2" x14ac:dyDescent="0.25">
      <c r="A712" s="141"/>
      <c r="D712" s="141"/>
      <c r="E712" s="141"/>
      <c r="F712" s="141"/>
      <c r="G712" s="141"/>
      <c r="H712" s="141"/>
      <c r="I712" s="141"/>
      <c r="J712" s="141"/>
      <c r="K712" s="141"/>
    </row>
    <row r="713" spans="1:11" ht="13.2" x14ac:dyDescent="0.25">
      <c r="A713" s="141"/>
      <c r="D713" s="141"/>
      <c r="E713" s="141"/>
      <c r="F713" s="141"/>
      <c r="G713" s="141"/>
      <c r="H713" s="141"/>
      <c r="I713" s="141"/>
      <c r="J713" s="141"/>
      <c r="K713" s="141"/>
    </row>
    <row r="714" spans="1:11" ht="13.2" x14ac:dyDescent="0.25">
      <c r="A714" s="141"/>
      <c r="D714" s="141"/>
      <c r="E714" s="141"/>
      <c r="F714" s="141"/>
      <c r="G714" s="141"/>
      <c r="H714" s="141"/>
      <c r="I714" s="141"/>
      <c r="J714" s="141"/>
      <c r="K714" s="141"/>
    </row>
    <row r="715" spans="1:11" ht="13.2" x14ac:dyDescent="0.25">
      <c r="A715" s="141"/>
      <c r="D715" s="141"/>
      <c r="E715" s="141"/>
      <c r="F715" s="141"/>
      <c r="G715" s="141"/>
      <c r="H715" s="141"/>
      <c r="I715" s="141"/>
      <c r="J715" s="141"/>
      <c r="K715" s="141"/>
    </row>
    <row r="716" spans="1:11" ht="13.2" x14ac:dyDescent="0.25">
      <c r="A716" s="141"/>
      <c r="D716" s="141"/>
      <c r="E716" s="141"/>
      <c r="F716" s="141"/>
      <c r="G716" s="141"/>
      <c r="H716" s="141"/>
      <c r="I716" s="141"/>
      <c r="J716" s="141"/>
      <c r="K716" s="141"/>
    </row>
    <row r="717" spans="1:11" ht="13.2" x14ac:dyDescent="0.25">
      <c r="D717" s="141"/>
      <c r="E717" s="141"/>
      <c r="F717" s="141"/>
      <c r="G717" s="141"/>
      <c r="H717" s="141"/>
      <c r="I717" s="141"/>
      <c r="J717" s="141"/>
      <c r="K717" s="141"/>
    </row>
    <row r="718" spans="1:11" ht="13.2" x14ac:dyDescent="0.25">
      <c r="D718" s="141"/>
      <c r="E718" s="141"/>
      <c r="F718" s="141"/>
      <c r="G718" s="141"/>
      <c r="H718" s="141"/>
      <c r="I718" s="141"/>
      <c r="J718" s="141"/>
      <c r="K718" s="141"/>
    </row>
    <row r="719" spans="1:11" ht="13.2" x14ac:dyDescent="0.25">
      <c r="D719" s="141"/>
      <c r="E719" s="141"/>
      <c r="F719" s="141"/>
      <c r="G719" s="141"/>
      <c r="H719" s="141"/>
      <c r="I719" s="141"/>
      <c r="J719" s="141"/>
      <c r="K719" s="141"/>
    </row>
    <row r="720" spans="1:11" ht="13.2" x14ac:dyDescent="0.25">
      <c r="D720" s="141"/>
      <c r="E720" s="141"/>
      <c r="F720" s="141"/>
      <c r="G720" s="141"/>
      <c r="H720" s="141"/>
      <c r="I720" s="141"/>
      <c r="J720" s="141"/>
      <c r="K720" s="141"/>
    </row>
    <row r="721" spans="4:11" ht="13.2" x14ac:dyDescent="0.25">
      <c r="D721" s="141"/>
      <c r="E721" s="141"/>
      <c r="F721" s="141"/>
      <c r="G721" s="141"/>
      <c r="H721" s="141"/>
      <c r="I721" s="141"/>
      <c r="J721" s="141"/>
      <c r="K721" s="141"/>
    </row>
    <row r="722" spans="4:11" ht="13.2" x14ac:dyDescent="0.25">
      <c r="D722" s="141"/>
      <c r="E722" s="141"/>
      <c r="F722" s="141"/>
      <c r="G722" s="141"/>
      <c r="H722" s="141"/>
      <c r="I722" s="141"/>
      <c r="J722" s="141"/>
      <c r="K722" s="141"/>
    </row>
    <row r="723" spans="4:11" ht="13.2" x14ac:dyDescent="0.25">
      <c r="D723" s="141"/>
      <c r="E723" s="141"/>
      <c r="F723" s="141"/>
      <c r="G723" s="141"/>
      <c r="H723" s="141"/>
      <c r="I723" s="141"/>
      <c r="J723" s="141"/>
      <c r="K723" s="141"/>
    </row>
    <row r="724" spans="4:11" ht="13.2" x14ac:dyDescent="0.25">
      <c r="D724" s="141"/>
      <c r="E724" s="141"/>
      <c r="F724" s="141"/>
      <c r="G724" s="141"/>
      <c r="H724" s="141"/>
      <c r="I724" s="141"/>
      <c r="J724" s="141"/>
      <c r="K724" s="141"/>
    </row>
    <row r="725" spans="4:11" ht="13.2" x14ac:dyDescent="0.25">
      <c r="D725" s="141"/>
      <c r="E725" s="141"/>
      <c r="F725" s="141"/>
      <c r="G725" s="141"/>
      <c r="H725" s="141"/>
      <c r="I725" s="141"/>
      <c r="J725" s="141"/>
      <c r="K725" s="141"/>
    </row>
    <row r="726" spans="4:11" ht="13.2" x14ac:dyDescent="0.25">
      <c r="D726" s="141"/>
      <c r="E726" s="141"/>
      <c r="F726" s="141"/>
      <c r="G726" s="141"/>
      <c r="H726" s="141"/>
      <c r="I726" s="141"/>
      <c r="J726" s="141"/>
      <c r="K726" s="141"/>
    </row>
    <row r="727" spans="4:11" ht="13.2" x14ac:dyDescent="0.25">
      <c r="D727" s="141"/>
      <c r="E727" s="141"/>
      <c r="F727" s="141"/>
      <c r="G727" s="141"/>
      <c r="H727" s="141"/>
      <c r="I727" s="141"/>
      <c r="J727" s="141"/>
      <c r="K727" s="141"/>
    </row>
    <row r="728" spans="4:11" ht="13.2" x14ac:dyDescent="0.25">
      <c r="D728" s="141"/>
      <c r="E728" s="141"/>
      <c r="F728" s="141"/>
      <c r="G728" s="141"/>
      <c r="H728" s="141"/>
      <c r="I728" s="141"/>
      <c r="J728" s="141"/>
      <c r="K728" s="141"/>
    </row>
    <row r="729" spans="4:11" ht="13.2" x14ac:dyDescent="0.25">
      <c r="D729" s="141"/>
      <c r="E729" s="141"/>
      <c r="F729" s="141"/>
      <c r="G729" s="141"/>
      <c r="H729" s="141"/>
      <c r="I729" s="141"/>
      <c r="J729" s="141"/>
      <c r="K729" s="141"/>
    </row>
    <row r="730" spans="4:11" ht="13.2" x14ac:dyDescent="0.25">
      <c r="D730" s="141"/>
      <c r="E730" s="141"/>
      <c r="F730" s="141"/>
      <c r="G730" s="141"/>
      <c r="H730" s="141"/>
      <c r="I730" s="141"/>
      <c r="J730" s="141"/>
      <c r="K730" s="141"/>
    </row>
    <row r="731" spans="4:11" ht="13.2" x14ac:dyDescent="0.25">
      <c r="D731" s="141"/>
      <c r="E731" s="141"/>
      <c r="F731" s="141"/>
      <c r="G731" s="141"/>
      <c r="H731" s="141"/>
      <c r="I731" s="141"/>
      <c r="J731" s="141"/>
      <c r="K731" s="141"/>
    </row>
    <row r="732" spans="4:11" ht="13.2" x14ac:dyDescent="0.25">
      <c r="D732" s="141"/>
      <c r="E732" s="141"/>
      <c r="F732" s="141"/>
      <c r="G732" s="141"/>
      <c r="H732" s="141"/>
      <c r="I732" s="141"/>
      <c r="J732" s="141"/>
      <c r="K732" s="141"/>
    </row>
    <row r="733" spans="4:11" ht="13.2" x14ac:dyDescent="0.25">
      <c r="D733" s="141"/>
      <c r="E733" s="141"/>
      <c r="F733" s="141"/>
      <c r="G733" s="141"/>
      <c r="H733" s="141"/>
      <c r="I733" s="141"/>
      <c r="J733" s="141"/>
      <c r="K733" s="141"/>
    </row>
    <row r="734" spans="4:11" ht="13.2" x14ac:dyDescent="0.25">
      <c r="D734" s="141"/>
      <c r="E734" s="141"/>
      <c r="F734" s="141"/>
      <c r="G734" s="141"/>
      <c r="H734" s="141"/>
      <c r="I734" s="141"/>
      <c r="J734" s="141"/>
      <c r="K734" s="141"/>
    </row>
    <row r="735" spans="4:11" ht="13.2" x14ac:dyDescent="0.25">
      <c r="D735" s="141"/>
      <c r="E735" s="141"/>
      <c r="F735" s="141"/>
      <c r="G735" s="141"/>
      <c r="H735" s="141"/>
      <c r="I735" s="141"/>
      <c r="J735" s="141"/>
      <c r="K735" s="141"/>
    </row>
    <row r="736" spans="4:11" ht="13.2" x14ac:dyDescent="0.25">
      <c r="D736" s="141"/>
      <c r="E736" s="141"/>
      <c r="F736" s="141"/>
      <c r="G736" s="141"/>
      <c r="H736" s="141"/>
      <c r="I736" s="141"/>
      <c r="J736" s="141"/>
      <c r="K736" s="141"/>
    </row>
    <row r="737" spans="4:11" ht="13.2" x14ac:dyDescent="0.25">
      <c r="D737" s="141"/>
      <c r="E737" s="141"/>
      <c r="F737" s="141"/>
      <c r="G737" s="141"/>
      <c r="H737" s="141"/>
      <c r="I737" s="141"/>
      <c r="J737" s="141"/>
      <c r="K737" s="141"/>
    </row>
    <row r="738" spans="4:11" ht="13.2" x14ac:dyDescent="0.25">
      <c r="D738" s="141"/>
      <c r="E738" s="141"/>
      <c r="F738" s="141"/>
      <c r="G738" s="141"/>
      <c r="H738" s="141"/>
      <c r="I738" s="141"/>
      <c r="J738" s="141"/>
      <c r="K738" s="141"/>
    </row>
    <row r="739" spans="4:11" ht="13.2" x14ac:dyDescent="0.25">
      <c r="D739" s="141"/>
      <c r="E739" s="141"/>
      <c r="F739" s="141"/>
      <c r="G739" s="141"/>
      <c r="H739" s="141"/>
      <c r="I739" s="141"/>
      <c r="J739" s="141"/>
      <c r="K739" s="141"/>
    </row>
    <row r="740" spans="4:11" ht="13.2" x14ac:dyDescent="0.25">
      <c r="D740" s="141"/>
      <c r="E740" s="141"/>
      <c r="F740" s="141"/>
      <c r="G740" s="141"/>
      <c r="H740" s="141"/>
      <c r="I740" s="141"/>
      <c r="J740" s="141"/>
      <c r="K740" s="141"/>
    </row>
    <row r="741" spans="4:11" ht="13.2" x14ac:dyDescent="0.25">
      <c r="D741" s="141"/>
      <c r="E741" s="141"/>
      <c r="F741" s="141"/>
      <c r="G741" s="141"/>
      <c r="H741" s="141"/>
      <c r="I741" s="141"/>
      <c r="J741" s="141"/>
      <c r="K741" s="141"/>
    </row>
    <row r="742" spans="4:11" ht="13.2" x14ac:dyDescent="0.25">
      <c r="D742" s="141"/>
      <c r="E742" s="141"/>
      <c r="F742" s="141"/>
      <c r="G742" s="141"/>
      <c r="H742" s="141"/>
      <c r="I742" s="141"/>
      <c r="J742" s="141"/>
      <c r="K742" s="141"/>
    </row>
    <row r="743" spans="4:11" ht="13.2" x14ac:dyDescent="0.25">
      <c r="D743" s="141"/>
      <c r="E743" s="141"/>
      <c r="F743" s="141"/>
      <c r="G743" s="141"/>
      <c r="H743" s="141"/>
      <c r="I743" s="141"/>
      <c r="J743" s="141"/>
      <c r="K743" s="141"/>
    </row>
    <row r="744" spans="4:11" ht="13.2" x14ac:dyDescent="0.25">
      <c r="D744" s="141"/>
      <c r="E744" s="141"/>
      <c r="F744" s="141"/>
      <c r="G744" s="141"/>
      <c r="H744" s="141"/>
      <c r="I744" s="141"/>
      <c r="J744" s="141"/>
      <c r="K744" s="141"/>
    </row>
    <row r="745" spans="4:11" ht="13.2" x14ac:dyDescent="0.25">
      <c r="D745" s="141"/>
      <c r="E745" s="141"/>
      <c r="F745" s="141"/>
      <c r="G745" s="141"/>
      <c r="H745" s="141"/>
      <c r="I745" s="141"/>
      <c r="J745" s="141"/>
      <c r="K745" s="141"/>
    </row>
    <row r="746" spans="4:11" ht="13.2" x14ac:dyDescent="0.25">
      <c r="D746" s="141"/>
      <c r="E746" s="141"/>
      <c r="F746" s="141"/>
      <c r="G746" s="141"/>
      <c r="H746" s="141"/>
      <c r="I746" s="141"/>
      <c r="J746" s="141"/>
      <c r="K746" s="141"/>
    </row>
    <row r="747" spans="4:11" ht="13.2" x14ac:dyDescent="0.25">
      <c r="D747" s="141"/>
      <c r="E747" s="141"/>
      <c r="F747" s="141"/>
      <c r="G747" s="141"/>
      <c r="H747" s="141"/>
      <c r="I747" s="141"/>
      <c r="J747" s="141"/>
      <c r="K747" s="141"/>
    </row>
    <row r="748" spans="4:11" ht="13.2" x14ac:dyDescent="0.25">
      <c r="D748" s="141"/>
      <c r="E748" s="141"/>
      <c r="F748" s="141"/>
      <c r="G748" s="141"/>
      <c r="H748" s="141"/>
      <c r="I748" s="141"/>
      <c r="J748" s="141"/>
      <c r="K748" s="141"/>
    </row>
    <row r="749" spans="4:11" ht="13.2" x14ac:dyDescent="0.25">
      <c r="D749" s="141"/>
      <c r="E749" s="141"/>
      <c r="F749" s="141"/>
      <c r="G749" s="141"/>
      <c r="H749" s="141"/>
      <c r="I749" s="141"/>
      <c r="J749" s="141"/>
      <c r="K749" s="141"/>
    </row>
  </sheetData>
  <pageMargins left="0.53" right="0.3" top="0.77" bottom="0.19685039370078741" header="0.62" footer="0.5"/>
  <pageSetup paperSize="9" scale="65" orientation="portrait" horizontalDpi="300" verticalDpi="300" r:id="rId1"/>
  <headerFooter alignWithMargins="0">
    <oddFooter>&amp;LSES - &amp;D&amp;C&amp;F&amp;R&amp;A - &amp;P</oddFooter>
  </headerFooter>
  <rowBreaks count="10" manualBreakCount="10">
    <brk id="69" max="10" man="1"/>
    <brk id="138" max="10" man="1"/>
    <brk id="197" max="10" man="1"/>
    <brk id="248" max="10" man="1"/>
    <brk id="305" max="10" man="1"/>
    <brk id="391" max="10" man="1"/>
    <brk id="470" max="10" man="1"/>
    <brk id="548" max="65535" man="1"/>
    <brk id="627" max="65535" man="1"/>
    <brk id="705" max="65535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C7485-F1AA-4D52-B0B0-F95D59471A61}">
  <sheetPr>
    <tabColor theme="4" tint="0.59999389629810485"/>
    <pageSetUpPr autoPageBreaks="0"/>
  </sheetPr>
  <dimension ref="A1:U91"/>
  <sheetViews>
    <sheetView showGridLines="0" zoomScaleNormal="100" zoomScaleSheetLayoutView="100" workbookViewId="0">
      <selection activeCell="C20" sqref="C20"/>
    </sheetView>
  </sheetViews>
  <sheetFormatPr defaultColWidth="9.109375" defaultRowHeight="13.2" outlineLevelCol="1" x14ac:dyDescent="0.25"/>
  <cols>
    <col min="1" max="1" width="34" style="141" customWidth="1"/>
    <col min="2" max="3" width="10.44140625" style="141" customWidth="1" outlineLevel="1"/>
    <col min="4" max="6" width="10.44140625" style="141" customWidth="1"/>
    <col min="7" max="11" width="10.44140625" style="141" customWidth="1" outlineLevel="1"/>
    <col min="12" max="12" width="1.44140625" style="141" customWidth="1"/>
    <col min="13" max="16384" width="9.109375" style="141"/>
  </cols>
  <sheetData>
    <row r="1" spans="1:12" ht="27" customHeight="1" thickTop="1" thickBot="1" x14ac:dyDescent="0.3">
      <c r="A1" s="699" t="str">
        <f>+Historiek!A2</f>
        <v>Dossier</v>
      </c>
      <c r="B1" s="814" t="s">
        <v>755</v>
      </c>
      <c r="C1" s="814"/>
      <c r="D1" s="814"/>
      <c r="E1" s="814"/>
      <c r="F1" s="814"/>
      <c r="G1" s="814"/>
      <c r="H1" s="814"/>
      <c r="I1" s="814"/>
      <c r="J1" s="814"/>
      <c r="K1" s="814"/>
      <c r="L1" s="815"/>
    </row>
    <row r="2" spans="1:12" ht="13.8" thickTop="1" x14ac:dyDescent="0.25"/>
    <row r="4" spans="1:12" s="344" customFormat="1" ht="15.6" x14ac:dyDescent="0.3">
      <c r="A4" s="700" t="s">
        <v>1056</v>
      </c>
      <c r="B4" s="701">
        <f>Historiek!B7</f>
        <v>43828</v>
      </c>
      <c r="C4" s="701">
        <f>Historiek!C7</f>
        <v>44194</v>
      </c>
      <c r="D4" s="701">
        <f>Historiek!D7</f>
        <v>44560</v>
      </c>
      <c r="E4" s="701">
        <f>Historiek!E7</f>
        <v>44926</v>
      </c>
      <c r="F4" s="701">
        <f>Historiek!F7</f>
        <v>45291</v>
      </c>
      <c r="G4" s="701">
        <f>Historiek!G7</f>
        <v>45656</v>
      </c>
      <c r="H4" s="701">
        <f>Historiek!H7</f>
        <v>46021</v>
      </c>
      <c r="I4" s="701">
        <f>Historiek!I7</f>
        <v>46386</v>
      </c>
      <c r="J4" s="701">
        <f>Historiek!J7</f>
        <v>46751</v>
      </c>
      <c r="K4" s="701">
        <f>Historiek!K7</f>
        <v>47116</v>
      </c>
      <c r="L4" s="702"/>
    </row>
    <row r="5" spans="1:12" x14ac:dyDescent="0.25">
      <c r="A5" s="345"/>
      <c r="L5" s="323"/>
    </row>
    <row r="6" spans="1:12" x14ac:dyDescent="0.25">
      <c r="A6" s="346" t="s">
        <v>756</v>
      </c>
      <c r="B6" s="347">
        <f>Historiek!B17/1000</f>
        <v>0</v>
      </c>
      <c r="C6" s="347">
        <f>Historiek!C17/1000</f>
        <v>0</v>
      </c>
      <c r="D6" s="347">
        <f>Historiek!D17/1000</f>
        <v>0</v>
      </c>
      <c r="E6" s="347">
        <f>Historiek!E17/1000</f>
        <v>0</v>
      </c>
      <c r="F6" s="347">
        <f>Historiek!F17/1000</f>
        <v>0</v>
      </c>
      <c r="G6" s="347">
        <f>Historiek!G17/1000</f>
        <v>0</v>
      </c>
      <c r="H6" s="347">
        <f>Historiek!H17/1000</f>
        <v>0</v>
      </c>
      <c r="I6" s="347">
        <f>Historiek!I17/1000</f>
        <v>0</v>
      </c>
      <c r="J6" s="347">
        <f>Historiek!J17/1000</f>
        <v>0</v>
      </c>
      <c r="K6" s="347">
        <f>Historiek!K17/1000</f>
        <v>0</v>
      </c>
      <c r="L6" s="318"/>
    </row>
    <row r="7" spans="1:12" x14ac:dyDescent="0.25">
      <c r="A7" s="346" t="s">
        <v>14</v>
      </c>
      <c r="B7" s="347">
        <f>Historiek!B19/1000</f>
        <v>0</v>
      </c>
      <c r="C7" s="347">
        <f>Historiek!C19/1000</f>
        <v>0</v>
      </c>
      <c r="D7" s="347">
        <f>Historiek!D19/1000</f>
        <v>0</v>
      </c>
      <c r="E7" s="347">
        <f>Historiek!E19/1000</f>
        <v>0</v>
      </c>
      <c r="F7" s="347">
        <f>Historiek!F19/1000</f>
        <v>0</v>
      </c>
      <c r="G7" s="347">
        <f>Historiek!G19/1000</f>
        <v>0</v>
      </c>
      <c r="H7" s="347">
        <f>Historiek!H19/1000</f>
        <v>0</v>
      </c>
      <c r="I7" s="347">
        <f>Historiek!I19/1000</f>
        <v>0</v>
      </c>
      <c r="J7" s="347">
        <f>Historiek!J19/1000</f>
        <v>0</v>
      </c>
      <c r="K7" s="347">
        <f>Historiek!K19/1000</f>
        <v>0</v>
      </c>
      <c r="L7" s="318"/>
    </row>
    <row r="8" spans="1:12" x14ac:dyDescent="0.25">
      <c r="A8" s="346" t="s">
        <v>15</v>
      </c>
      <c r="B8" s="347">
        <f t="shared" ref="B8" si="0">SUM(B9:B11)</f>
        <v>0</v>
      </c>
      <c r="C8" s="347">
        <f t="shared" ref="C8:K8" si="1">SUM(C9:C11)</f>
        <v>0</v>
      </c>
      <c r="D8" s="347">
        <f t="shared" si="1"/>
        <v>0</v>
      </c>
      <c r="E8" s="347">
        <f t="shared" si="1"/>
        <v>0</v>
      </c>
      <c r="F8" s="347">
        <f t="shared" si="1"/>
        <v>0</v>
      </c>
      <c r="G8" s="347">
        <f t="shared" si="1"/>
        <v>0</v>
      </c>
      <c r="H8" s="347">
        <f t="shared" si="1"/>
        <v>0</v>
      </c>
      <c r="I8" s="347">
        <f t="shared" si="1"/>
        <v>0</v>
      </c>
      <c r="J8" s="347">
        <f t="shared" si="1"/>
        <v>0</v>
      </c>
      <c r="K8" s="347">
        <f t="shared" si="1"/>
        <v>0</v>
      </c>
      <c r="L8" s="318"/>
    </row>
    <row r="9" spans="1:12" x14ac:dyDescent="0.25">
      <c r="A9" s="348" t="s">
        <v>757</v>
      </c>
      <c r="B9" s="339">
        <f>Historiek!B22/1000</f>
        <v>0</v>
      </c>
      <c r="C9" s="339">
        <f>Historiek!C22/1000</f>
        <v>0</v>
      </c>
      <c r="D9" s="339">
        <f>Historiek!D22/1000</f>
        <v>0</v>
      </c>
      <c r="E9" s="339">
        <f>Historiek!E22/1000</f>
        <v>0</v>
      </c>
      <c r="F9" s="339">
        <f>Historiek!F22/1000</f>
        <v>0</v>
      </c>
      <c r="G9" s="339">
        <f>Historiek!G22/1000</f>
        <v>0</v>
      </c>
      <c r="H9" s="339">
        <f>Historiek!H22/1000</f>
        <v>0</v>
      </c>
      <c r="I9" s="339">
        <f>Historiek!I22/1000</f>
        <v>0</v>
      </c>
      <c r="J9" s="339">
        <f>Historiek!J22/1000</f>
        <v>0</v>
      </c>
      <c r="K9" s="339">
        <f>Historiek!K22/1000</f>
        <v>0</v>
      </c>
      <c r="L9" s="322"/>
    </row>
    <row r="10" spans="1:12" x14ac:dyDescent="0.25">
      <c r="A10" s="348" t="s">
        <v>758</v>
      </c>
      <c r="B10" s="339">
        <f>Historiek!B23/1000</f>
        <v>0</v>
      </c>
      <c r="C10" s="339">
        <f>Historiek!C23/1000</f>
        <v>0</v>
      </c>
      <c r="D10" s="339">
        <f>Historiek!D23/1000</f>
        <v>0</v>
      </c>
      <c r="E10" s="339">
        <f>Historiek!E23/1000</f>
        <v>0</v>
      </c>
      <c r="F10" s="339">
        <f>Historiek!F23/1000</f>
        <v>0</v>
      </c>
      <c r="G10" s="339">
        <f>Historiek!G23/1000</f>
        <v>0</v>
      </c>
      <c r="H10" s="339">
        <f>Historiek!H23/1000</f>
        <v>0</v>
      </c>
      <c r="I10" s="339">
        <f>Historiek!I23/1000</f>
        <v>0</v>
      </c>
      <c r="J10" s="339">
        <f>Historiek!J23/1000</f>
        <v>0</v>
      </c>
      <c r="K10" s="339">
        <f>Historiek!K23/1000</f>
        <v>0</v>
      </c>
      <c r="L10" s="322"/>
    </row>
    <row r="11" spans="1:12" x14ac:dyDescent="0.25">
      <c r="A11" s="348" t="s">
        <v>759</v>
      </c>
      <c r="B11" s="339">
        <f>(Historiek!B24+Historiek!B25+Historiek!B26+Historiek!B27)/1000</f>
        <v>0</v>
      </c>
      <c r="C11" s="339">
        <f>(Historiek!C24+Historiek!C25+Historiek!C26+Historiek!C27)/1000</f>
        <v>0</v>
      </c>
      <c r="D11" s="339">
        <f>(Historiek!D24+Historiek!D25+Historiek!D26+Historiek!D27)/1000</f>
        <v>0</v>
      </c>
      <c r="E11" s="339">
        <f>(Historiek!E24+Historiek!E25+Historiek!E26+Historiek!E27)/1000</f>
        <v>0</v>
      </c>
      <c r="F11" s="339">
        <f>(Historiek!F24+Historiek!F25+Historiek!F26+Historiek!F27)/1000</f>
        <v>0</v>
      </c>
      <c r="G11" s="339">
        <f>(Historiek!G24+Historiek!G25+Historiek!G26+Historiek!G27)/1000</f>
        <v>0</v>
      </c>
      <c r="H11" s="339">
        <f>(Historiek!H24+Historiek!H25+Historiek!H26+Historiek!H27)/1000</f>
        <v>0</v>
      </c>
      <c r="I11" s="339">
        <f>(Historiek!I24+Historiek!I25+Historiek!I26+Historiek!I27)/1000</f>
        <v>0</v>
      </c>
      <c r="J11" s="339">
        <f>(Historiek!J24+Historiek!J25+Historiek!J26+Historiek!J27)/1000</f>
        <v>0</v>
      </c>
      <c r="K11" s="339">
        <f>(Historiek!K24+Historiek!K25+Historiek!K26+Historiek!K27)/1000</f>
        <v>0</v>
      </c>
      <c r="L11" s="322"/>
    </row>
    <row r="12" spans="1:12" x14ac:dyDescent="0.25">
      <c r="A12" s="346" t="s">
        <v>16</v>
      </c>
      <c r="B12" s="347">
        <f>SUM(B13:B14)</f>
        <v>0</v>
      </c>
      <c r="C12" s="347">
        <f t="shared" ref="C12:K12" si="2">SUM(C13:C14)</f>
        <v>0</v>
      </c>
      <c r="D12" s="347">
        <f t="shared" si="2"/>
        <v>0</v>
      </c>
      <c r="E12" s="347">
        <f t="shared" si="2"/>
        <v>0</v>
      </c>
      <c r="F12" s="347">
        <f t="shared" si="2"/>
        <v>0</v>
      </c>
      <c r="G12" s="347">
        <f t="shared" si="2"/>
        <v>0</v>
      </c>
      <c r="H12" s="347">
        <f t="shared" si="2"/>
        <v>0</v>
      </c>
      <c r="I12" s="347">
        <f t="shared" si="2"/>
        <v>0</v>
      </c>
      <c r="J12" s="347">
        <f t="shared" si="2"/>
        <v>0</v>
      </c>
      <c r="K12" s="347">
        <f t="shared" si="2"/>
        <v>0</v>
      </c>
      <c r="L12" s="318"/>
    </row>
    <row r="13" spans="1:12" x14ac:dyDescent="0.25">
      <c r="A13" s="348" t="s">
        <v>760</v>
      </c>
      <c r="B13" s="379">
        <f>(Historiek!B30+Historiek!B34)/1000</f>
        <v>0</v>
      </c>
      <c r="C13" s="379">
        <f>(Historiek!C30+Historiek!C34)/1000</f>
        <v>0</v>
      </c>
      <c r="D13" s="379">
        <f>(Historiek!D30+Historiek!D34)/1000</f>
        <v>0</v>
      </c>
      <c r="E13" s="379">
        <f>(Historiek!E30+Historiek!E34)/1000</f>
        <v>0</v>
      </c>
      <c r="F13" s="379">
        <f>(Historiek!F30+Historiek!F34)/1000</f>
        <v>0</v>
      </c>
      <c r="G13" s="379">
        <f>(Historiek!G30+Historiek!G34)/1000</f>
        <v>0</v>
      </c>
      <c r="H13" s="379">
        <f>(Historiek!H30+Historiek!H34)/1000</f>
        <v>0</v>
      </c>
      <c r="I13" s="379">
        <f>(Historiek!I30+Historiek!I34)/1000</f>
        <v>0</v>
      </c>
      <c r="J13" s="379">
        <f>(Historiek!J30+Historiek!J34)/1000</f>
        <v>0</v>
      </c>
      <c r="K13" s="379">
        <f>(Historiek!K30+Historiek!K34)/1000</f>
        <v>0</v>
      </c>
      <c r="L13" s="319"/>
    </row>
    <row r="14" spans="1:12" x14ac:dyDescent="0.25">
      <c r="A14" s="348" t="s">
        <v>761</v>
      </c>
      <c r="B14" s="379">
        <f>Historiek!B37/1000</f>
        <v>0</v>
      </c>
      <c r="C14" s="379">
        <f>Historiek!C37/1000</f>
        <v>0</v>
      </c>
      <c r="D14" s="379">
        <f>Historiek!D37/1000</f>
        <v>0</v>
      </c>
      <c r="E14" s="379">
        <f>Historiek!E37/1000</f>
        <v>0</v>
      </c>
      <c r="F14" s="379">
        <f>Historiek!F37/1000</f>
        <v>0</v>
      </c>
      <c r="G14" s="379">
        <f>Historiek!G37/1000</f>
        <v>0</v>
      </c>
      <c r="H14" s="379">
        <f>Historiek!H37/1000</f>
        <v>0</v>
      </c>
      <c r="I14" s="379">
        <f>Historiek!I37/1000</f>
        <v>0</v>
      </c>
      <c r="J14" s="379">
        <f>Historiek!J37/1000</f>
        <v>0</v>
      </c>
      <c r="K14" s="379">
        <f>Historiek!K37/1000</f>
        <v>0</v>
      </c>
      <c r="L14" s="319"/>
    </row>
    <row r="15" spans="1:12" ht="6" customHeight="1" x14ac:dyDescent="0.25">
      <c r="A15" s="345"/>
      <c r="B15" s="339"/>
      <c r="C15" s="339"/>
      <c r="D15" s="339"/>
      <c r="E15" s="339"/>
      <c r="F15" s="339"/>
      <c r="G15" s="339"/>
      <c r="H15" s="339"/>
      <c r="I15" s="339"/>
      <c r="J15" s="339"/>
      <c r="K15" s="339"/>
      <c r="L15" s="322"/>
    </row>
    <row r="16" spans="1:12" ht="13.8" x14ac:dyDescent="0.3">
      <c r="A16" s="703" t="s">
        <v>762</v>
      </c>
      <c r="B16" s="704">
        <f t="shared" ref="B16" si="3">B12+B8+B7+B6</f>
        <v>0</v>
      </c>
      <c r="C16" s="704">
        <f t="shared" ref="C16:K16" si="4">C12+C8+C7+C6</f>
        <v>0</v>
      </c>
      <c r="D16" s="704">
        <f t="shared" si="4"/>
        <v>0</v>
      </c>
      <c r="E16" s="704">
        <f t="shared" si="4"/>
        <v>0</v>
      </c>
      <c r="F16" s="704">
        <f t="shared" si="4"/>
        <v>0</v>
      </c>
      <c r="G16" s="704">
        <f t="shared" si="4"/>
        <v>0</v>
      </c>
      <c r="H16" s="704">
        <f t="shared" si="4"/>
        <v>0</v>
      </c>
      <c r="I16" s="704">
        <f t="shared" si="4"/>
        <v>0</v>
      </c>
      <c r="J16" s="704">
        <f t="shared" si="4"/>
        <v>0</v>
      </c>
      <c r="K16" s="704">
        <f t="shared" si="4"/>
        <v>0</v>
      </c>
      <c r="L16" s="705"/>
    </row>
    <row r="17" spans="1:21" x14ac:dyDescent="0.25">
      <c r="A17" s="345"/>
      <c r="B17" s="339"/>
      <c r="C17" s="339"/>
      <c r="D17" s="339"/>
      <c r="E17" s="339"/>
      <c r="F17" s="339"/>
      <c r="G17" s="339"/>
      <c r="H17" s="339"/>
      <c r="I17" s="339"/>
      <c r="J17" s="339"/>
      <c r="K17" s="339"/>
      <c r="L17" s="322"/>
    </row>
    <row r="18" spans="1:21" x14ac:dyDescent="0.25">
      <c r="A18" s="346" t="s">
        <v>763</v>
      </c>
      <c r="B18" s="347">
        <f>Historiek!B43/1000</f>
        <v>0</v>
      </c>
      <c r="C18" s="347">
        <f>Historiek!C43/1000</f>
        <v>0</v>
      </c>
      <c r="D18" s="347">
        <f>Historiek!D43/1000</f>
        <v>0</v>
      </c>
      <c r="E18" s="347">
        <f>Historiek!E43/1000</f>
        <v>0</v>
      </c>
      <c r="F18" s="347">
        <f>Historiek!F43/1000</f>
        <v>0</v>
      </c>
      <c r="G18" s="347">
        <f>Historiek!G43/1000</f>
        <v>0</v>
      </c>
      <c r="H18" s="347">
        <f>Historiek!H43/1000</f>
        <v>0</v>
      </c>
      <c r="I18" s="347">
        <f>Historiek!I43/1000</f>
        <v>0</v>
      </c>
      <c r="J18" s="347">
        <f>Historiek!J43/1000</f>
        <v>0</v>
      </c>
      <c r="K18" s="347">
        <f>Historiek!K43/1000</f>
        <v>0</v>
      </c>
      <c r="L18" s="318"/>
      <c r="P18" s="339"/>
      <c r="Q18" s="339"/>
      <c r="R18" s="339"/>
      <c r="S18" s="339"/>
      <c r="T18" s="339"/>
      <c r="U18" s="339"/>
    </row>
    <row r="19" spans="1:21" x14ac:dyDescent="0.25">
      <c r="A19" s="346" t="s">
        <v>764</v>
      </c>
      <c r="B19" s="347">
        <f>Historiek!B47/1000</f>
        <v>0</v>
      </c>
      <c r="C19" s="347">
        <f>Historiek!C47/1000</f>
        <v>0</v>
      </c>
      <c r="D19" s="347">
        <f>Historiek!D47/1000</f>
        <v>0</v>
      </c>
      <c r="E19" s="347">
        <f>Historiek!E47/1000</f>
        <v>0</v>
      </c>
      <c r="F19" s="347">
        <f>Historiek!F47/1000</f>
        <v>0</v>
      </c>
      <c r="G19" s="347">
        <f>Historiek!G47/1000</f>
        <v>0</v>
      </c>
      <c r="H19" s="347">
        <f>Historiek!H47/1000</f>
        <v>0</v>
      </c>
      <c r="I19" s="347">
        <f>Historiek!I47/1000</f>
        <v>0</v>
      </c>
      <c r="J19" s="347">
        <f>Historiek!J47/1000</f>
        <v>0</v>
      </c>
      <c r="K19" s="347">
        <f>Historiek!K47/1000</f>
        <v>0</v>
      </c>
      <c r="L19" s="318"/>
      <c r="P19" s="339"/>
      <c r="Q19" s="339"/>
      <c r="R19" s="339"/>
      <c r="S19" s="339"/>
      <c r="T19" s="339"/>
      <c r="U19" s="339"/>
    </row>
    <row r="20" spans="1:21" x14ac:dyDescent="0.25">
      <c r="A20" s="346" t="s">
        <v>765</v>
      </c>
      <c r="B20" s="347">
        <f t="shared" ref="B20" si="5">B21+B22</f>
        <v>0</v>
      </c>
      <c r="C20" s="347">
        <f t="shared" ref="C20:K20" si="6">C21+C22</f>
        <v>0</v>
      </c>
      <c r="D20" s="347">
        <f t="shared" si="6"/>
        <v>0</v>
      </c>
      <c r="E20" s="347">
        <f t="shared" si="6"/>
        <v>0</v>
      </c>
      <c r="F20" s="347">
        <f t="shared" si="6"/>
        <v>0</v>
      </c>
      <c r="G20" s="347">
        <f t="shared" si="6"/>
        <v>0</v>
      </c>
      <c r="H20" s="347">
        <f t="shared" si="6"/>
        <v>0</v>
      </c>
      <c r="I20" s="347">
        <f t="shared" si="6"/>
        <v>0</v>
      </c>
      <c r="J20" s="347">
        <f t="shared" si="6"/>
        <v>0</v>
      </c>
      <c r="K20" s="347">
        <f t="shared" si="6"/>
        <v>0</v>
      </c>
      <c r="L20" s="318"/>
    </row>
    <row r="21" spans="1:21" x14ac:dyDescent="0.25">
      <c r="A21" s="345" t="s">
        <v>766</v>
      </c>
      <c r="B21" s="339">
        <f>Historiek!B58/1000</f>
        <v>0</v>
      </c>
      <c r="C21" s="339">
        <f>Historiek!C58/1000</f>
        <v>0</v>
      </c>
      <c r="D21" s="339">
        <f>Historiek!D58/1000</f>
        <v>0</v>
      </c>
      <c r="E21" s="339">
        <f>Historiek!E58/1000</f>
        <v>0</v>
      </c>
      <c r="F21" s="339">
        <f>Historiek!F58/1000</f>
        <v>0</v>
      </c>
      <c r="G21" s="339">
        <f>Historiek!G58/1000</f>
        <v>0</v>
      </c>
      <c r="H21" s="339">
        <f>Historiek!H58/1000</f>
        <v>0</v>
      </c>
      <c r="I21" s="339">
        <f>Historiek!I58/1000</f>
        <v>0</v>
      </c>
      <c r="J21" s="339">
        <f>Historiek!J58/1000</f>
        <v>0</v>
      </c>
      <c r="K21" s="339">
        <f>Historiek!K58/1000</f>
        <v>0</v>
      </c>
      <c r="L21" s="322"/>
    </row>
    <row r="22" spans="1:21" x14ac:dyDescent="0.25">
      <c r="A22" s="345" t="s">
        <v>767</v>
      </c>
      <c r="B22" s="339">
        <f>Historiek!B59/1000</f>
        <v>0</v>
      </c>
      <c r="C22" s="339">
        <f>Historiek!C59/1000</f>
        <v>0</v>
      </c>
      <c r="D22" s="339">
        <f>Historiek!D59/1000</f>
        <v>0</v>
      </c>
      <c r="E22" s="339">
        <f>Historiek!E59/1000</f>
        <v>0</v>
      </c>
      <c r="F22" s="339">
        <f>Historiek!F59/1000</f>
        <v>0</v>
      </c>
      <c r="G22" s="339">
        <f>Historiek!G59/1000</f>
        <v>0</v>
      </c>
      <c r="H22" s="339">
        <f>Historiek!H59/1000</f>
        <v>0</v>
      </c>
      <c r="I22" s="339">
        <f>Historiek!I59/1000</f>
        <v>0</v>
      </c>
      <c r="J22" s="339">
        <f>Historiek!J59/1000</f>
        <v>0</v>
      </c>
      <c r="K22" s="339">
        <f>Historiek!K59/1000</f>
        <v>0</v>
      </c>
      <c r="L22" s="322"/>
    </row>
    <row r="23" spans="1:21" x14ac:dyDescent="0.25">
      <c r="A23" s="346" t="s">
        <v>768</v>
      </c>
      <c r="B23" s="347">
        <f>(Historiek!B61+Historiek!B65)/1000</f>
        <v>0</v>
      </c>
      <c r="C23" s="347">
        <f>(Historiek!C61+Historiek!C65)/1000</f>
        <v>0</v>
      </c>
      <c r="D23" s="347">
        <f>(Historiek!D61+Historiek!D65)/1000</f>
        <v>0</v>
      </c>
      <c r="E23" s="347">
        <f>(Historiek!E61+Historiek!E65)/1000</f>
        <v>0</v>
      </c>
      <c r="F23" s="347">
        <f>(Historiek!F61+Historiek!F65)/1000</f>
        <v>0</v>
      </c>
      <c r="G23" s="347">
        <f>(Historiek!G61+Historiek!G65)/1000</f>
        <v>0</v>
      </c>
      <c r="H23" s="347">
        <f>(Historiek!H61+Historiek!H65)/1000</f>
        <v>0</v>
      </c>
      <c r="I23" s="347">
        <f>(Historiek!I61+Historiek!I65)/1000</f>
        <v>0</v>
      </c>
      <c r="J23" s="347">
        <f>(Historiek!J61+Historiek!J65)/1000</f>
        <v>0</v>
      </c>
      <c r="K23" s="347">
        <f>(Historiek!K61+Historiek!K65)/1000</f>
        <v>0</v>
      </c>
      <c r="L23" s="318"/>
    </row>
    <row r="24" spans="1:21" x14ac:dyDescent="0.25">
      <c r="A24" s="346" t="s">
        <v>769</v>
      </c>
      <c r="B24" s="347">
        <f>Historiek!B67/1000</f>
        <v>0</v>
      </c>
      <c r="C24" s="347">
        <f>Historiek!C67/1000</f>
        <v>0</v>
      </c>
      <c r="D24" s="347">
        <f>Historiek!D67/1000</f>
        <v>0</v>
      </c>
      <c r="E24" s="347">
        <f>Historiek!E67/1000</f>
        <v>0</v>
      </c>
      <c r="F24" s="347">
        <f>Historiek!F67/1000</f>
        <v>0</v>
      </c>
      <c r="G24" s="347">
        <f>Historiek!G67/1000</f>
        <v>0</v>
      </c>
      <c r="H24" s="347">
        <f>Historiek!H67/1000</f>
        <v>0</v>
      </c>
      <c r="I24" s="347">
        <f>Historiek!I67/1000</f>
        <v>0</v>
      </c>
      <c r="J24" s="347">
        <f>Historiek!J67/1000</f>
        <v>0</v>
      </c>
      <c r="K24" s="347">
        <f>Historiek!K67/1000</f>
        <v>0</v>
      </c>
      <c r="L24" s="318"/>
    </row>
    <row r="25" spans="1:21" ht="6" customHeight="1" x14ac:dyDescent="0.25">
      <c r="A25" s="346"/>
      <c r="B25" s="339"/>
      <c r="C25" s="339"/>
      <c r="D25" s="339"/>
      <c r="E25" s="339"/>
      <c r="F25" s="339"/>
      <c r="G25" s="339"/>
      <c r="H25" s="339"/>
      <c r="I25" s="339"/>
      <c r="J25" s="339"/>
      <c r="K25" s="339"/>
      <c r="L25" s="322"/>
    </row>
    <row r="26" spans="1:21" ht="13.8" x14ac:dyDescent="0.3">
      <c r="A26" s="703" t="s">
        <v>770</v>
      </c>
      <c r="B26" s="704">
        <f>B24+B20+B19+B18+B23</f>
        <v>0</v>
      </c>
      <c r="C26" s="704">
        <f t="shared" ref="C26:K26" si="7">C24+C20+C19+C18+C23</f>
        <v>0</v>
      </c>
      <c r="D26" s="704">
        <f t="shared" si="7"/>
        <v>0</v>
      </c>
      <c r="E26" s="704">
        <f t="shared" si="7"/>
        <v>0</v>
      </c>
      <c r="F26" s="704">
        <f t="shared" si="7"/>
        <v>0</v>
      </c>
      <c r="G26" s="704">
        <f t="shared" si="7"/>
        <v>0</v>
      </c>
      <c r="H26" s="704">
        <f t="shared" si="7"/>
        <v>0</v>
      </c>
      <c r="I26" s="704">
        <f t="shared" si="7"/>
        <v>0</v>
      </c>
      <c r="J26" s="704">
        <f t="shared" si="7"/>
        <v>0</v>
      </c>
      <c r="K26" s="704">
        <f t="shared" si="7"/>
        <v>0</v>
      </c>
      <c r="L26" s="705"/>
    </row>
    <row r="27" spans="1:21" x14ac:dyDescent="0.25">
      <c r="A27" s="345"/>
      <c r="B27" s="339"/>
      <c r="C27" s="339"/>
      <c r="D27" s="339"/>
      <c r="E27" s="339"/>
      <c r="F27" s="339"/>
      <c r="G27" s="339"/>
      <c r="H27" s="339"/>
      <c r="I27" s="339"/>
      <c r="J27" s="339"/>
      <c r="K27" s="339"/>
      <c r="L27" s="322"/>
    </row>
    <row r="28" spans="1:21" ht="15.6" x14ac:dyDescent="0.3">
      <c r="A28" s="706" t="s">
        <v>771</v>
      </c>
      <c r="B28" s="704">
        <f>B16+B26</f>
        <v>0</v>
      </c>
      <c r="C28" s="704">
        <f t="shared" ref="C28:K28" si="8">C16+C26</f>
        <v>0</v>
      </c>
      <c r="D28" s="704">
        <f t="shared" si="8"/>
        <v>0</v>
      </c>
      <c r="E28" s="704">
        <f t="shared" si="8"/>
        <v>0</v>
      </c>
      <c r="F28" s="704">
        <f t="shared" si="8"/>
        <v>0</v>
      </c>
      <c r="G28" s="704">
        <f t="shared" si="8"/>
        <v>0</v>
      </c>
      <c r="H28" s="704">
        <f t="shared" si="8"/>
        <v>0</v>
      </c>
      <c r="I28" s="704">
        <f t="shared" si="8"/>
        <v>0</v>
      </c>
      <c r="J28" s="704">
        <f t="shared" si="8"/>
        <v>0</v>
      </c>
      <c r="K28" s="704">
        <f t="shared" si="8"/>
        <v>0</v>
      </c>
      <c r="L28" s="705"/>
    </row>
    <row r="29" spans="1:21" x14ac:dyDescent="0.25">
      <c r="B29" s="339"/>
      <c r="C29" s="339"/>
      <c r="D29" s="339"/>
      <c r="E29" s="339"/>
      <c r="F29" s="339"/>
      <c r="G29" s="339"/>
      <c r="H29" s="339"/>
      <c r="I29" s="339"/>
      <c r="J29" s="339"/>
      <c r="K29" s="339"/>
      <c r="L29" s="339"/>
    </row>
    <row r="30" spans="1:21" x14ac:dyDescent="0.25">
      <c r="B30" s="339"/>
      <c r="C30" s="339"/>
      <c r="D30" s="339"/>
      <c r="E30" s="339"/>
      <c r="F30" s="339"/>
      <c r="G30" s="339"/>
      <c r="H30" s="339"/>
      <c r="I30" s="339"/>
      <c r="J30" s="339"/>
      <c r="K30" s="339"/>
      <c r="L30" s="339"/>
    </row>
    <row r="31" spans="1:21" s="344" customFormat="1" ht="15.6" x14ac:dyDescent="0.3">
      <c r="A31" s="700" t="s">
        <v>1057</v>
      </c>
      <c r="B31" s="701">
        <f t="shared" ref="B31" si="9">B4</f>
        <v>43828</v>
      </c>
      <c r="C31" s="701">
        <f t="shared" ref="C31:K31" si="10">C4</f>
        <v>44194</v>
      </c>
      <c r="D31" s="701">
        <f t="shared" si="10"/>
        <v>44560</v>
      </c>
      <c r="E31" s="701">
        <f t="shared" si="10"/>
        <v>44926</v>
      </c>
      <c r="F31" s="701">
        <f t="shared" si="10"/>
        <v>45291</v>
      </c>
      <c r="G31" s="701">
        <f t="shared" si="10"/>
        <v>45656</v>
      </c>
      <c r="H31" s="701">
        <f t="shared" si="10"/>
        <v>46021</v>
      </c>
      <c r="I31" s="701">
        <f t="shared" si="10"/>
        <v>46386</v>
      </c>
      <c r="J31" s="701">
        <f t="shared" si="10"/>
        <v>46751</v>
      </c>
      <c r="K31" s="701">
        <f t="shared" si="10"/>
        <v>47116</v>
      </c>
      <c r="L31" s="702"/>
    </row>
    <row r="32" spans="1:21" x14ac:dyDescent="0.25">
      <c r="A32" s="345"/>
      <c r="B32" s="339"/>
      <c r="C32" s="339"/>
      <c r="D32" s="339"/>
      <c r="E32" s="339"/>
      <c r="F32" s="339"/>
      <c r="G32" s="339"/>
      <c r="H32" s="339"/>
      <c r="I32" s="339"/>
      <c r="J32" s="339"/>
      <c r="K32" s="339"/>
      <c r="L32" s="322"/>
    </row>
    <row r="33" spans="1:12" x14ac:dyDescent="0.25">
      <c r="A33" s="346" t="s">
        <v>772</v>
      </c>
      <c r="B33" s="347">
        <f>(Historiek!B77+Historiek!B81)/1000</f>
        <v>0</v>
      </c>
      <c r="C33" s="347">
        <f>(Historiek!C77+Historiek!C81)/1000</f>
        <v>0</v>
      </c>
      <c r="D33" s="347">
        <f>(Historiek!D77+Historiek!D81)/1000</f>
        <v>0</v>
      </c>
      <c r="E33" s="347">
        <f>(Historiek!E77+Historiek!E81)/1000</f>
        <v>0</v>
      </c>
      <c r="F33" s="347">
        <f>(Historiek!F77+Historiek!F81)/1000</f>
        <v>0</v>
      </c>
      <c r="G33" s="347">
        <f>(Historiek!G77+Historiek!G81)/1000</f>
        <v>0</v>
      </c>
      <c r="H33" s="347">
        <f>(Historiek!H77+Historiek!H81)/1000</f>
        <v>0</v>
      </c>
      <c r="I33" s="347">
        <f>(Historiek!I77+Historiek!I81)/1000</f>
        <v>0</v>
      </c>
      <c r="J33" s="347">
        <f>(Historiek!J77+Historiek!J81)/1000</f>
        <v>0</v>
      </c>
      <c r="K33" s="347">
        <f>(Historiek!K77+Historiek!K81)/1000</f>
        <v>0</v>
      </c>
      <c r="L33" s="318"/>
    </row>
    <row r="34" spans="1:12" x14ac:dyDescent="0.25">
      <c r="A34" s="346" t="s">
        <v>773</v>
      </c>
      <c r="B34" s="347">
        <f>Historiek!B83/1000</f>
        <v>0</v>
      </c>
      <c r="C34" s="347">
        <f>Historiek!C83/1000</f>
        <v>0</v>
      </c>
      <c r="D34" s="347">
        <f>Historiek!D83/1000</f>
        <v>0</v>
      </c>
      <c r="E34" s="347">
        <f>Historiek!E83/1000</f>
        <v>0</v>
      </c>
      <c r="F34" s="347">
        <f>Historiek!F83/1000</f>
        <v>0</v>
      </c>
      <c r="G34" s="347">
        <f>Historiek!G83/1000</f>
        <v>0</v>
      </c>
      <c r="H34" s="347">
        <f>Historiek!H83/1000</f>
        <v>0</v>
      </c>
      <c r="I34" s="347">
        <f>Historiek!I83/1000</f>
        <v>0</v>
      </c>
      <c r="J34" s="347">
        <f>Historiek!J83/1000</f>
        <v>0</v>
      </c>
      <c r="K34" s="347">
        <f>Historiek!K83/1000</f>
        <v>0</v>
      </c>
      <c r="L34" s="318"/>
    </row>
    <row r="35" spans="1:12" x14ac:dyDescent="0.25">
      <c r="A35" s="346" t="s">
        <v>774</v>
      </c>
      <c r="B35" s="347">
        <f>(Historiek!B91+Historiek!B92+Historiek!B85)/1000</f>
        <v>0</v>
      </c>
      <c r="C35" s="347">
        <f>(Historiek!C91+Historiek!C92+Historiek!C85)/1000</f>
        <v>0</v>
      </c>
      <c r="D35" s="347">
        <f>(Historiek!D91+Historiek!D92+Historiek!D85)/1000</f>
        <v>0</v>
      </c>
      <c r="E35" s="347">
        <f>(Historiek!E91+Historiek!E92+Historiek!E85)/1000</f>
        <v>0</v>
      </c>
      <c r="F35" s="347">
        <f>(Historiek!F91+Historiek!F92+Historiek!F85)/1000</f>
        <v>0</v>
      </c>
      <c r="G35" s="347">
        <f>(Historiek!G91+Historiek!G92+Historiek!G85)/1000</f>
        <v>0</v>
      </c>
      <c r="H35" s="347">
        <f>(Historiek!H91+Historiek!H92+Historiek!H85)/1000</f>
        <v>0</v>
      </c>
      <c r="I35" s="347">
        <f>(Historiek!I91+Historiek!I92+Historiek!I85)/1000</f>
        <v>0</v>
      </c>
      <c r="J35" s="347">
        <f>(Historiek!J91+Historiek!J92+Historiek!J85)/1000</f>
        <v>0</v>
      </c>
      <c r="K35" s="347">
        <f>(Historiek!K91+Historiek!K92+Historiek!K85)/1000</f>
        <v>0</v>
      </c>
      <c r="L35" s="318"/>
    </row>
    <row r="36" spans="1:12" x14ac:dyDescent="0.25">
      <c r="A36" s="346" t="s">
        <v>775</v>
      </c>
      <c r="B36" s="347">
        <f>Historiek!B94/1000</f>
        <v>0</v>
      </c>
      <c r="C36" s="347">
        <f>Historiek!C94/1000</f>
        <v>0</v>
      </c>
      <c r="D36" s="347">
        <f>Historiek!D94/1000</f>
        <v>0</v>
      </c>
      <c r="E36" s="347">
        <f>Historiek!E94/1000</f>
        <v>0</v>
      </c>
      <c r="F36" s="347">
        <f>Historiek!F94/1000</f>
        <v>0</v>
      </c>
      <c r="G36" s="347">
        <f>Historiek!G94/1000</f>
        <v>0</v>
      </c>
      <c r="H36" s="347">
        <f>Historiek!H94/1000</f>
        <v>0</v>
      </c>
      <c r="I36" s="347">
        <f>Historiek!I94/1000</f>
        <v>0</v>
      </c>
      <c r="J36" s="347">
        <f>Historiek!J94/1000</f>
        <v>0</v>
      </c>
      <c r="K36" s="347">
        <f>Historiek!K94/1000</f>
        <v>0</v>
      </c>
      <c r="L36" s="318"/>
    </row>
    <row r="37" spans="1:12" ht="6" customHeight="1" x14ac:dyDescent="0.25">
      <c r="A37" s="345"/>
      <c r="B37" s="339"/>
      <c r="C37" s="339"/>
      <c r="D37" s="339"/>
      <c r="E37" s="339"/>
      <c r="F37" s="339"/>
      <c r="G37" s="339"/>
      <c r="H37" s="339"/>
      <c r="I37" s="339"/>
      <c r="J37" s="339"/>
      <c r="K37" s="339"/>
      <c r="L37" s="322"/>
    </row>
    <row r="38" spans="1:12" ht="13.8" x14ac:dyDescent="0.3">
      <c r="A38" s="703" t="s">
        <v>27</v>
      </c>
      <c r="B38" s="704">
        <f>SUM(B33:B36)</f>
        <v>0</v>
      </c>
      <c r="C38" s="704">
        <f t="shared" ref="C38:K38" si="11">SUM(C33:C36)</f>
        <v>0</v>
      </c>
      <c r="D38" s="704">
        <f t="shared" si="11"/>
        <v>0</v>
      </c>
      <c r="E38" s="704">
        <f t="shared" si="11"/>
        <v>0</v>
      </c>
      <c r="F38" s="704">
        <f t="shared" si="11"/>
        <v>0</v>
      </c>
      <c r="G38" s="704">
        <f t="shared" si="11"/>
        <v>0</v>
      </c>
      <c r="H38" s="704">
        <f t="shared" si="11"/>
        <v>0</v>
      </c>
      <c r="I38" s="704">
        <f t="shared" si="11"/>
        <v>0</v>
      </c>
      <c r="J38" s="704">
        <f t="shared" si="11"/>
        <v>0</v>
      </c>
      <c r="K38" s="704">
        <f t="shared" si="11"/>
        <v>0</v>
      </c>
      <c r="L38" s="705"/>
    </row>
    <row r="39" spans="1:12" ht="13.8" x14ac:dyDescent="0.3">
      <c r="A39" s="351"/>
      <c r="B39" s="347"/>
      <c r="C39" s="347"/>
      <c r="D39" s="347"/>
      <c r="E39" s="347"/>
      <c r="F39" s="347"/>
      <c r="G39" s="347"/>
      <c r="H39" s="347"/>
      <c r="I39" s="347"/>
      <c r="J39" s="347"/>
      <c r="K39" s="347"/>
      <c r="L39" s="318"/>
    </row>
    <row r="40" spans="1:12" ht="13.8" x14ac:dyDescent="0.3">
      <c r="A40" s="703" t="s">
        <v>776</v>
      </c>
      <c r="B40" s="704">
        <f>Historiek!B96/1000</f>
        <v>0</v>
      </c>
      <c r="C40" s="704">
        <f>Historiek!C96/1000</f>
        <v>0</v>
      </c>
      <c r="D40" s="704">
        <f>Historiek!D96/1000</f>
        <v>0</v>
      </c>
      <c r="E40" s="704">
        <f>Historiek!E96/1000</f>
        <v>0</v>
      </c>
      <c r="F40" s="704">
        <f>Historiek!F96/1000</f>
        <v>0</v>
      </c>
      <c r="G40" s="704">
        <f>Historiek!G96/1000</f>
        <v>0</v>
      </c>
      <c r="H40" s="704">
        <f>Historiek!H96/1000</f>
        <v>0</v>
      </c>
      <c r="I40" s="704">
        <f>Historiek!I96/1000</f>
        <v>0</v>
      </c>
      <c r="J40" s="704">
        <f>Historiek!J96/1000</f>
        <v>0</v>
      </c>
      <c r="K40" s="704">
        <f>Historiek!K96/1000</f>
        <v>0</v>
      </c>
      <c r="L40" s="705"/>
    </row>
    <row r="41" spans="1:12" x14ac:dyDescent="0.25">
      <c r="A41" s="345"/>
      <c r="B41" s="339"/>
      <c r="C41" s="339"/>
      <c r="D41" s="339"/>
      <c r="E41" s="339"/>
      <c r="F41" s="339"/>
      <c r="G41" s="339"/>
      <c r="H41" s="339"/>
      <c r="I41" s="339"/>
      <c r="J41" s="339"/>
      <c r="K41" s="339"/>
      <c r="L41" s="322"/>
    </row>
    <row r="42" spans="1:12" x14ac:dyDescent="0.25">
      <c r="A42" s="346" t="s">
        <v>777</v>
      </c>
      <c r="B42" s="347">
        <f>SUM(B43:B45)</f>
        <v>0</v>
      </c>
      <c r="C42" s="347">
        <f t="shared" ref="C42:K42" si="12">SUM(C43:C45)</f>
        <v>0</v>
      </c>
      <c r="D42" s="347">
        <f t="shared" si="12"/>
        <v>0</v>
      </c>
      <c r="E42" s="347">
        <f t="shared" si="12"/>
        <v>0</v>
      </c>
      <c r="F42" s="347">
        <f t="shared" si="12"/>
        <v>0</v>
      </c>
      <c r="G42" s="347">
        <f t="shared" si="12"/>
        <v>0</v>
      </c>
      <c r="H42" s="347">
        <f t="shared" si="12"/>
        <v>0</v>
      </c>
      <c r="I42" s="347">
        <f t="shared" si="12"/>
        <v>0</v>
      </c>
      <c r="J42" s="347">
        <f t="shared" si="12"/>
        <v>0</v>
      </c>
      <c r="K42" s="347">
        <f t="shared" si="12"/>
        <v>0</v>
      </c>
      <c r="L42" s="318"/>
    </row>
    <row r="43" spans="1:12" x14ac:dyDescent="0.25">
      <c r="A43" s="345" t="s">
        <v>778</v>
      </c>
      <c r="B43" s="379">
        <f>Historiek!B109/1000</f>
        <v>0</v>
      </c>
      <c r="C43" s="379">
        <f>Historiek!C109/1000</f>
        <v>0</v>
      </c>
      <c r="D43" s="379">
        <f>Historiek!D109/1000</f>
        <v>0</v>
      </c>
      <c r="E43" s="379">
        <f>Historiek!E109/1000</f>
        <v>0</v>
      </c>
      <c r="F43" s="379">
        <f>Historiek!F109/1000</f>
        <v>0</v>
      </c>
      <c r="G43" s="379">
        <f>Historiek!G109/1000</f>
        <v>0</v>
      </c>
      <c r="H43" s="379">
        <f>Historiek!H109/1000</f>
        <v>0</v>
      </c>
      <c r="I43" s="379">
        <f>Historiek!I109/1000</f>
        <v>0</v>
      </c>
      <c r="J43" s="379">
        <f>Historiek!J109/1000</f>
        <v>0</v>
      </c>
      <c r="K43" s="379">
        <f>Historiek!K109/1000</f>
        <v>0</v>
      </c>
      <c r="L43" s="318"/>
    </row>
    <row r="44" spans="1:12" x14ac:dyDescent="0.25">
      <c r="A44" s="345" t="s">
        <v>779</v>
      </c>
      <c r="B44" s="339">
        <f>Historiek!B108/1000-B43</f>
        <v>0</v>
      </c>
      <c r="C44" s="339">
        <f>Historiek!C108/1000-C43</f>
        <v>0</v>
      </c>
      <c r="D44" s="339">
        <f>Historiek!D108/1000-D43</f>
        <v>0</v>
      </c>
      <c r="E44" s="339">
        <f>Historiek!E108/1000-E43</f>
        <v>0</v>
      </c>
      <c r="F44" s="339">
        <f>Historiek!F108/1000-F43</f>
        <v>0</v>
      </c>
      <c r="G44" s="339">
        <f>Historiek!G108/1000-G43</f>
        <v>0</v>
      </c>
      <c r="H44" s="339">
        <f>Historiek!H108/1000-H43</f>
        <v>0</v>
      </c>
      <c r="I44" s="339">
        <f>Historiek!I108/1000-I43</f>
        <v>0</v>
      </c>
      <c r="J44" s="339">
        <f>Historiek!J108/1000-J43</f>
        <v>0</v>
      </c>
      <c r="K44" s="339">
        <f>Historiek!K108/1000-K43</f>
        <v>0</v>
      </c>
      <c r="L44" s="322"/>
    </row>
    <row r="45" spans="1:12" x14ac:dyDescent="0.25">
      <c r="A45" s="345" t="s">
        <v>780</v>
      </c>
      <c r="B45" s="339">
        <f>(Historiek!B118+Historiek!B117+Historiek!B114)/1000</f>
        <v>0</v>
      </c>
      <c r="C45" s="339">
        <f>(Historiek!C118+Historiek!C117+Historiek!C114)/1000</f>
        <v>0</v>
      </c>
      <c r="D45" s="339">
        <f>(Historiek!D118+Historiek!D117+Historiek!D114)/1000</f>
        <v>0</v>
      </c>
      <c r="E45" s="339">
        <f>(Historiek!E118+Historiek!E117+Historiek!E114)/1000</f>
        <v>0</v>
      </c>
      <c r="F45" s="339">
        <f>(Historiek!F118+Historiek!F117+Historiek!F114)/1000</f>
        <v>0</v>
      </c>
      <c r="G45" s="339">
        <f>(Historiek!G118+Historiek!G117+Historiek!G114)/1000</f>
        <v>0</v>
      </c>
      <c r="H45" s="339">
        <f>(Historiek!H118+Historiek!H117+Historiek!H114)/1000</f>
        <v>0</v>
      </c>
      <c r="I45" s="339">
        <f>(Historiek!I118+Historiek!I117+Historiek!I114)/1000</f>
        <v>0</v>
      </c>
      <c r="J45" s="339">
        <f>(Historiek!J118+Historiek!J117+Historiek!J114)/1000</f>
        <v>0</v>
      </c>
      <c r="K45" s="339">
        <f>(Historiek!K118+Historiek!K117+Historiek!K114)/1000</f>
        <v>0</v>
      </c>
      <c r="L45" s="322"/>
    </row>
    <row r="46" spans="1:12" x14ac:dyDescent="0.25">
      <c r="A46" s="346" t="s">
        <v>781</v>
      </c>
      <c r="B46" s="347">
        <f>SUM(B47:B52)</f>
        <v>0</v>
      </c>
      <c r="C46" s="347">
        <f t="shared" ref="C46:K46" si="13">SUM(C47:C52)</f>
        <v>0</v>
      </c>
      <c r="D46" s="347">
        <f t="shared" si="13"/>
        <v>0</v>
      </c>
      <c r="E46" s="347">
        <f t="shared" si="13"/>
        <v>0</v>
      </c>
      <c r="F46" s="347">
        <f t="shared" si="13"/>
        <v>0</v>
      </c>
      <c r="G46" s="347">
        <f t="shared" si="13"/>
        <v>0</v>
      </c>
      <c r="H46" s="347">
        <f t="shared" si="13"/>
        <v>0</v>
      </c>
      <c r="I46" s="347">
        <f t="shared" si="13"/>
        <v>0</v>
      </c>
      <c r="J46" s="347">
        <f t="shared" si="13"/>
        <v>0</v>
      </c>
      <c r="K46" s="347">
        <f t="shared" si="13"/>
        <v>0</v>
      </c>
      <c r="L46" s="318"/>
    </row>
    <row r="47" spans="1:12" x14ac:dyDescent="0.25">
      <c r="A47" s="345" t="s">
        <v>782</v>
      </c>
      <c r="B47" s="339">
        <f>Historiek!B121/1000</f>
        <v>0</v>
      </c>
      <c r="C47" s="339">
        <f>Historiek!C121/1000</f>
        <v>0</v>
      </c>
      <c r="D47" s="339">
        <f>Historiek!D121/1000</f>
        <v>0</v>
      </c>
      <c r="E47" s="339">
        <f>Historiek!E121/1000</f>
        <v>0</v>
      </c>
      <c r="F47" s="339">
        <f>Historiek!F121/1000</f>
        <v>0</v>
      </c>
      <c r="G47" s="339">
        <f>Historiek!G121/1000</f>
        <v>0</v>
      </c>
      <c r="H47" s="339">
        <f>Historiek!H121/1000</f>
        <v>0</v>
      </c>
      <c r="I47" s="339">
        <f>Historiek!I121/1000</f>
        <v>0</v>
      </c>
      <c r="J47" s="339">
        <f>Historiek!J121/1000</f>
        <v>0</v>
      </c>
      <c r="K47" s="339">
        <f>Historiek!K121/1000</f>
        <v>0</v>
      </c>
      <c r="L47" s="322"/>
    </row>
    <row r="48" spans="1:12" x14ac:dyDescent="0.25">
      <c r="A48" s="345" t="s">
        <v>779</v>
      </c>
      <c r="B48" s="339">
        <f>Historiek!B122/1000</f>
        <v>0</v>
      </c>
      <c r="C48" s="339">
        <f>Historiek!C122/1000</f>
        <v>0</v>
      </c>
      <c r="D48" s="339">
        <f>Historiek!D122/1000</f>
        <v>0</v>
      </c>
      <c r="E48" s="339">
        <f>Historiek!E122/1000</f>
        <v>0</v>
      </c>
      <c r="F48" s="339">
        <f>Historiek!F122/1000</f>
        <v>0</v>
      </c>
      <c r="G48" s="339">
        <f>Historiek!G122/1000</f>
        <v>0</v>
      </c>
      <c r="H48" s="339">
        <f>Historiek!H122/1000</f>
        <v>0</v>
      </c>
      <c r="I48" s="339">
        <f>Historiek!I122/1000</f>
        <v>0</v>
      </c>
      <c r="J48" s="339">
        <f>Historiek!J122/1000</f>
        <v>0</v>
      </c>
      <c r="K48" s="339">
        <f>Historiek!K122/1000</f>
        <v>0</v>
      </c>
      <c r="L48" s="322"/>
    </row>
    <row r="49" spans="1:12" x14ac:dyDescent="0.25">
      <c r="A49" s="345" t="s">
        <v>783</v>
      </c>
      <c r="B49" s="339">
        <f>Historiek!B125/1000</f>
        <v>0</v>
      </c>
      <c r="C49" s="339">
        <f>Historiek!C125/1000</f>
        <v>0</v>
      </c>
      <c r="D49" s="339">
        <f>Historiek!D125/1000</f>
        <v>0</v>
      </c>
      <c r="E49" s="339">
        <f>Historiek!E125/1000</f>
        <v>0</v>
      </c>
      <c r="F49" s="339">
        <f>Historiek!F125/1000</f>
        <v>0</v>
      </c>
      <c r="G49" s="339">
        <f>Historiek!G125/1000</f>
        <v>0</v>
      </c>
      <c r="H49" s="339">
        <f>Historiek!H125/1000</f>
        <v>0</v>
      </c>
      <c r="I49" s="339">
        <f>Historiek!I125/1000</f>
        <v>0</v>
      </c>
      <c r="J49" s="339">
        <f>Historiek!J125/1000</f>
        <v>0</v>
      </c>
      <c r="K49" s="339">
        <f>Historiek!K125/1000</f>
        <v>0</v>
      </c>
      <c r="L49" s="322"/>
    </row>
    <row r="50" spans="1:12" x14ac:dyDescent="0.25">
      <c r="A50" s="345" t="s">
        <v>784</v>
      </c>
      <c r="B50" s="339">
        <f>Historiek!B128/1000</f>
        <v>0</v>
      </c>
      <c r="C50" s="339">
        <f>Historiek!C128/1000</f>
        <v>0</v>
      </c>
      <c r="D50" s="339">
        <f>Historiek!D128/1000</f>
        <v>0</v>
      </c>
      <c r="E50" s="339">
        <f>Historiek!E128/1000</f>
        <v>0</v>
      </c>
      <c r="F50" s="339">
        <f>Historiek!F128/1000</f>
        <v>0</v>
      </c>
      <c r="G50" s="339">
        <f>Historiek!G128/1000</f>
        <v>0</v>
      </c>
      <c r="H50" s="339">
        <f>Historiek!H128/1000</f>
        <v>0</v>
      </c>
      <c r="I50" s="339">
        <f>Historiek!I128/1000</f>
        <v>0</v>
      </c>
      <c r="J50" s="339">
        <f>Historiek!J128/1000</f>
        <v>0</v>
      </c>
      <c r="K50" s="339">
        <f>Historiek!K128/1000</f>
        <v>0</v>
      </c>
      <c r="L50" s="322"/>
    </row>
    <row r="51" spans="1:12" x14ac:dyDescent="0.25">
      <c r="A51" s="345" t="s">
        <v>785</v>
      </c>
      <c r="B51" s="339">
        <f>Historiek!B129/1000</f>
        <v>0</v>
      </c>
      <c r="C51" s="339">
        <f>Historiek!C129/1000</f>
        <v>0</v>
      </c>
      <c r="D51" s="339">
        <f>Historiek!D129/1000</f>
        <v>0</v>
      </c>
      <c r="E51" s="339">
        <f>Historiek!E129/1000</f>
        <v>0</v>
      </c>
      <c r="F51" s="339">
        <f>Historiek!F129/1000</f>
        <v>0</v>
      </c>
      <c r="G51" s="339">
        <f>Historiek!G129/1000</f>
        <v>0</v>
      </c>
      <c r="H51" s="339">
        <f>Historiek!H129/1000</f>
        <v>0</v>
      </c>
      <c r="I51" s="339">
        <f>Historiek!I129/1000</f>
        <v>0</v>
      </c>
      <c r="J51" s="339">
        <f>Historiek!J129/1000</f>
        <v>0</v>
      </c>
      <c r="K51" s="339">
        <f>Historiek!K129/1000</f>
        <v>0</v>
      </c>
      <c r="L51" s="322"/>
    </row>
    <row r="52" spans="1:12" x14ac:dyDescent="0.25">
      <c r="A52" s="345" t="s">
        <v>780</v>
      </c>
      <c r="B52" s="339">
        <f>Historiek!B132/1000</f>
        <v>0</v>
      </c>
      <c r="C52" s="339">
        <f>Historiek!C132/1000</f>
        <v>0</v>
      </c>
      <c r="D52" s="339">
        <f>Historiek!D132/1000</f>
        <v>0</v>
      </c>
      <c r="E52" s="339">
        <f>Historiek!E132/1000</f>
        <v>0</v>
      </c>
      <c r="F52" s="339">
        <f>Historiek!F132/1000</f>
        <v>0</v>
      </c>
      <c r="G52" s="339">
        <f>Historiek!G132/1000</f>
        <v>0</v>
      </c>
      <c r="H52" s="339">
        <f>Historiek!H132/1000</f>
        <v>0</v>
      </c>
      <c r="I52" s="339">
        <f>Historiek!I132/1000</f>
        <v>0</v>
      </c>
      <c r="J52" s="339">
        <f>Historiek!J132/1000</f>
        <v>0</v>
      </c>
      <c r="K52" s="339">
        <f>Historiek!K132/1000</f>
        <v>0</v>
      </c>
      <c r="L52" s="322"/>
    </row>
    <row r="53" spans="1:12" x14ac:dyDescent="0.25">
      <c r="A53" s="346" t="s">
        <v>769</v>
      </c>
      <c r="B53" s="347">
        <f>Historiek!B134/1000</f>
        <v>0</v>
      </c>
      <c r="C53" s="347">
        <f>Historiek!C134/1000</f>
        <v>0</v>
      </c>
      <c r="D53" s="347">
        <f>Historiek!D134/1000</f>
        <v>0</v>
      </c>
      <c r="E53" s="347">
        <f>Historiek!E134/1000</f>
        <v>0</v>
      </c>
      <c r="F53" s="347">
        <f>Historiek!F134/1000</f>
        <v>0</v>
      </c>
      <c r="G53" s="347">
        <f>Historiek!G134/1000</f>
        <v>0</v>
      </c>
      <c r="H53" s="347">
        <f>Historiek!H134/1000</f>
        <v>0</v>
      </c>
      <c r="I53" s="347">
        <f>Historiek!I134/1000</f>
        <v>0</v>
      </c>
      <c r="J53" s="347">
        <f>Historiek!J134/1000</f>
        <v>0</v>
      </c>
      <c r="K53" s="347">
        <f>Historiek!K134/1000</f>
        <v>0</v>
      </c>
      <c r="L53" s="318"/>
    </row>
    <row r="54" spans="1:12" ht="6" customHeight="1" x14ac:dyDescent="0.25">
      <c r="A54" s="346"/>
      <c r="B54" s="339"/>
      <c r="C54" s="339"/>
      <c r="D54" s="339"/>
      <c r="E54" s="339"/>
      <c r="F54" s="339"/>
      <c r="G54" s="339"/>
      <c r="H54" s="339"/>
      <c r="I54" s="339"/>
      <c r="J54" s="339"/>
      <c r="K54" s="339"/>
      <c r="L54" s="322"/>
    </row>
    <row r="55" spans="1:12" ht="13.8" x14ac:dyDescent="0.3">
      <c r="A55" s="703" t="s">
        <v>786</v>
      </c>
      <c r="B55" s="704">
        <f t="shared" ref="B55" si="14">B53+B46+B42</f>
        <v>0</v>
      </c>
      <c r="C55" s="704">
        <f t="shared" ref="C55:K55" si="15">C53+C46+C42</f>
        <v>0</v>
      </c>
      <c r="D55" s="704">
        <f t="shared" si="15"/>
        <v>0</v>
      </c>
      <c r="E55" s="704">
        <f t="shared" si="15"/>
        <v>0</v>
      </c>
      <c r="F55" s="704">
        <f t="shared" si="15"/>
        <v>0</v>
      </c>
      <c r="G55" s="704">
        <f t="shared" si="15"/>
        <v>0</v>
      </c>
      <c r="H55" s="704">
        <f t="shared" si="15"/>
        <v>0</v>
      </c>
      <c r="I55" s="704">
        <f t="shared" si="15"/>
        <v>0</v>
      </c>
      <c r="J55" s="704">
        <f t="shared" si="15"/>
        <v>0</v>
      </c>
      <c r="K55" s="704">
        <f t="shared" si="15"/>
        <v>0</v>
      </c>
      <c r="L55" s="705"/>
    </row>
    <row r="56" spans="1:12" x14ac:dyDescent="0.25">
      <c r="A56" s="345"/>
      <c r="B56" s="339"/>
      <c r="C56" s="339"/>
      <c r="D56" s="339"/>
      <c r="E56" s="339"/>
      <c r="F56" s="339"/>
      <c r="G56" s="339"/>
      <c r="H56" s="339"/>
      <c r="I56" s="339"/>
      <c r="J56" s="339"/>
      <c r="K56" s="339"/>
      <c r="L56" s="322"/>
    </row>
    <row r="57" spans="1:12" ht="15.6" x14ac:dyDescent="0.3">
      <c r="A57" s="706" t="s">
        <v>787</v>
      </c>
      <c r="B57" s="704">
        <f t="shared" ref="B57" si="16">B55+B40+B38</f>
        <v>0</v>
      </c>
      <c r="C57" s="704">
        <f t="shared" ref="C57:K57" si="17">C55+C40+C38</f>
        <v>0</v>
      </c>
      <c r="D57" s="704">
        <f t="shared" si="17"/>
        <v>0</v>
      </c>
      <c r="E57" s="704">
        <f t="shared" si="17"/>
        <v>0</v>
      </c>
      <c r="F57" s="704">
        <f t="shared" si="17"/>
        <v>0</v>
      </c>
      <c r="G57" s="704">
        <f t="shared" si="17"/>
        <v>0</v>
      </c>
      <c r="H57" s="704">
        <f t="shared" si="17"/>
        <v>0</v>
      </c>
      <c r="I57" s="704">
        <f t="shared" si="17"/>
        <v>0</v>
      </c>
      <c r="J57" s="704">
        <f t="shared" si="17"/>
        <v>0</v>
      </c>
      <c r="K57" s="704">
        <f t="shared" si="17"/>
        <v>0</v>
      </c>
      <c r="L57" s="705"/>
    </row>
    <row r="58" spans="1:12" x14ac:dyDescent="0.25">
      <c r="A58" s="352"/>
      <c r="B58" s="347"/>
      <c r="C58" s="347"/>
      <c r="D58" s="347"/>
      <c r="E58" s="347"/>
      <c r="F58" s="347"/>
      <c r="G58" s="347"/>
      <c r="H58" s="347"/>
      <c r="I58" s="347"/>
      <c r="J58" s="347"/>
      <c r="K58" s="347"/>
      <c r="L58" s="347"/>
    </row>
    <row r="59" spans="1:12" ht="15.6" x14ac:dyDescent="0.3">
      <c r="A59" s="700" t="s">
        <v>788</v>
      </c>
      <c r="B59" s="701">
        <f t="shared" ref="B59" si="18">B4</f>
        <v>43828</v>
      </c>
      <c r="C59" s="701">
        <f t="shared" ref="C59:K59" si="19">C4</f>
        <v>44194</v>
      </c>
      <c r="D59" s="701">
        <f t="shared" si="19"/>
        <v>44560</v>
      </c>
      <c r="E59" s="701">
        <f t="shared" si="19"/>
        <v>44926</v>
      </c>
      <c r="F59" s="701">
        <f t="shared" si="19"/>
        <v>45291</v>
      </c>
      <c r="G59" s="701">
        <f t="shared" si="19"/>
        <v>45656</v>
      </c>
      <c r="H59" s="701">
        <f t="shared" si="19"/>
        <v>46021</v>
      </c>
      <c r="I59" s="701">
        <f t="shared" si="19"/>
        <v>46386</v>
      </c>
      <c r="J59" s="701">
        <f t="shared" si="19"/>
        <v>46751</v>
      </c>
      <c r="K59" s="701">
        <f t="shared" si="19"/>
        <v>47116</v>
      </c>
      <c r="L59" s="702"/>
    </row>
    <row r="60" spans="1:12" x14ac:dyDescent="0.25">
      <c r="A60" s="353" t="s">
        <v>789</v>
      </c>
      <c r="B60" s="354">
        <f>IF(B57=0,0,+B38/B57)</f>
        <v>0</v>
      </c>
      <c r="C60" s="354">
        <f t="shared" ref="C60:K60" si="20">IF(C57=0,0,+C38/C57)</f>
        <v>0</v>
      </c>
      <c r="D60" s="354">
        <f t="shared" si="20"/>
        <v>0</v>
      </c>
      <c r="E60" s="354">
        <f t="shared" si="20"/>
        <v>0</v>
      </c>
      <c r="F60" s="354">
        <f t="shared" si="20"/>
        <v>0</v>
      </c>
      <c r="G60" s="354">
        <f t="shared" si="20"/>
        <v>0</v>
      </c>
      <c r="H60" s="354">
        <f t="shared" si="20"/>
        <v>0</v>
      </c>
      <c r="I60" s="354">
        <f t="shared" si="20"/>
        <v>0</v>
      </c>
      <c r="J60" s="355">
        <f t="shared" si="20"/>
        <v>0</v>
      </c>
      <c r="K60" s="355">
        <f t="shared" si="20"/>
        <v>0</v>
      </c>
      <c r="L60" s="356"/>
    </row>
    <row r="61" spans="1:12" x14ac:dyDescent="0.25">
      <c r="A61" s="348" t="s">
        <v>790</v>
      </c>
      <c r="B61" s="354">
        <f>IF(B57=0,0,(Historiek!B75+Historiek!B109-Historiek!B17-Historiek!B19)/(B57*1000-Historiek!B17-Historiek!B19))</f>
        <v>0</v>
      </c>
      <c r="C61" s="354">
        <f>IF(C57=0,0,(Historiek!C75+Historiek!C109-Historiek!C17-Historiek!C19)/(C57*1000-Historiek!C17-Historiek!C19))</f>
        <v>0</v>
      </c>
      <c r="D61" s="354">
        <f>IF(D57=0,0,(Historiek!D75+Historiek!D109-Historiek!D17-Historiek!D19)/(D57*1000-Historiek!D17-Historiek!D19))</f>
        <v>0</v>
      </c>
      <c r="E61" s="354">
        <f>IF(E57=0,0,(Historiek!E75+Historiek!E109-Historiek!E17-Historiek!E19)/(E57*1000-Historiek!E17-Historiek!E19))</f>
        <v>0</v>
      </c>
      <c r="F61" s="354">
        <f>IF(F57=0,0,(Historiek!F75+Historiek!F109-Historiek!F17-Historiek!F19)/(F57*1000-Historiek!F17-Historiek!F19))</f>
        <v>0</v>
      </c>
      <c r="G61" s="354">
        <f>IF(G57=0,0,(Historiek!G75+Historiek!G109-Historiek!G17-Historiek!G19)/(G57*1000-Historiek!G17-Historiek!G19))</f>
        <v>0</v>
      </c>
      <c r="H61" s="354">
        <f>IF(H57=0,0,(Historiek!H75+Historiek!H109-Historiek!H17-Historiek!H19)/(H57*1000-Historiek!H17-Historiek!H19))</f>
        <v>0</v>
      </c>
      <c r="I61" s="354">
        <f>IF(I57=0,0,(Historiek!I75+Historiek!I109-Historiek!I17-Historiek!I19)/(I57*1000-Historiek!I17-Historiek!I19))</f>
        <v>0</v>
      </c>
      <c r="J61" s="354">
        <f>IF(J57=0,0,(Historiek!J75+Historiek!J109-Historiek!J17-Historiek!J19)/(J57*1000-Historiek!J17-Historiek!J19))</f>
        <v>0</v>
      </c>
      <c r="K61" s="354">
        <f>IF(K57=0,0,(Historiek!K75+Historiek!K109-Historiek!K17-Historiek!K19)/(K57*1000-Historiek!K17-Historiek!K19))</f>
        <v>0</v>
      </c>
      <c r="L61" s="356"/>
    </row>
    <row r="62" spans="1:12" x14ac:dyDescent="0.25">
      <c r="A62" s="348" t="s">
        <v>791</v>
      </c>
      <c r="B62" s="354">
        <f t="shared" ref="B62" si="21">IF(B57=0,0,+(B43+B44+B47+B48-B23)/B57)</f>
        <v>0</v>
      </c>
      <c r="C62" s="354">
        <f t="shared" ref="C62:K62" si="22">IF(C57=0,0,+(C43+C44+C47+C48-C23)/C57)</f>
        <v>0</v>
      </c>
      <c r="D62" s="354">
        <f t="shared" si="22"/>
        <v>0</v>
      </c>
      <c r="E62" s="354">
        <f t="shared" si="22"/>
        <v>0</v>
      </c>
      <c r="F62" s="354">
        <f t="shared" si="22"/>
        <v>0</v>
      </c>
      <c r="G62" s="354">
        <f t="shared" si="22"/>
        <v>0</v>
      </c>
      <c r="H62" s="354">
        <f t="shared" si="22"/>
        <v>0</v>
      </c>
      <c r="I62" s="354">
        <f t="shared" si="22"/>
        <v>0</v>
      </c>
      <c r="J62" s="354">
        <f t="shared" si="22"/>
        <v>0</v>
      </c>
      <c r="K62" s="354">
        <f t="shared" si="22"/>
        <v>0</v>
      </c>
      <c r="L62" s="356"/>
    </row>
    <row r="63" spans="1:12" x14ac:dyDescent="0.25">
      <c r="A63" s="348" t="s">
        <v>77</v>
      </c>
      <c r="B63" s="357">
        <f>B44+B45+B47+B48-B23+B43</f>
        <v>0</v>
      </c>
      <c r="C63" s="357">
        <f t="shared" ref="C63:K63" si="23">C44+C45+C47+C48-C23+C43</f>
        <v>0</v>
      </c>
      <c r="D63" s="357">
        <f t="shared" si="23"/>
        <v>0</v>
      </c>
      <c r="E63" s="357">
        <f t="shared" si="23"/>
        <v>0</v>
      </c>
      <c r="F63" s="357">
        <f t="shared" si="23"/>
        <v>0</v>
      </c>
      <c r="G63" s="357">
        <f t="shared" si="23"/>
        <v>0</v>
      </c>
      <c r="H63" s="357">
        <f t="shared" si="23"/>
        <v>0</v>
      </c>
      <c r="I63" s="357">
        <f t="shared" si="23"/>
        <v>0</v>
      </c>
      <c r="J63" s="357">
        <f t="shared" si="23"/>
        <v>0</v>
      </c>
      <c r="K63" s="357">
        <f t="shared" si="23"/>
        <v>0</v>
      </c>
      <c r="L63" s="358"/>
    </row>
    <row r="64" spans="1:12" x14ac:dyDescent="0.25">
      <c r="A64" s="348" t="s">
        <v>746</v>
      </c>
      <c r="B64" s="359">
        <f>IF(B63&lt;0,"",IF(Resultaten!B26=0,0,B63/Resultaten!B26))</f>
        <v>0</v>
      </c>
      <c r="C64" s="359">
        <f>IF(C63&lt;0,"",IF(Resultaten!C26=0,0,C63/Resultaten!C26))</f>
        <v>0</v>
      </c>
      <c r="D64" s="359">
        <f>IF(D63&lt;0,"",IF(Resultaten!D26=0,0,D63/Resultaten!D26))</f>
        <v>0</v>
      </c>
      <c r="E64" s="359">
        <f>IF(E63&lt;0,"",IF(Resultaten!E26=0,0,E63/Resultaten!E26))</f>
        <v>0</v>
      </c>
      <c r="F64" s="359">
        <f>IF(F63&lt;0,"",IF(Resultaten!F26=0,0,F63/Resultaten!F26))</f>
        <v>0</v>
      </c>
      <c r="G64" s="359">
        <f>IF(G63&lt;0,"",IF(Resultaten!G26=0,0,G63/Resultaten!G26))</f>
        <v>0</v>
      </c>
      <c r="H64" s="359">
        <f>IF(H63&lt;0,"",IF(Resultaten!H26=0,0,H63/Resultaten!H26))</f>
        <v>0</v>
      </c>
      <c r="I64" s="359">
        <f>IF(I63&lt;0,"",IF(Resultaten!I26=0,0,I63/Resultaten!I26))</f>
        <v>0</v>
      </c>
      <c r="J64" s="359">
        <f>IF(J63&lt;0,"",IF(Resultaten!J26=0,0,J63/Resultaten!J26))</f>
        <v>0</v>
      </c>
      <c r="K64" s="359">
        <f>IF(K63&lt;0,"",IF(Resultaten!K26=0,0,K63/Resultaten!K26))</f>
        <v>0</v>
      </c>
      <c r="L64" s="360"/>
    </row>
    <row r="65" spans="1:12" x14ac:dyDescent="0.25">
      <c r="A65" s="361" t="s">
        <v>792</v>
      </c>
      <c r="B65" s="359">
        <f>IF(Resultaten!B34=0,0,Resultaten!B26/Resultaten!B34)</f>
        <v>0</v>
      </c>
      <c r="C65" s="359">
        <f>IF(Resultaten!C34=0,0,Resultaten!C26/Resultaten!C34)</f>
        <v>0</v>
      </c>
      <c r="D65" s="359">
        <f>IF(Resultaten!D34=0,0,Resultaten!D26/Resultaten!D34)</f>
        <v>0</v>
      </c>
      <c r="E65" s="359">
        <f>IF(Resultaten!E34=0,0,Resultaten!E26/Resultaten!E34)</f>
        <v>0</v>
      </c>
      <c r="F65" s="359">
        <f>IF(Resultaten!F34=0,0,Resultaten!F26/Resultaten!F34)</f>
        <v>0</v>
      </c>
      <c r="G65" s="359">
        <f>IF(Resultaten!G34=0,0,Resultaten!G26/Resultaten!G34)</f>
        <v>0</v>
      </c>
      <c r="H65" s="359">
        <f>IF(Resultaten!H34=0,0,Resultaten!H26/Resultaten!H34)</f>
        <v>0</v>
      </c>
      <c r="I65" s="359">
        <f>IF(Resultaten!I34=0,0,Resultaten!I26/Resultaten!I34)</f>
        <v>0</v>
      </c>
      <c r="J65" s="359">
        <f>IF(Resultaten!J34=0,0,Resultaten!J26/Resultaten!J34)</f>
        <v>0</v>
      </c>
      <c r="K65" s="359">
        <f>IF(Resultaten!K34=0,0,Resultaten!K26/Resultaten!K34)</f>
        <v>0</v>
      </c>
      <c r="L65" s="360"/>
    </row>
    <row r="66" spans="1:12" x14ac:dyDescent="0.25">
      <c r="A66" s="348" t="s">
        <v>793</v>
      </c>
      <c r="B66" s="354">
        <f>IF(Historiek!B77=0,0,B38/(Historiek!B77/1000))</f>
        <v>0</v>
      </c>
      <c r="C66" s="354">
        <f>IF(Historiek!C77=0,0,C38/(Historiek!C77/1000))</f>
        <v>0</v>
      </c>
      <c r="D66" s="354">
        <f>IF(Historiek!D77=0,0,D38/(Historiek!D77/1000))</f>
        <v>0</v>
      </c>
      <c r="E66" s="354">
        <f>IF(Historiek!E77=0,0,E38/(Historiek!E77/1000))</f>
        <v>0</v>
      </c>
      <c r="F66" s="354">
        <f>IF(Historiek!F77=0,0,F38/(Historiek!F77/1000))</f>
        <v>0</v>
      </c>
      <c r="G66" s="354">
        <f>IF(Historiek!G77=0,0,G38/(Historiek!G77/1000))</f>
        <v>0</v>
      </c>
      <c r="H66" s="354">
        <f>IF(Historiek!H77=0,0,H38/(Historiek!H77/1000))</f>
        <v>0</v>
      </c>
      <c r="I66" s="354">
        <f>IF(Historiek!I77=0,0,I38/(Historiek!I77/1000))</f>
        <v>0</v>
      </c>
      <c r="J66" s="354">
        <f>IF(Historiek!J77=0,0,J38/(Historiek!J77/1000))</f>
        <v>0</v>
      </c>
      <c r="K66" s="354">
        <f>IF(Historiek!K77=0,0,K38/(Historiek!K77/1000))</f>
        <v>0</v>
      </c>
      <c r="L66" s="356"/>
    </row>
    <row r="67" spans="1:12" x14ac:dyDescent="0.25">
      <c r="A67" s="348" t="s">
        <v>794</v>
      </c>
      <c r="B67" s="354">
        <f>IF(Resultaten!B7+Resultaten!B8=0,0,+(B21+B19-B49+Historiek!B114/1000)/((Resultaten!B7+Resultaten!B8)*(12/Resultaten!B5)))</f>
        <v>0</v>
      </c>
      <c r="C67" s="354">
        <f>IF(Resultaten!C7+Resultaten!C8=0,0,+(C21+C19-C49+Historiek!C114/1000)/((Resultaten!C7+Resultaten!C8)*(12/Resultaten!C5)))</f>
        <v>0</v>
      </c>
      <c r="D67" s="354">
        <f>IF(Resultaten!D7+Resultaten!D8=0,0,+(D21+D19-D49+Historiek!D114/1000)/((Resultaten!D7+Resultaten!D8)*(12/Resultaten!D5)))</f>
        <v>0</v>
      </c>
      <c r="E67" s="354">
        <f>IF(Resultaten!E7+Resultaten!E8=0,0,+(E21+E19-E49+Historiek!E114/1000)/((Resultaten!E7+Resultaten!E8)*(12/Resultaten!E5)))</f>
        <v>0</v>
      </c>
      <c r="F67" s="354">
        <f>IF(Resultaten!F7+Resultaten!F8=0,0,+(F21+F19-F49+Historiek!F114/1000)/((Resultaten!F7+Resultaten!F8)*(12/Resultaten!F5)))</f>
        <v>0</v>
      </c>
      <c r="G67" s="354">
        <f>IF(Resultaten!G7+Resultaten!G8=0,0,+(G21+G19-G49+Historiek!G114/1000)/((Resultaten!G7+Resultaten!G8)*(12/Resultaten!G5)))</f>
        <v>0</v>
      </c>
      <c r="H67" s="354">
        <f>IF(Resultaten!H7+Resultaten!H8=0,0,+(H21+H19-H49+Historiek!H114/1000)/((Resultaten!H7+Resultaten!H8)*(12/Resultaten!H5)))</f>
        <v>0</v>
      </c>
      <c r="I67" s="354">
        <f>IF(Resultaten!I7+Resultaten!I8=0,0,+(I21+I19-I49+Historiek!I114/1000)/((Resultaten!I7+Resultaten!I8)*(12/Resultaten!I5)))</f>
        <v>0</v>
      </c>
      <c r="J67" s="354">
        <f>IF(Resultaten!J7+Resultaten!J8=0,0,+(J21+J19-J49+Historiek!J114/1000)/((Resultaten!J7+Resultaten!J8)*(12/Resultaten!J5)))</f>
        <v>0</v>
      </c>
      <c r="K67" s="354">
        <f>IF(Resultaten!K7+Resultaten!K8=0,0,+(K21+K19-K49+Historiek!K114/1000)/((Resultaten!K7+Resultaten!K8)*(12/Resultaten!K5)))</f>
        <v>0</v>
      </c>
      <c r="L67" s="356"/>
    </row>
    <row r="68" spans="1:12" x14ac:dyDescent="0.25">
      <c r="A68" s="348" t="s">
        <v>795</v>
      </c>
      <c r="B68" s="357">
        <f>Summary!B23</f>
        <v>0</v>
      </c>
      <c r="C68" s="357">
        <f>Summary!C23</f>
        <v>0</v>
      </c>
      <c r="D68" s="357">
        <f>Summary!D23</f>
        <v>0</v>
      </c>
      <c r="E68" s="357">
        <f>Summary!E23</f>
        <v>0</v>
      </c>
      <c r="F68" s="357">
        <f>Summary!F23</f>
        <v>0</v>
      </c>
      <c r="G68" s="357">
        <f>Summary!G23</f>
        <v>0</v>
      </c>
      <c r="H68" s="357">
        <f>Summary!H23</f>
        <v>0</v>
      </c>
      <c r="I68" s="357">
        <f>Summary!I23</f>
        <v>0</v>
      </c>
      <c r="J68" s="357">
        <f>Summary!J23</f>
        <v>0</v>
      </c>
      <c r="K68" s="357">
        <f>Summary!L23</f>
        <v>0</v>
      </c>
      <c r="L68" s="360"/>
    </row>
    <row r="69" spans="1:12" x14ac:dyDescent="0.25">
      <c r="A69" s="348" t="s">
        <v>796</v>
      </c>
      <c r="B69" s="354" t="str">
        <f>Summary!B36</f>
        <v/>
      </c>
      <c r="C69" s="354" t="str">
        <f>Summary!C36</f>
        <v/>
      </c>
      <c r="D69" s="354" t="str">
        <f>Summary!D36</f>
        <v/>
      </c>
      <c r="E69" s="354" t="str">
        <f>Summary!E36</f>
        <v/>
      </c>
      <c r="F69" s="354" t="str">
        <f>Summary!F36</f>
        <v/>
      </c>
      <c r="G69" s="354" t="str">
        <f>Summary!G36</f>
        <v/>
      </c>
      <c r="H69" s="354" t="str">
        <f>Summary!H36</f>
        <v/>
      </c>
      <c r="I69" s="354" t="str">
        <f>Summary!I36</f>
        <v/>
      </c>
      <c r="J69" s="354" t="str">
        <f>Summary!J36</f>
        <v/>
      </c>
      <c r="K69" s="354">
        <f>Summary!L36</f>
        <v>0</v>
      </c>
      <c r="L69" s="356"/>
    </row>
    <row r="70" spans="1:12" x14ac:dyDescent="0.25">
      <c r="A70" s="348" t="s">
        <v>797</v>
      </c>
      <c r="B70" s="359">
        <f>IF(Resultaten!B7+Resultaten!B16=0,0,+(Historiek!B44/1000+B21)/((Resultaten!B7+Resultaten!B16+Historiek!B292)*(12/Resultaten!B5))*365)</f>
        <v>0</v>
      </c>
      <c r="C70" s="359">
        <f>IF(Resultaten!C7+Resultaten!C16=0,0,+(Historiek!C44/1000+C21)/((Resultaten!C7+Resultaten!C16+Historiek!C292)*(12/Resultaten!C5))*365)</f>
        <v>0</v>
      </c>
      <c r="D70" s="359">
        <f>IF(Resultaten!D7+Resultaten!D16=0,0,+(Historiek!D44/1000+D21)/((Resultaten!D7+Resultaten!D16+Historiek!D292)*(12/Resultaten!D5))*365)</f>
        <v>0</v>
      </c>
      <c r="E70" s="359">
        <f>IF(Resultaten!E7+Resultaten!E16=0,0,+(Historiek!E44/1000+E21)/((Resultaten!E7+Resultaten!E16+Historiek!E292)*(12/Resultaten!E5))*365)</f>
        <v>0</v>
      </c>
      <c r="F70" s="359">
        <f>IF(Resultaten!F7+Resultaten!F16=0,0,+(Historiek!F44/1000+F21)/((Resultaten!F7+Resultaten!F16+Historiek!F292)*(12/Resultaten!F5))*365)</f>
        <v>0</v>
      </c>
      <c r="G70" s="359">
        <f>IF(Resultaten!G7+Resultaten!G16=0,0,+(Historiek!G44/1000+G21)/((Resultaten!G7+Resultaten!G16+Historiek!G292)*(12/Resultaten!G5))*365)</f>
        <v>0</v>
      </c>
      <c r="H70" s="359">
        <f>IF(Resultaten!H7+Resultaten!H16=0,0,+(Historiek!H44/1000+H21)/((Resultaten!H7+Resultaten!H16+Historiek!H292)*(12/Resultaten!H5))*365)</f>
        <v>0</v>
      </c>
      <c r="I70" s="359">
        <f>IF(Resultaten!I7+Resultaten!I16=0,0,+(Historiek!I44/1000+I21)/((Resultaten!I7+Resultaten!I16+Historiek!I292)*(12/Resultaten!I5))*365)</f>
        <v>0</v>
      </c>
      <c r="J70" s="359">
        <f>IF(Resultaten!J7+Resultaten!J16=0,0,+(Historiek!J44/1000+J21)/((Resultaten!J7+Resultaten!J16+Historiek!J292)*(12/Resultaten!J5))*365)</f>
        <v>0</v>
      </c>
      <c r="K70" s="359">
        <f>IF(Resultaten!K7+Resultaten!K16=0,0,+(Historiek!K44/1000+K21)/((Resultaten!K7+Resultaten!K16+Historiek!K292)*(12/Resultaten!K5))*365)</f>
        <v>0</v>
      </c>
      <c r="L70" s="360"/>
    </row>
    <row r="71" spans="1:12" x14ac:dyDescent="0.25">
      <c r="A71" s="348" t="s">
        <v>798</v>
      </c>
      <c r="B71" s="359">
        <f>IF(Resultaten!B9+Resultaten!B14=0,0,+(B49+Historiek!B114/1000)/((Resultaten!B9+Resultaten!B14+Historiek!B291)*(12/Resultaten!B5))*365)</f>
        <v>0</v>
      </c>
      <c r="C71" s="359">
        <f>IF(Resultaten!C9+Resultaten!C14=0,0,+(C49+Historiek!C114/1000)/((Resultaten!C9+Resultaten!C14+Historiek!C291)*(12/Resultaten!C5))*365)</f>
        <v>0</v>
      </c>
      <c r="D71" s="359">
        <f>IF(Resultaten!D9+Resultaten!D14=0,0,+(D49+Historiek!D114/1000)/((Resultaten!D9+Resultaten!D14+Historiek!D291)*(12/Resultaten!D5))*365)</f>
        <v>0</v>
      </c>
      <c r="E71" s="359">
        <f>IF(Resultaten!E9+Resultaten!E14=0,0,+(E49+Historiek!E114/1000)/((Resultaten!E9+Resultaten!E14+Historiek!E291)*(12/Resultaten!E5))*365)</f>
        <v>0</v>
      </c>
      <c r="F71" s="359">
        <f>IF(Resultaten!F9+Resultaten!F14=0,0,+(F49+Historiek!F114/1000)/((Resultaten!F9+Resultaten!F14+Historiek!F291)*(12/Resultaten!F5))*365)</f>
        <v>0</v>
      </c>
      <c r="G71" s="359">
        <f>IF(Resultaten!G9+Resultaten!G14=0,0,+(G49+Historiek!G114/1000)/((Resultaten!G9+Resultaten!G14+Historiek!G291)*(12/Resultaten!G5))*365)</f>
        <v>0</v>
      </c>
      <c r="H71" s="359">
        <f>IF(Resultaten!H9+Resultaten!H14=0,0,+(H49+Historiek!H114/1000)/((Resultaten!H9+Resultaten!H14+Historiek!H291)*(12/Resultaten!H5))*365)</f>
        <v>0</v>
      </c>
      <c r="I71" s="359">
        <f>IF(Resultaten!I9+Resultaten!I14=0,0,+(I49+Historiek!I114/1000)/((Resultaten!I9+Resultaten!I14+Historiek!I291)*(12/Resultaten!I5))*365)</f>
        <v>0</v>
      </c>
      <c r="J71" s="359">
        <f>IF(Resultaten!J9+Resultaten!J14=0,0,+(J49+Historiek!J114/1000)/((Resultaten!J9+Resultaten!J14+Historiek!J291)*(12/Resultaten!J5))*365)</f>
        <v>0</v>
      </c>
      <c r="K71" s="359">
        <f>IF(Resultaten!K9+Resultaten!K14=0,0,+(K49+Historiek!K114/1000)/((Resultaten!K9+Resultaten!K14+Historiek!K291)*(12/Resultaten!K5))*365)</f>
        <v>0</v>
      </c>
      <c r="L71" s="360"/>
    </row>
    <row r="72" spans="1:12" x14ac:dyDescent="0.25">
      <c r="A72" s="362" t="s">
        <v>799</v>
      </c>
      <c r="B72" s="363">
        <f>Historiek!B302</f>
        <v>0</v>
      </c>
      <c r="C72" s="363">
        <f>Historiek!C302</f>
        <v>0</v>
      </c>
      <c r="D72" s="363">
        <f>Historiek!D302</f>
        <v>0</v>
      </c>
      <c r="E72" s="363">
        <f>Historiek!E302</f>
        <v>0</v>
      </c>
      <c r="F72" s="363">
        <f>Historiek!F302</f>
        <v>0</v>
      </c>
      <c r="G72" s="363">
        <f>Historiek!G302</f>
        <v>0</v>
      </c>
      <c r="H72" s="363">
        <f>Historiek!H302</f>
        <v>0</v>
      </c>
      <c r="I72" s="363">
        <f>Historiek!I302</f>
        <v>0</v>
      </c>
      <c r="J72" s="363">
        <f>Historiek!J302</f>
        <v>0</v>
      </c>
      <c r="K72" s="363">
        <f>Historiek!K302</f>
        <v>0</v>
      </c>
      <c r="L72" s="364"/>
    </row>
    <row r="74" spans="1:12" ht="15.6" x14ac:dyDescent="0.3">
      <c r="A74" s="707" t="s">
        <v>800</v>
      </c>
      <c r="B74" s="708">
        <f>B59</f>
        <v>43828</v>
      </c>
      <c r="C74" s="708">
        <f t="shared" ref="C74:K74" si="24">C59</f>
        <v>44194</v>
      </c>
      <c r="D74" s="708">
        <f t="shared" si="24"/>
        <v>44560</v>
      </c>
      <c r="E74" s="708">
        <f t="shared" si="24"/>
        <v>44926</v>
      </c>
      <c r="F74" s="708">
        <f t="shared" si="24"/>
        <v>45291</v>
      </c>
      <c r="G74" s="708">
        <f t="shared" si="24"/>
        <v>45656</v>
      </c>
      <c r="H74" s="708">
        <f t="shared" si="24"/>
        <v>46021</v>
      </c>
      <c r="I74" s="708">
        <f t="shared" si="24"/>
        <v>46386</v>
      </c>
      <c r="J74" s="708">
        <f t="shared" si="24"/>
        <v>46751</v>
      </c>
      <c r="K74" s="708">
        <f t="shared" si="24"/>
        <v>47116</v>
      </c>
      <c r="L74" s="709"/>
    </row>
    <row r="75" spans="1:12" x14ac:dyDescent="0.25">
      <c r="A75" s="365" t="s">
        <v>801</v>
      </c>
      <c r="B75" s="366">
        <f>B38+B40+B42-B16-B18</f>
        <v>0</v>
      </c>
      <c r="C75" s="366">
        <f t="shared" ref="C75:K75" si="25">C38+C40+C42-C16-C18</f>
        <v>0</v>
      </c>
      <c r="D75" s="366">
        <f t="shared" si="25"/>
        <v>0</v>
      </c>
      <c r="E75" s="366">
        <f t="shared" si="25"/>
        <v>0</v>
      </c>
      <c r="F75" s="366">
        <f t="shared" si="25"/>
        <v>0</v>
      </c>
      <c r="G75" s="366">
        <f t="shared" si="25"/>
        <v>0</v>
      </c>
      <c r="H75" s="366">
        <f t="shared" si="25"/>
        <v>0</v>
      </c>
      <c r="I75" s="366">
        <f t="shared" si="25"/>
        <v>0</v>
      </c>
      <c r="J75" s="366">
        <f t="shared" si="25"/>
        <v>0</v>
      </c>
      <c r="K75" s="366">
        <f t="shared" si="25"/>
        <v>0</v>
      </c>
      <c r="L75" s="367"/>
    </row>
    <row r="76" spans="1:12" x14ac:dyDescent="0.25">
      <c r="A76" s="368" t="s">
        <v>802</v>
      </c>
      <c r="B76" s="350">
        <f>B19+B20+B24-B49-B50-B51-B52-B53</f>
        <v>0</v>
      </c>
      <c r="C76" s="350">
        <f t="shared" ref="C76:K76" si="26">C19+C20+C24-C49-C50-C51-C52-C53</f>
        <v>0</v>
      </c>
      <c r="D76" s="350">
        <f t="shared" si="26"/>
        <v>0</v>
      </c>
      <c r="E76" s="350">
        <f t="shared" si="26"/>
        <v>0</v>
      </c>
      <c r="F76" s="350">
        <f t="shared" si="26"/>
        <v>0</v>
      </c>
      <c r="G76" s="350">
        <f t="shared" si="26"/>
        <v>0</v>
      </c>
      <c r="H76" s="350">
        <f t="shared" si="26"/>
        <v>0</v>
      </c>
      <c r="I76" s="350">
        <f t="shared" si="26"/>
        <v>0</v>
      </c>
      <c r="J76" s="350">
        <f t="shared" si="26"/>
        <v>0</v>
      </c>
      <c r="K76" s="350">
        <f t="shared" si="26"/>
        <v>0</v>
      </c>
      <c r="L76" s="319"/>
    </row>
    <row r="77" spans="1:12" x14ac:dyDescent="0.25">
      <c r="A77" s="369" t="s">
        <v>803</v>
      </c>
      <c r="B77" s="370">
        <f>B75-B76</f>
        <v>0</v>
      </c>
      <c r="C77" s="370">
        <f t="shared" ref="C77:K77" si="27">C75-C76</f>
        <v>0</v>
      </c>
      <c r="D77" s="370">
        <f t="shared" si="27"/>
        <v>0</v>
      </c>
      <c r="E77" s="370">
        <f t="shared" si="27"/>
        <v>0</v>
      </c>
      <c r="F77" s="370">
        <f t="shared" si="27"/>
        <v>0</v>
      </c>
      <c r="G77" s="370">
        <f t="shared" si="27"/>
        <v>0</v>
      </c>
      <c r="H77" s="370">
        <f t="shared" si="27"/>
        <v>0</v>
      </c>
      <c r="I77" s="370">
        <f t="shared" si="27"/>
        <v>0</v>
      </c>
      <c r="J77" s="370">
        <f t="shared" si="27"/>
        <v>0</v>
      </c>
      <c r="K77" s="370">
        <f t="shared" si="27"/>
        <v>0</v>
      </c>
      <c r="L77" s="371"/>
    </row>
    <row r="78" spans="1:12" x14ac:dyDescent="0.25">
      <c r="H78" s="347"/>
      <c r="I78" s="347"/>
      <c r="J78" s="347"/>
      <c r="K78" s="347"/>
      <c r="L78" s="347"/>
    </row>
    <row r="79" spans="1:12" ht="15.6" x14ac:dyDescent="0.3">
      <c r="A79" s="710" t="s">
        <v>804</v>
      </c>
      <c r="B79" s="701">
        <f t="shared" ref="B79" si="28">B74</f>
        <v>43828</v>
      </c>
      <c r="C79" s="701">
        <f t="shared" ref="C79:K79" si="29">C74</f>
        <v>44194</v>
      </c>
      <c r="D79" s="701">
        <f t="shared" si="29"/>
        <v>44560</v>
      </c>
      <c r="E79" s="701">
        <f t="shared" si="29"/>
        <v>44926</v>
      </c>
      <c r="F79" s="701">
        <f t="shared" si="29"/>
        <v>45291</v>
      </c>
      <c r="G79" s="701">
        <f t="shared" si="29"/>
        <v>45656</v>
      </c>
      <c r="H79" s="701">
        <f t="shared" si="29"/>
        <v>46021</v>
      </c>
      <c r="I79" s="701">
        <f t="shared" si="29"/>
        <v>46386</v>
      </c>
      <c r="J79" s="701">
        <f t="shared" si="29"/>
        <v>46751</v>
      </c>
      <c r="K79" s="701">
        <f t="shared" si="29"/>
        <v>47116</v>
      </c>
      <c r="L79" s="702"/>
    </row>
    <row r="80" spans="1:12" x14ac:dyDescent="0.25">
      <c r="A80" s="372" t="s">
        <v>805</v>
      </c>
      <c r="B80" s="373"/>
      <c r="C80" s="373"/>
      <c r="D80" s="373"/>
      <c r="E80" s="373"/>
      <c r="F80" s="373"/>
      <c r="G80" s="373"/>
      <c r="H80" s="373"/>
      <c r="I80" s="373"/>
      <c r="J80" s="373"/>
      <c r="K80" s="373"/>
      <c r="L80" s="374"/>
    </row>
    <row r="81" spans="1:12" x14ac:dyDescent="0.25">
      <c r="A81" s="375" t="s">
        <v>806</v>
      </c>
      <c r="B81" s="349">
        <f>Resultaten!B48</f>
        <v>0</v>
      </c>
      <c r="C81" s="349">
        <f>Resultaten!C48</f>
        <v>0</v>
      </c>
      <c r="D81" s="349">
        <f>Resultaten!D48</f>
        <v>0</v>
      </c>
      <c r="E81" s="349">
        <f>Resultaten!E48</f>
        <v>0</v>
      </c>
      <c r="F81" s="349">
        <f>Resultaten!F48</f>
        <v>0</v>
      </c>
      <c r="G81" s="349">
        <f>Resultaten!G48</f>
        <v>0</v>
      </c>
      <c r="H81" s="349">
        <f>Resultaten!H48</f>
        <v>0</v>
      </c>
      <c r="I81" s="349">
        <f>Resultaten!I48</f>
        <v>0</v>
      </c>
      <c r="J81" s="349">
        <f>Resultaten!J48</f>
        <v>0</v>
      </c>
      <c r="K81" s="349">
        <f>Resultaten!K48</f>
        <v>0</v>
      </c>
      <c r="L81" s="322"/>
    </row>
    <row r="82" spans="1:12" x14ac:dyDescent="0.25">
      <c r="A82" s="376" t="s">
        <v>807</v>
      </c>
      <c r="B82" s="349">
        <f>Resultaten!B29+Resultaten!B35-Resultaten!B42</f>
        <v>0</v>
      </c>
      <c r="C82" s="349">
        <f>Resultaten!C29+Resultaten!C35-Resultaten!C42</f>
        <v>0</v>
      </c>
      <c r="D82" s="349">
        <f>Resultaten!D29+Resultaten!D35-Resultaten!D42</f>
        <v>0</v>
      </c>
      <c r="E82" s="349">
        <f>Resultaten!E29+Resultaten!E35-Resultaten!E42</f>
        <v>0</v>
      </c>
      <c r="F82" s="349">
        <f>Resultaten!F29+Resultaten!F35-Resultaten!F42</f>
        <v>0</v>
      </c>
      <c r="G82" s="349">
        <f>Resultaten!G29+Resultaten!G35-Resultaten!G42</f>
        <v>0</v>
      </c>
      <c r="H82" s="349">
        <f>Resultaten!H29+Resultaten!H35-Resultaten!H42</f>
        <v>0</v>
      </c>
      <c r="I82" s="349">
        <f>Resultaten!I29+Resultaten!I35-Resultaten!I42</f>
        <v>0</v>
      </c>
      <c r="J82" s="349">
        <f>Resultaten!J29+Resultaten!J35-Resultaten!J42</f>
        <v>0</v>
      </c>
      <c r="K82" s="349">
        <f>Resultaten!K29+Resultaten!K35-Resultaten!K42</f>
        <v>0</v>
      </c>
      <c r="L82" s="322"/>
    </row>
    <row r="83" spans="1:12" s="377" customFormat="1" x14ac:dyDescent="0.25">
      <c r="A83" s="376" t="s">
        <v>808</v>
      </c>
      <c r="B83" s="349"/>
      <c r="C83" s="349"/>
      <c r="D83" s="349"/>
      <c r="E83" s="349"/>
      <c r="F83" s="349"/>
      <c r="G83" s="349"/>
      <c r="H83" s="349"/>
      <c r="I83" s="349"/>
      <c r="J83" s="349"/>
      <c r="K83" s="349"/>
      <c r="L83" s="322"/>
    </row>
    <row r="84" spans="1:12" s="377" customFormat="1" x14ac:dyDescent="0.25">
      <c r="A84" s="375" t="s">
        <v>809</v>
      </c>
      <c r="B84" s="349">
        <f>-(Historiek!B370+Historiek!B371)/1000</f>
        <v>0</v>
      </c>
      <c r="C84" s="349">
        <f>-(Historiek!C370+Historiek!C371)/1000</f>
        <v>0</v>
      </c>
      <c r="D84" s="349">
        <f>-(Historiek!D370+Historiek!D371)/1000</f>
        <v>0</v>
      </c>
      <c r="E84" s="349">
        <f>-(Historiek!E370+Historiek!E371)/1000</f>
        <v>0</v>
      </c>
      <c r="F84" s="349">
        <f>-(Historiek!F370+Historiek!F371)/1000</f>
        <v>0</v>
      </c>
      <c r="G84" s="349">
        <f>-(Historiek!G370+Historiek!G371)/1000</f>
        <v>0</v>
      </c>
      <c r="H84" s="349">
        <f>-(Historiek!H370+Historiek!H371)/1000</f>
        <v>0</v>
      </c>
      <c r="I84" s="349">
        <f>-(Historiek!I370+Historiek!I371)/1000</f>
        <v>0</v>
      </c>
      <c r="J84" s="349">
        <f>-(Historiek!J370+Historiek!J371)/1000</f>
        <v>0</v>
      </c>
      <c r="K84" s="349">
        <f>-(Historiek!K370+Historiek!K371)/1000</f>
        <v>0</v>
      </c>
      <c r="L84" s="322"/>
    </row>
    <row r="85" spans="1:12" s="378" customFormat="1" ht="13.8" x14ac:dyDescent="0.3">
      <c r="A85" s="375" t="s">
        <v>573</v>
      </c>
      <c r="B85" s="349">
        <v>0</v>
      </c>
      <c r="C85" s="349">
        <v>0</v>
      </c>
      <c r="D85" s="349">
        <v>0</v>
      </c>
      <c r="E85" s="349">
        <v>0</v>
      </c>
      <c r="F85" s="349">
        <v>0</v>
      </c>
      <c r="G85" s="349">
        <v>0</v>
      </c>
      <c r="H85" s="349">
        <v>0</v>
      </c>
      <c r="I85" s="349">
        <v>0</v>
      </c>
      <c r="J85" s="349">
        <v>0</v>
      </c>
      <c r="K85" s="349">
        <v>0</v>
      </c>
      <c r="L85" s="322"/>
    </row>
    <row r="86" spans="1:12" s="378" customFormat="1" ht="13.8" x14ac:dyDescent="0.3">
      <c r="A86" s="375" t="s">
        <v>810</v>
      </c>
      <c r="B86" s="349">
        <f>Historiek!B359/1000</f>
        <v>0</v>
      </c>
      <c r="C86" s="349">
        <f>Historiek!C359/1000</f>
        <v>0</v>
      </c>
      <c r="D86" s="349">
        <f>Historiek!D359/1000</f>
        <v>0</v>
      </c>
      <c r="E86" s="349">
        <f>Historiek!E359/1000</f>
        <v>0</v>
      </c>
      <c r="F86" s="349">
        <f>Historiek!F359/1000</f>
        <v>0</v>
      </c>
      <c r="G86" s="349">
        <f>Historiek!G359/1000</f>
        <v>0</v>
      </c>
      <c r="H86" s="349">
        <f>Historiek!H359/1000</f>
        <v>0</v>
      </c>
      <c r="I86" s="349">
        <f>Historiek!I359/1000</f>
        <v>0</v>
      </c>
      <c r="J86" s="349">
        <f>Historiek!J359/1000</f>
        <v>0</v>
      </c>
      <c r="K86" s="349">
        <f>Historiek!K359/1000</f>
        <v>0</v>
      </c>
      <c r="L86" s="322"/>
    </row>
    <row r="87" spans="1:12" s="379" customFormat="1" x14ac:dyDescent="0.25">
      <c r="A87" s="375" t="s">
        <v>811</v>
      </c>
      <c r="B87" s="349">
        <f>-Historiek!B373/1000</f>
        <v>0</v>
      </c>
      <c r="C87" s="349">
        <f>-Historiek!C373/1000</f>
        <v>0</v>
      </c>
      <c r="D87" s="349">
        <f>-Historiek!D373/1000</f>
        <v>0</v>
      </c>
      <c r="E87" s="349">
        <f>-Historiek!E373/1000</f>
        <v>0</v>
      </c>
      <c r="F87" s="349">
        <f>-Historiek!F373/1000</f>
        <v>0</v>
      </c>
      <c r="G87" s="349">
        <f>-Historiek!G373/1000</f>
        <v>0</v>
      </c>
      <c r="H87" s="349">
        <f>-Historiek!H373/1000</f>
        <v>0</v>
      </c>
      <c r="I87" s="349">
        <f>-Historiek!I373/1000</f>
        <v>0</v>
      </c>
      <c r="J87" s="349">
        <f>-Historiek!J373/1000</f>
        <v>0</v>
      </c>
      <c r="K87" s="349">
        <f>-Historiek!K373/1000</f>
        <v>0</v>
      </c>
      <c r="L87" s="322"/>
    </row>
    <row r="88" spans="1:12" x14ac:dyDescent="0.25">
      <c r="A88" s="376" t="s">
        <v>812</v>
      </c>
      <c r="B88" s="349">
        <f>B48+B47</f>
        <v>0</v>
      </c>
      <c r="C88" s="349">
        <f t="shared" ref="C88:K88" si="30">C48+C47</f>
        <v>0</v>
      </c>
      <c r="D88" s="349">
        <f t="shared" si="30"/>
        <v>0</v>
      </c>
      <c r="E88" s="349">
        <f t="shared" si="30"/>
        <v>0</v>
      </c>
      <c r="F88" s="349">
        <f t="shared" si="30"/>
        <v>0</v>
      </c>
      <c r="G88" s="349">
        <f t="shared" si="30"/>
        <v>0</v>
      </c>
      <c r="H88" s="349">
        <f t="shared" si="30"/>
        <v>0</v>
      </c>
      <c r="I88" s="349">
        <f t="shared" si="30"/>
        <v>0</v>
      </c>
      <c r="J88" s="349">
        <f t="shared" si="30"/>
        <v>0</v>
      </c>
      <c r="K88" s="349">
        <f t="shared" si="30"/>
        <v>0</v>
      </c>
      <c r="L88" s="322"/>
    </row>
    <row r="89" spans="1:12" x14ac:dyDescent="0.25">
      <c r="A89" s="376" t="s">
        <v>813</v>
      </c>
      <c r="B89" s="349">
        <f t="shared" ref="B89" si="31">B90-B80-B81-B82-B83-B84-B85-B86-B87-B88</f>
        <v>0</v>
      </c>
      <c r="C89" s="349">
        <f t="shared" ref="C89:K89" si="32">C90-C80-C81-C82-C83-C84-C85-C86-C87-C88</f>
        <v>0</v>
      </c>
      <c r="D89" s="349">
        <f t="shared" si="32"/>
        <v>0</v>
      </c>
      <c r="E89" s="349">
        <f t="shared" si="32"/>
        <v>0</v>
      </c>
      <c r="F89" s="349">
        <f t="shared" si="32"/>
        <v>0</v>
      </c>
      <c r="G89" s="349">
        <f t="shared" si="32"/>
        <v>0</v>
      </c>
      <c r="H89" s="349">
        <f t="shared" si="32"/>
        <v>0</v>
      </c>
      <c r="I89" s="349">
        <f t="shared" si="32"/>
        <v>0</v>
      </c>
      <c r="J89" s="349">
        <f t="shared" si="32"/>
        <v>0</v>
      </c>
      <c r="K89" s="349">
        <f t="shared" si="32"/>
        <v>0</v>
      </c>
      <c r="L89" s="380">
        <f>L90-L80-L81-L82-L83-L84-L85-L86-L87-L88</f>
        <v>0</v>
      </c>
    </row>
    <row r="90" spans="1:12" x14ac:dyDescent="0.25">
      <c r="A90" s="372" t="s">
        <v>814</v>
      </c>
      <c r="B90" s="381">
        <f>B23</f>
        <v>0</v>
      </c>
      <c r="C90" s="381">
        <f t="shared" ref="C90:K90" si="33">C23</f>
        <v>0</v>
      </c>
      <c r="D90" s="381">
        <f t="shared" si="33"/>
        <v>0</v>
      </c>
      <c r="E90" s="381">
        <f t="shared" si="33"/>
        <v>0</v>
      </c>
      <c r="F90" s="381">
        <f t="shared" si="33"/>
        <v>0</v>
      </c>
      <c r="G90" s="381">
        <f t="shared" si="33"/>
        <v>0</v>
      </c>
      <c r="H90" s="381">
        <f t="shared" si="33"/>
        <v>0</v>
      </c>
      <c r="I90" s="381">
        <f t="shared" si="33"/>
        <v>0</v>
      </c>
      <c r="J90" s="381">
        <f t="shared" si="33"/>
        <v>0</v>
      </c>
      <c r="K90" s="381">
        <f t="shared" si="33"/>
        <v>0</v>
      </c>
      <c r="L90" s="374"/>
    </row>
    <row r="91" spans="1:12" x14ac:dyDescent="0.25">
      <c r="A91" s="352"/>
      <c r="B91" s="347"/>
      <c r="C91" s="347"/>
      <c r="D91" s="347"/>
      <c r="E91" s="347"/>
      <c r="F91" s="347"/>
      <c r="G91" s="347"/>
    </row>
  </sheetData>
  <mergeCells count="1">
    <mergeCell ref="B1:L1"/>
  </mergeCells>
  <pageMargins left="0.6" right="0.35433070866141736" top="0.8" bottom="0.78" header="0.51181102362204722" footer="0.44"/>
  <pageSetup paperSize="9" scale="70" orientation="portrait" horizontalDpi="300" verticalDpi="300" r:id="rId1"/>
  <headerFooter alignWithMargins="0">
    <oddFooter>&amp;LSES - &amp;D&amp;C&amp;F&amp;R&amp;A - &amp;P</oddFooter>
  </headerFooter>
  <rowBreaks count="1" manualBreakCount="1">
    <brk id="77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859FB-F159-4C15-B4E5-F2E9CAB0FFCF}">
  <sheetPr>
    <tabColor theme="4" tint="0.59999389629810485"/>
    <pageSetUpPr fitToPage="1"/>
  </sheetPr>
  <dimension ref="A1:Q57"/>
  <sheetViews>
    <sheetView showGridLines="0" zoomScaleNormal="100" zoomScaleSheetLayoutView="100" workbookViewId="0">
      <selection activeCell="N16" sqref="N16"/>
    </sheetView>
  </sheetViews>
  <sheetFormatPr defaultColWidth="9.109375" defaultRowHeight="13.2" outlineLevelCol="1" x14ac:dyDescent="0.25"/>
  <cols>
    <col min="1" max="1" width="34" style="141" customWidth="1"/>
    <col min="2" max="3" width="12" style="141" customWidth="1" outlineLevel="1"/>
    <col min="4" max="6" width="12" style="141" customWidth="1"/>
    <col min="7" max="11" width="12" style="141" customWidth="1" outlineLevel="1"/>
    <col min="12" max="12" width="0.88671875" style="141" customWidth="1"/>
    <col min="13" max="13" width="9.109375" style="141"/>
    <col min="14" max="14" width="10.88671875" style="141" customWidth="1"/>
    <col min="15" max="20" width="9.109375" style="141"/>
    <col min="21" max="21" width="10.88671875" style="141" bestFit="1" customWidth="1"/>
    <col min="22" max="16384" width="9.109375" style="141"/>
  </cols>
  <sheetData>
    <row r="1" spans="1:17" ht="27" customHeight="1" thickTop="1" thickBot="1" x14ac:dyDescent="0.3">
      <c r="A1" s="699" t="str">
        <f>+Historiek!A2</f>
        <v>Dossier</v>
      </c>
      <c r="B1" s="726"/>
      <c r="C1" s="814" t="s">
        <v>815</v>
      </c>
      <c r="D1" s="814"/>
      <c r="E1" s="814"/>
      <c r="F1" s="814"/>
      <c r="G1" s="814"/>
      <c r="H1" s="814"/>
      <c r="I1" s="814"/>
      <c r="J1" s="814"/>
      <c r="K1" s="814"/>
      <c r="L1" s="727"/>
    </row>
    <row r="2" spans="1:17" ht="13.8" thickTop="1" x14ac:dyDescent="0.25"/>
    <row r="3" spans="1:17" x14ac:dyDescent="0.25">
      <c r="J3" s="382"/>
      <c r="K3" s="382"/>
    </row>
    <row r="4" spans="1:17" s="383" customFormat="1" ht="15.6" x14ac:dyDescent="0.3">
      <c r="A4" s="711" t="s">
        <v>1047</v>
      </c>
      <c r="B4" s="701">
        <f>Historiek!B7</f>
        <v>43828</v>
      </c>
      <c r="C4" s="701">
        <f>Historiek!C7</f>
        <v>44194</v>
      </c>
      <c r="D4" s="701">
        <f>Historiek!D7</f>
        <v>44560</v>
      </c>
      <c r="E4" s="701">
        <f>Historiek!E7</f>
        <v>44926</v>
      </c>
      <c r="F4" s="701">
        <f>Historiek!F7</f>
        <v>45291</v>
      </c>
      <c r="G4" s="701">
        <f>Historiek!G7</f>
        <v>45656</v>
      </c>
      <c r="H4" s="701">
        <f>Historiek!H7</f>
        <v>46021</v>
      </c>
      <c r="I4" s="701">
        <f>Historiek!I7</f>
        <v>46386</v>
      </c>
      <c r="J4" s="701">
        <f>Historiek!J7</f>
        <v>46751</v>
      </c>
      <c r="K4" s="701">
        <f>Historiek!K7</f>
        <v>47116</v>
      </c>
      <c r="L4" s="702"/>
    </row>
    <row r="5" spans="1:17" s="384" customFormat="1" ht="10.5" customHeight="1" x14ac:dyDescent="0.2">
      <c r="A5" s="712" t="s">
        <v>702</v>
      </c>
      <c r="B5" s="713">
        <f>Historiek!B9</f>
        <v>12</v>
      </c>
      <c r="C5" s="713">
        <f>Historiek!C9</f>
        <v>12</v>
      </c>
      <c r="D5" s="713">
        <f>Historiek!D9</f>
        <v>12</v>
      </c>
      <c r="E5" s="713">
        <f>Historiek!E9</f>
        <v>12</v>
      </c>
      <c r="F5" s="713">
        <f>Historiek!F9</f>
        <v>12</v>
      </c>
      <c r="G5" s="713">
        <f>Historiek!G9</f>
        <v>12</v>
      </c>
      <c r="H5" s="713">
        <f>Historiek!H9</f>
        <v>12</v>
      </c>
      <c r="I5" s="713">
        <f>Historiek!I9</f>
        <v>12</v>
      </c>
      <c r="J5" s="713">
        <f>Historiek!J9</f>
        <v>12</v>
      </c>
      <c r="K5" s="713">
        <f>Historiek!K9</f>
        <v>12</v>
      </c>
      <c r="L5" s="714"/>
    </row>
    <row r="6" spans="1:17" x14ac:dyDescent="0.25">
      <c r="A6" s="385"/>
      <c r="B6" s="386"/>
      <c r="C6" s="386"/>
      <c r="D6" s="386"/>
      <c r="E6" s="386"/>
      <c r="F6" s="386"/>
      <c r="G6" s="386"/>
      <c r="H6" s="386"/>
      <c r="I6" s="386"/>
      <c r="J6" s="386"/>
      <c r="K6" s="386"/>
      <c r="L6" s="317"/>
    </row>
    <row r="7" spans="1:17" s="352" customFormat="1" x14ac:dyDescent="0.25">
      <c r="A7" s="346" t="s">
        <v>816</v>
      </c>
      <c r="B7" s="347">
        <f>Historiek!B148/1000</f>
        <v>0</v>
      </c>
      <c r="C7" s="347">
        <f>Historiek!C148/1000</f>
        <v>0</v>
      </c>
      <c r="D7" s="347">
        <f>Historiek!D148/1000</f>
        <v>0</v>
      </c>
      <c r="E7" s="347">
        <f>Historiek!E148/1000</f>
        <v>0</v>
      </c>
      <c r="F7" s="347">
        <f>Historiek!F148/1000</f>
        <v>0</v>
      </c>
      <c r="G7" s="347">
        <f>Historiek!G148/1000</f>
        <v>0</v>
      </c>
      <c r="H7" s="347">
        <f>Historiek!H148/1000</f>
        <v>0</v>
      </c>
      <c r="I7" s="347">
        <f>Historiek!I148/1000</f>
        <v>0</v>
      </c>
      <c r="J7" s="347">
        <f>Historiek!J148/1000</f>
        <v>0</v>
      </c>
      <c r="K7" s="347">
        <f>Historiek!K148/1000</f>
        <v>0</v>
      </c>
      <c r="L7" s="318"/>
    </row>
    <row r="8" spans="1:17" s="352" customFormat="1" ht="14.4" x14ac:dyDescent="0.3">
      <c r="A8" s="387" t="s">
        <v>817</v>
      </c>
      <c r="B8" s="379">
        <f>Historiek!B149/1000</f>
        <v>0</v>
      </c>
      <c r="C8" s="379">
        <f>Historiek!C149/1000</f>
        <v>0</v>
      </c>
      <c r="D8" s="379">
        <f>Historiek!D149/1000</f>
        <v>0</v>
      </c>
      <c r="E8" s="379">
        <f>Historiek!E149/1000</f>
        <v>0</v>
      </c>
      <c r="F8" s="379">
        <f>Historiek!F149/1000</f>
        <v>0</v>
      </c>
      <c r="G8" s="379">
        <f>Historiek!G149/1000</f>
        <v>0</v>
      </c>
      <c r="H8" s="379">
        <f>Historiek!H149/1000</f>
        <v>0</v>
      </c>
      <c r="I8" s="379">
        <f>Historiek!I149/1000</f>
        <v>0</v>
      </c>
      <c r="J8" s="379">
        <f>Historiek!J149/1000</f>
        <v>0</v>
      </c>
      <c r="K8" s="379">
        <f>Historiek!K149/1000</f>
        <v>0</v>
      </c>
      <c r="L8" s="318"/>
      <c r="Q8" s="388"/>
    </row>
    <row r="9" spans="1:17" ht="14.4" x14ac:dyDescent="0.3">
      <c r="A9" s="387" t="s">
        <v>818</v>
      </c>
      <c r="B9" s="379">
        <f>Historiek!B156/1000</f>
        <v>0</v>
      </c>
      <c r="C9" s="379">
        <f>Historiek!C156/1000</f>
        <v>0</v>
      </c>
      <c r="D9" s="379">
        <f>Historiek!D156/1000</f>
        <v>0</v>
      </c>
      <c r="E9" s="379">
        <f>Historiek!E156/1000</f>
        <v>0</v>
      </c>
      <c r="F9" s="379">
        <f>Historiek!F156/1000</f>
        <v>0</v>
      </c>
      <c r="G9" s="379">
        <f>Historiek!G156/1000</f>
        <v>0</v>
      </c>
      <c r="H9" s="379">
        <f>Historiek!H156/1000</f>
        <v>0</v>
      </c>
      <c r="I9" s="379">
        <f>Historiek!I156/1000</f>
        <v>0</v>
      </c>
      <c r="J9" s="379">
        <f>Historiek!J156/1000</f>
        <v>0</v>
      </c>
      <c r="K9" s="379">
        <f>Historiek!K156/1000</f>
        <v>0</v>
      </c>
      <c r="L9" s="319"/>
      <c r="Q9" s="388"/>
    </row>
    <row r="10" spans="1:17" x14ac:dyDescent="0.25">
      <c r="A10" s="387"/>
      <c r="B10" s="347"/>
      <c r="C10" s="347"/>
      <c r="D10" s="347"/>
      <c r="E10" s="390"/>
      <c r="F10" s="390"/>
      <c r="G10" s="347"/>
      <c r="H10" s="347"/>
      <c r="I10" s="347"/>
      <c r="J10" s="347"/>
      <c r="K10" s="347"/>
      <c r="L10" s="318"/>
      <c r="Q10" s="389"/>
    </row>
    <row r="11" spans="1:17" x14ac:dyDescent="0.25">
      <c r="A11" s="715" t="s">
        <v>819</v>
      </c>
      <c r="B11" s="716">
        <f>B7-B9+B8</f>
        <v>0</v>
      </c>
      <c r="C11" s="716">
        <f t="shared" ref="C11:K11" si="0">C7-C9+C8</f>
        <v>0</v>
      </c>
      <c r="D11" s="716">
        <f>D7-D9+D8</f>
        <v>0</v>
      </c>
      <c r="E11" s="716">
        <f t="shared" si="0"/>
        <v>0</v>
      </c>
      <c r="F11" s="716">
        <f t="shared" si="0"/>
        <v>0</v>
      </c>
      <c r="G11" s="716">
        <f t="shared" si="0"/>
        <v>0</v>
      </c>
      <c r="H11" s="716">
        <f t="shared" si="0"/>
        <v>0</v>
      </c>
      <c r="I11" s="716">
        <f t="shared" si="0"/>
        <v>0</v>
      </c>
      <c r="J11" s="716">
        <f t="shared" si="0"/>
        <v>0</v>
      </c>
      <c r="K11" s="716">
        <f t="shared" si="0"/>
        <v>0</v>
      </c>
      <c r="L11" s="717"/>
    </row>
    <row r="12" spans="1:17" x14ac:dyDescent="0.25">
      <c r="A12" s="718" t="s">
        <v>820</v>
      </c>
      <c r="B12" s="719">
        <f t="shared" ref="B12" si="1">IF(B7=0,0,B11/B7)</f>
        <v>0</v>
      </c>
      <c r="C12" s="719">
        <f t="shared" ref="C12:K12" si="2">IF(C7=0,0,C11/C7)</f>
        <v>0</v>
      </c>
      <c r="D12" s="719">
        <f t="shared" si="2"/>
        <v>0</v>
      </c>
      <c r="E12" s="719">
        <f t="shared" si="2"/>
        <v>0</v>
      </c>
      <c r="F12" s="719">
        <f t="shared" si="2"/>
        <v>0</v>
      </c>
      <c r="G12" s="719">
        <f t="shared" si="2"/>
        <v>0</v>
      </c>
      <c r="H12" s="719">
        <f t="shared" si="2"/>
        <v>0</v>
      </c>
      <c r="I12" s="719">
        <f t="shared" si="2"/>
        <v>0</v>
      </c>
      <c r="J12" s="719">
        <f t="shared" si="2"/>
        <v>0</v>
      </c>
      <c r="K12" s="719">
        <f t="shared" si="2"/>
        <v>0</v>
      </c>
      <c r="L12" s="720"/>
    </row>
    <row r="13" spans="1:17" ht="12.75" customHeight="1" x14ac:dyDescent="0.25">
      <c r="A13" s="348"/>
      <c r="B13" s="347"/>
      <c r="C13" s="347"/>
      <c r="D13" s="347"/>
      <c r="E13" s="390"/>
      <c r="F13" s="390"/>
      <c r="G13" s="347"/>
      <c r="H13" s="347"/>
      <c r="I13" s="347"/>
      <c r="J13" s="347"/>
      <c r="K13" s="347"/>
      <c r="L13" s="318"/>
    </row>
    <row r="14" spans="1:17" x14ac:dyDescent="0.25">
      <c r="A14" s="387" t="s">
        <v>821</v>
      </c>
      <c r="B14" s="339">
        <f>Historiek!B159/1000</f>
        <v>0</v>
      </c>
      <c r="C14" s="339">
        <f>Historiek!C159/1000</f>
        <v>0</v>
      </c>
      <c r="D14" s="339">
        <f>Historiek!D159/1000</f>
        <v>0</v>
      </c>
      <c r="E14" s="379">
        <f>Historiek!E159/1000</f>
        <v>0</v>
      </c>
      <c r="F14" s="379">
        <f>Historiek!F159/1000</f>
        <v>0</v>
      </c>
      <c r="G14" s="339">
        <f>Historiek!G159/1000</f>
        <v>0</v>
      </c>
      <c r="H14" s="339">
        <f>Historiek!H159/1000</f>
        <v>0</v>
      </c>
      <c r="I14" s="339">
        <f>Historiek!I159/1000</f>
        <v>0</v>
      </c>
      <c r="J14" s="339">
        <f>Historiek!J159/1000</f>
        <v>0</v>
      </c>
      <c r="K14" s="339">
        <f>Historiek!K159/1000</f>
        <v>0</v>
      </c>
      <c r="L14" s="322"/>
    </row>
    <row r="15" spans="1:17" x14ac:dyDescent="0.25">
      <c r="A15" s="391" t="s">
        <v>703</v>
      </c>
      <c r="B15" s="339">
        <f>Historiek!B150/1000</f>
        <v>0</v>
      </c>
      <c r="C15" s="339">
        <f>Historiek!C150/1000</f>
        <v>0</v>
      </c>
      <c r="D15" s="339">
        <f>Historiek!D150/1000</f>
        <v>0</v>
      </c>
      <c r="E15" s="379">
        <f>Historiek!E150/1000</f>
        <v>0</v>
      </c>
      <c r="F15" s="379">
        <f>Historiek!F150/1000</f>
        <v>0</v>
      </c>
      <c r="G15" s="339">
        <f>Historiek!G150/1000</f>
        <v>0</v>
      </c>
      <c r="H15" s="339">
        <f>Historiek!H150/1000</f>
        <v>0</v>
      </c>
      <c r="I15" s="379">
        <f>Historiek!I150/1000</f>
        <v>0</v>
      </c>
      <c r="J15" s="379">
        <f>Historiek!J150/1000</f>
        <v>0</v>
      </c>
      <c r="K15" s="379">
        <f>Historiek!K150/1000</f>
        <v>0</v>
      </c>
      <c r="L15" s="322"/>
    </row>
    <row r="16" spans="1:17" x14ac:dyDescent="0.25">
      <c r="A16" s="391" t="s">
        <v>704</v>
      </c>
      <c r="B16" s="339">
        <f>Historiek!B151/1000</f>
        <v>0</v>
      </c>
      <c r="C16" s="339">
        <f>Historiek!C151/1000</f>
        <v>0</v>
      </c>
      <c r="D16" s="339">
        <f>Historiek!D151/1000</f>
        <v>0</v>
      </c>
      <c r="E16" s="379">
        <f>Historiek!E151/1000</f>
        <v>0</v>
      </c>
      <c r="F16" s="379">
        <f>Historiek!F151/1000</f>
        <v>0</v>
      </c>
      <c r="G16" s="339">
        <f>Historiek!G151/1000</f>
        <v>0</v>
      </c>
      <c r="H16" s="339">
        <f>Historiek!H151/1000</f>
        <v>0</v>
      </c>
      <c r="I16" s="339">
        <f>Historiek!I151/1000</f>
        <v>0</v>
      </c>
      <c r="J16" s="339">
        <f>Historiek!J151/1000</f>
        <v>0</v>
      </c>
      <c r="K16" s="339">
        <f>Historiek!K151/1000</f>
        <v>0</v>
      </c>
      <c r="L16" s="322"/>
    </row>
    <row r="17" spans="1:17" x14ac:dyDescent="0.25">
      <c r="A17" s="348"/>
      <c r="B17" s="339"/>
      <c r="C17" s="339"/>
      <c r="D17" s="339"/>
      <c r="E17" s="339"/>
      <c r="F17" s="339"/>
      <c r="G17" s="339"/>
      <c r="H17" s="339"/>
      <c r="I17" s="339"/>
      <c r="J17" s="339"/>
      <c r="K17" s="339"/>
      <c r="L17" s="322"/>
    </row>
    <row r="18" spans="1:17" x14ac:dyDescent="0.25">
      <c r="A18" s="715" t="s">
        <v>822</v>
      </c>
      <c r="B18" s="716">
        <f t="shared" ref="B18" si="3">B11-B14+B15+B16</f>
        <v>0</v>
      </c>
      <c r="C18" s="716">
        <f t="shared" ref="C18:K18" si="4">C11-C14+C15+C16</f>
        <v>0</v>
      </c>
      <c r="D18" s="716">
        <f t="shared" si="4"/>
        <v>0</v>
      </c>
      <c r="E18" s="716">
        <f t="shared" si="4"/>
        <v>0</v>
      </c>
      <c r="F18" s="716">
        <f t="shared" si="4"/>
        <v>0</v>
      </c>
      <c r="G18" s="716">
        <f t="shared" si="4"/>
        <v>0</v>
      </c>
      <c r="H18" s="716">
        <f t="shared" si="4"/>
        <v>0</v>
      </c>
      <c r="I18" s="716">
        <f t="shared" si="4"/>
        <v>0</v>
      </c>
      <c r="J18" s="716">
        <f t="shared" si="4"/>
        <v>0</v>
      </c>
      <c r="K18" s="716">
        <f t="shared" si="4"/>
        <v>0</v>
      </c>
      <c r="L18" s="717"/>
    </row>
    <row r="19" spans="1:17" x14ac:dyDescent="0.25">
      <c r="A19" s="721" t="s">
        <v>709</v>
      </c>
      <c r="B19" s="719">
        <f t="shared" ref="B19" si="5">IF(B7+B16=0,0,B18/(B7+B16))</f>
        <v>0</v>
      </c>
      <c r="C19" s="719">
        <f t="shared" ref="C19:K19" si="6">IF(C7+C16=0,0,C18/(C7+C16))</f>
        <v>0</v>
      </c>
      <c r="D19" s="719">
        <f t="shared" si="6"/>
        <v>0</v>
      </c>
      <c r="E19" s="719">
        <f t="shared" si="6"/>
        <v>0</v>
      </c>
      <c r="F19" s="719">
        <f t="shared" si="6"/>
        <v>0</v>
      </c>
      <c r="G19" s="719">
        <f t="shared" si="6"/>
        <v>0</v>
      </c>
      <c r="H19" s="719">
        <f t="shared" si="6"/>
        <v>0</v>
      </c>
      <c r="I19" s="719">
        <f t="shared" si="6"/>
        <v>0</v>
      </c>
      <c r="J19" s="719">
        <f t="shared" si="6"/>
        <v>0</v>
      </c>
      <c r="K19" s="719">
        <f t="shared" si="6"/>
        <v>0</v>
      </c>
      <c r="L19" s="720"/>
    </row>
    <row r="20" spans="1:17" x14ac:dyDescent="0.25">
      <c r="A20" s="345"/>
      <c r="L20" s="323"/>
    </row>
    <row r="21" spans="1:17" x14ac:dyDescent="0.25">
      <c r="A21" s="391" t="s">
        <v>823</v>
      </c>
      <c r="B21" s="339">
        <f>Historiek!B160/1000</f>
        <v>0</v>
      </c>
      <c r="C21" s="339">
        <f>Historiek!C160/1000</f>
        <v>0</v>
      </c>
      <c r="D21" s="339">
        <f>Historiek!D160/1000</f>
        <v>0</v>
      </c>
      <c r="E21" s="339">
        <f>Historiek!E160/1000</f>
        <v>0</v>
      </c>
      <c r="F21" s="339">
        <f>Historiek!F160/1000</f>
        <v>0</v>
      </c>
      <c r="G21" s="339">
        <f>Historiek!G160/1000</f>
        <v>0</v>
      </c>
      <c r="H21" s="339">
        <f>Historiek!H160/1000</f>
        <v>0</v>
      </c>
      <c r="I21" s="339">
        <f>Historiek!I160/1000</f>
        <v>0</v>
      </c>
      <c r="J21" s="339">
        <f>Historiek!J160/1000</f>
        <v>0</v>
      </c>
      <c r="K21" s="339">
        <f>Historiek!K160/1000</f>
        <v>0</v>
      </c>
      <c r="L21" s="322"/>
    </row>
    <row r="22" spans="1:17" x14ac:dyDescent="0.25">
      <c r="A22" s="391" t="s">
        <v>705</v>
      </c>
      <c r="B22" s="339">
        <f>Historiek!B164/1000</f>
        <v>0</v>
      </c>
      <c r="C22" s="339">
        <f>Historiek!C164/1000</f>
        <v>0</v>
      </c>
      <c r="D22" s="339">
        <f>Historiek!D164/1000</f>
        <v>0</v>
      </c>
      <c r="E22" s="339">
        <f>Historiek!E164/1000</f>
        <v>0</v>
      </c>
      <c r="F22" s="339">
        <f>Historiek!F164/1000</f>
        <v>0</v>
      </c>
      <c r="G22" s="339">
        <f>Historiek!G164/1000</f>
        <v>0</v>
      </c>
      <c r="H22" s="339">
        <f>Historiek!H164/1000</f>
        <v>0</v>
      </c>
      <c r="I22" s="339">
        <f>Historiek!I164/1000</f>
        <v>0</v>
      </c>
      <c r="J22" s="339">
        <f>Historiek!J164/1000</f>
        <v>0</v>
      </c>
      <c r="K22" s="339">
        <f>Historiek!K164/1000</f>
        <v>0</v>
      </c>
      <c r="L22" s="322"/>
    </row>
    <row r="23" spans="1:17" x14ac:dyDescent="0.25">
      <c r="A23" s="391" t="s">
        <v>706</v>
      </c>
      <c r="B23" s="339">
        <f>Historiek!B172/1000</f>
        <v>0</v>
      </c>
      <c r="C23" s="339">
        <f>Historiek!C172/1000</f>
        <v>0</v>
      </c>
      <c r="D23" s="339">
        <f>Historiek!D172/1000</f>
        <v>0</v>
      </c>
      <c r="E23" s="339">
        <f>Historiek!E172/1000</f>
        <v>0</v>
      </c>
      <c r="F23" s="339">
        <f>Historiek!F172/1000</f>
        <v>0</v>
      </c>
      <c r="G23" s="339">
        <f>Historiek!G172/1000</f>
        <v>0</v>
      </c>
      <c r="H23" s="339">
        <f>Historiek!H172/1000</f>
        <v>0</v>
      </c>
      <c r="I23" s="339">
        <f>Historiek!I172/1000</f>
        <v>0</v>
      </c>
      <c r="J23" s="339">
        <f>Historiek!J172/1000</f>
        <v>0</v>
      </c>
      <c r="K23" s="339">
        <f>Historiek!K172/1000</f>
        <v>0</v>
      </c>
      <c r="L23" s="322"/>
    </row>
    <row r="24" spans="1:17" x14ac:dyDescent="0.25">
      <c r="A24" s="391" t="s">
        <v>707</v>
      </c>
      <c r="B24" s="339">
        <f>Historiek!B177/1000</f>
        <v>0</v>
      </c>
      <c r="C24" s="339">
        <f>Historiek!C177/1000</f>
        <v>0</v>
      </c>
      <c r="D24" s="339">
        <f>Historiek!D177/1000</f>
        <v>0</v>
      </c>
      <c r="E24" s="339">
        <f>Historiek!E177/1000</f>
        <v>0</v>
      </c>
      <c r="F24" s="339">
        <f>Historiek!F177/1000</f>
        <v>0</v>
      </c>
      <c r="G24" s="339">
        <f>Historiek!G177/1000</f>
        <v>0</v>
      </c>
      <c r="H24" s="339">
        <f>Historiek!H177/1000</f>
        <v>0</v>
      </c>
      <c r="I24" s="339">
        <f>Historiek!I177/1000</f>
        <v>0</v>
      </c>
      <c r="J24" s="339">
        <f>Historiek!J177/1000</f>
        <v>0</v>
      </c>
      <c r="K24" s="339">
        <f>Historiek!K177/1000</f>
        <v>0</v>
      </c>
      <c r="L24" s="322"/>
      <c r="N24" s="349"/>
    </row>
    <row r="25" spans="1:17" x14ac:dyDescent="0.25">
      <c r="A25" s="345"/>
      <c r="B25" s="339"/>
      <c r="C25" s="339"/>
      <c r="D25" s="339"/>
      <c r="E25" s="339"/>
      <c r="F25" s="339"/>
      <c r="G25" s="339"/>
      <c r="H25" s="339"/>
      <c r="I25" s="339"/>
      <c r="J25" s="339"/>
      <c r="K25" s="339"/>
      <c r="L25" s="323"/>
    </row>
    <row r="26" spans="1:17" x14ac:dyDescent="0.25">
      <c r="A26" s="715" t="s">
        <v>708</v>
      </c>
      <c r="B26" s="716">
        <f t="shared" ref="B26" si="7">B18-B21-B22+B23-B24</f>
        <v>0</v>
      </c>
      <c r="C26" s="716">
        <f t="shared" ref="C26:K26" si="8">C18-C21-C22+C23-C24</f>
        <v>0</v>
      </c>
      <c r="D26" s="716">
        <f t="shared" si="8"/>
        <v>0</v>
      </c>
      <c r="E26" s="716">
        <f t="shared" si="8"/>
        <v>0</v>
      </c>
      <c r="F26" s="716">
        <f t="shared" si="8"/>
        <v>0</v>
      </c>
      <c r="G26" s="716">
        <f t="shared" si="8"/>
        <v>0</v>
      </c>
      <c r="H26" s="716">
        <f t="shared" si="8"/>
        <v>0</v>
      </c>
      <c r="I26" s="716">
        <f t="shared" si="8"/>
        <v>0</v>
      </c>
      <c r="J26" s="716">
        <f t="shared" si="8"/>
        <v>0</v>
      </c>
      <c r="K26" s="716">
        <f t="shared" si="8"/>
        <v>0</v>
      </c>
      <c r="L26" s="717"/>
    </row>
    <row r="27" spans="1:17" x14ac:dyDescent="0.25">
      <c r="A27" s="721" t="s">
        <v>709</v>
      </c>
      <c r="B27" s="719">
        <f t="shared" ref="B27" si="9">IF(B7+B16=0,0,B26/(B7+B16))</f>
        <v>0</v>
      </c>
      <c r="C27" s="719">
        <f t="shared" ref="C27:K27" si="10">IF(C7+C16=0,0,C26/(C7+C16))</f>
        <v>0</v>
      </c>
      <c r="D27" s="719">
        <f t="shared" si="10"/>
        <v>0</v>
      </c>
      <c r="E27" s="719">
        <f t="shared" si="10"/>
        <v>0</v>
      </c>
      <c r="F27" s="719">
        <f t="shared" si="10"/>
        <v>0</v>
      </c>
      <c r="G27" s="719">
        <f t="shared" si="10"/>
        <v>0</v>
      </c>
      <c r="H27" s="719">
        <f t="shared" si="10"/>
        <v>0</v>
      </c>
      <c r="I27" s="719">
        <f t="shared" si="10"/>
        <v>0</v>
      </c>
      <c r="J27" s="719">
        <f t="shared" si="10"/>
        <v>0</v>
      </c>
      <c r="K27" s="719">
        <f t="shared" si="10"/>
        <v>0</v>
      </c>
      <c r="L27" s="720"/>
      <c r="Q27" s="389"/>
    </row>
    <row r="28" spans="1:17" x14ac:dyDescent="0.25">
      <c r="A28" s="345"/>
      <c r="L28" s="323"/>
      <c r="Q28" s="349"/>
    </row>
    <row r="29" spans="1:17" x14ac:dyDescent="0.25">
      <c r="A29" s="391" t="s">
        <v>710</v>
      </c>
      <c r="B29" s="339">
        <f>(Historiek!B161+Historiek!B162+Historiek!B163)/1000</f>
        <v>0</v>
      </c>
      <c r="C29" s="339">
        <f>(Historiek!C161+Historiek!C162+Historiek!C163)/1000</f>
        <v>0</v>
      </c>
      <c r="D29" s="339">
        <f>(Historiek!D161+Historiek!D162+Historiek!D163)/1000</f>
        <v>0</v>
      </c>
      <c r="E29" s="339">
        <f>(Historiek!E161+Historiek!E162+Historiek!E163)/1000</f>
        <v>0</v>
      </c>
      <c r="F29" s="339">
        <f>(Historiek!F161+Historiek!F162+Historiek!F163)/1000</f>
        <v>0</v>
      </c>
      <c r="G29" s="339">
        <f>(Historiek!G161+Historiek!G162+Historiek!G163)/1000</f>
        <v>0</v>
      </c>
      <c r="H29" s="339">
        <f>(Historiek!H161+Historiek!H162+Historiek!H163)/1000</f>
        <v>0</v>
      </c>
      <c r="I29" s="339">
        <f>(Historiek!I161+Historiek!I162+Historiek!I163)/1000</f>
        <v>0</v>
      </c>
      <c r="J29" s="339">
        <f>(Historiek!J161+Historiek!J162+Historiek!J163)/1000</f>
        <v>0</v>
      </c>
      <c r="K29" s="339">
        <f>(Historiek!K161+Historiek!K162+Historiek!K163)/1000</f>
        <v>0</v>
      </c>
      <c r="L29" s="322"/>
      <c r="Q29" s="389"/>
    </row>
    <row r="30" spans="1:17" x14ac:dyDescent="0.25">
      <c r="A30" s="345"/>
      <c r="B30" s="339"/>
      <c r="C30" s="339"/>
      <c r="D30" s="339"/>
      <c r="E30" s="339"/>
      <c r="F30" s="339"/>
      <c r="G30" s="339"/>
      <c r="H30" s="339"/>
      <c r="I30" s="339"/>
      <c r="J30" s="339"/>
      <c r="K30" s="339"/>
      <c r="L30" s="323"/>
    </row>
    <row r="31" spans="1:17" x14ac:dyDescent="0.25">
      <c r="A31" s="715" t="s">
        <v>711</v>
      </c>
      <c r="B31" s="716">
        <f t="shared" ref="B31" si="11">B26-B29</f>
        <v>0</v>
      </c>
      <c r="C31" s="716">
        <f t="shared" ref="C31:K31" si="12">C26-C29</f>
        <v>0</v>
      </c>
      <c r="D31" s="716">
        <f t="shared" si="12"/>
        <v>0</v>
      </c>
      <c r="E31" s="716">
        <f t="shared" si="12"/>
        <v>0</v>
      </c>
      <c r="F31" s="716">
        <f t="shared" si="12"/>
        <v>0</v>
      </c>
      <c r="G31" s="716">
        <f t="shared" si="12"/>
        <v>0</v>
      </c>
      <c r="H31" s="716">
        <f t="shared" si="12"/>
        <v>0</v>
      </c>
      <c r="I31" s="716">
        <f t="shared" si="12"/>
        <v>0</v>
      </c>
      <c r="J31" s="716">
        <f t="shared" si="12"/>
        <v>0</v>
      </c>
      <c r="K31" s="716">
        <f t="shared" si="12"/>
        <v>0</v>
      </c>
      <c r="L31" s="717"/>
    </row>
    <row r="32" spans="1:17" ht="14.4" x14ac:dyDescent="0.3">
      <c r="A32" s="721" t="s">
        <v>709</v>
      </c>
      <c r="B32" s="719">
        <f t="shared" ref="B32" si="13">IF(B7+B16=0,0,B31/(B7+B16))</f>
        <v>0</v>
      </c>
      <c r="C32" s="719">
        <f t="shared" ref="C32:K32" si="14">IF(C7+C16=0,0,C31/(C7+C16))</f>
        <v>0</v>
      </c>
      <c r="D32" s="719">
        <f t="shared" si="14"/>
        <v>0</v>
      </c>
      <c r="E32" s="719">
        <f t="shared" si="14"/>
        <v>0</v>
      </c>
      <c r="F32" s="719">
        <f t="shared" si="14"/>
        <v>0</v>
      </c>
      <c r="G32" s="719">
        <f t="shared" si="14"/>
        <v>0</v>
      </c>
      <c r="H32" s="719">
        <f t="shared" si="14"/>
        <v>0</v>
      </c>
      <c r="I32" s="719">
        <f t="shared" si="14"/>
        <v>0</v>
      </c>
      <c r="J32" s="719">
        <f t="shared" si="14"/>
        <v>0</v>
      </c>
      <c r="K32" s="719">
        <f t="shared" si="14"/>
        <v>0</v>
      </c>
      <c r="L32" s="720"/>
      <c r="N32" s="388"/>
    </row>
    <row r="33" spans="1:12" x14ac:dyDescent="0.25">
      <c r="A33" s="345"/>
      <c r="L33" s="323"/>
    </row>
    <row r="34" spans="1:12" x14ac:dyDescent="0.25">
      <c r="A34" s="391" t="s">
        <v>712</v>
      </c>
      <c r="B34" s="339">
        <f>Historiek!B175/1000</f>
        <v>0</v>
      </c>
      <c r="C34" s="339">
        <f>Historiek!C175/1000</f>
        <v>0</v>
      </c>
      <c r="D34" s="339">
        <f>Historiek!D175/1000</f>
        <v>0</v>
      </c>
      <c r="E34" s="339">
        <f>Historiek!E175/1000</f>
        <v>0</v>
      </c>
      <c r="F34" s="339">
        <f>Historiek!F175/1000</f>
        <v>0</v>
      </c>
      <c r="G34" s="339">
        <f>Historiek!G175/1000</f>
        <v>0</v>
      </c>
      <c r="H34" s="339">
        <f>Historiek!H175/1000</f>
        <v>0</v>
      </c>
      <c r="I34" s="339">
        <f>Historiek!I175/1000</f>
        <v>0</v>
      </c>
      <c r="J34" s="339">
        <f>Historiek!J175/1000</f>
        <v>0</v>
      </c>
      <c r="K34" s="339">
        <f>Historiek!K175/1000</f>
        <v>0</v>
      </c>
      <c r="L34" s="322"/>
    </row>
    <row r="35" spans="1:12" x14ac:dyDescent="0.25">
      <c r="A35" s="391" t="s">
        <v>713</v>
      </c>
      <c r="B35" s="339">
        <f>Historiek!B176/1000</f>
        <v>0</v>
      </c>
      <c r="C35" s="339">
        <f>Historiek!C176/1000</f>
        <v>0</v>
      </c>
      <c r="D35" s="339">
        <f>Historiek!D176/1000</f>
        <v>0</v>
      </c>
      <c r="E35" s="339">
        <f>Historiek!E176/1000</f>
        <v>0</v>
      </c>
      <c r="F35" s="339">
        <f>Historiek!F176/1000</f>
        <v>0</v>
      </c>
      <c r="G35" s="339">
        <f>Historiek!G176/1000</f>
        <v>0</v>
      </c>
      <c r="H35" s="339">
        <f>Historiek!H176/1000</f>
        <v>0</v>
      </c>
      <c r="I35" s="339">
        <f>Historiek!I176/1000</f>
        <v>0</v>
      </c>
      <c r="J35" s="339">
        <f>Historiek!J176/1000</f>
        <v>0</v>
      </c>
      <c r="K35" s="339">
        <f>Historiek!K176/1000</f>
        <v>0</v>
      </c>
      <c r="L35" s="322"/>
    </row>
    <row r="36" spans="1:12" x14ac:dyDescent="0.25">
      <c r="A36" s="391" t="s">
        <v>714</v>
      </c>
      <c r="B36" s="339">
        <f>Historiek!B171/1000</f>
        <v>0</v>
      </c>
      <c r="C36" s="339">
        <f>Historiek!C171/1000</f>
        <v>0</v>
      </c>
      <c r="D36" s="339">
        <f>Historiek!D171/1000</f>
        <v>0</v>
      </c>
      <c r="E36" s="339">
        <f>Historiek!E171/1000</f>
        <v>0</v>
      </c>
      <c r="F36" s="339">
        <f>Historiek!F171/1000</f>
        <v>0</v>
      </c>
      <c r="G36" s="339">
        <f>Historiek!G171/1000</f>
        <v>0</v>
      </c>
      <c r="H36" s="339">
        <f>Historiek!H171/1000</f>
        <v>0</v>
      </c>
      <c r="I36" s="339">
        <f>Historiek!I171/1000</f>
        <v>0</v>
      </c>
      <c r="J36" s="339">
        <f>Historiek!J171/1000</f>
        <v>0</v>
      </c>
      <c r="K36" s="339">
        <f>Historiek!K171/1000</f>
        <v>0</v>
      </c>
      <c r="L36" s="322"/>
    </row>
    <row r="37" spans="1:12" x14ac:dyDescent="0.25">
      <c r="A37" s="391" t="s">
        <v>715</v>
      </c>
      <c r="B37" s="339">
        <f>Historiek!B170/1000</f>
        <v>0</v>
      </c>
      <c r="C37" s="339">
        <f>Historiek!C170/1000</f>
        <v>0</v>
      </c>
      <c r="D37" s="339">
        <f>Historiek!D170/1000</f>
        <v>0</v>
      </c>
      <c r="E37" s="339">
        <f>Historiek!E170/1000</f>
        <v>0</v>
      </c>
      <c r="F37" s="339">
        <f>Historiek!F170/1000</f>
        <v>0</v>
      </c>
      <c r="G37" s="339">
        <f>Historiek!G170/1000</f>
        <v>0</v>
      </c>
      <c r="H37" s="339">
        <f>Historiek!H170/1000</f>
        <v>0</v>
      </c>
      <c r="I37" s="339">
        <f>Historiek!I170/1000</f>
        <v>0</v>
      </c>
      <c r="J37" s="339">
        <f>Historiek!J170/1000</f>
        <v>0</v>
      </c>
      <c r="K37" s="339">
        <f>Historiek!K170/1000</f>
        <v>0</v>
      </c>
      <c r="L37" s="322"/>
    </row>
    <row r="38" spans="1:12" x14ac:dyDescent="0.25">
      <c r="A38" s="345"/>
      <c r="B38" s="339"/>
      <c r="C38" s="339"/>
      <c r="D38" s="339"/>
      <c r="E38" s="339"/>
      <c r="F38" s="339"/>
      <c r="G38" s="339"/>
      <c r="H38" s="339"/>
      <c r="I38" s="339"/>
      <c r="J38" s="339"/>
      <c r="K38" s="339"/>
      <c r="L38" s="323"/>
    </row>
    <row r="39" spans="1:12" x14ac:dyDescent="0.25">
      <c r="A39" s="722" t="s">
        <v>716</v>
      </c>
      <c r="B39" s="704">
        <f t="shared" ref="B39" si="15">B31-B34-B35+B36+B37</f>
        <v>0</v>
      </c>
      <c r="C39" s="704">
        <f t="shared" ref="C39:K39" si="16">C31-C34-C35+C36+C37</f>
        <v>0</v>
      </c>
      <c r="D39" s="704">
        <f t="shared" si="16"/>
        <v>0</v>
      </c>
      <c r="E39" s="704">
        <f t="shared" si="16"/>
        <v>0</v>
      </c>
      <c r="F39" s="704">
        <f t="shared" si="16"/>
        <v>0</v>
      </c>
      <c r="G39" s="704">
        <f t="shared" si="16"/>
        <v>0</v>
      </c>
      <c r="H39" s="704">
        <f t="shared" si="16"/>
        <v>0</v>
      </c>
      <c r="I39" s="704">
        <f t="shared" si="16"/>
        <v>0</v>
      </c>
      <c r="J39" s="704">
        <f t="shared" si="16"/>
        <v>0</v>
      </c>
      <c r="K39" s="704">
        <f t="shared" si="16"/>
        <v>0</v>
      </c>
      <c r="L39" s="705"/>
    </row>
    <row r="40" spans="1:12" x14ac:dyDescent="0.25">
      <c r="A40" s="345"/>
      <c r="B40" s="339"/>
      <c r="C40" s="339"/>
      <c r="D40" s="339"/>
      <c r="E40" s="339"/>
      <c r="F40" s="339"/>
      <c r="G40" s="339"/>
      <c r="H40" s="339"/>
      <c r="I40" s="339"/>
      <c r="J40" s="339"/>
      <c r="K40" s="339"/>
      <c r="L40" s="323"/>
    </row>
    <row r="41" spans="1:12" x14ac:dyDescent="0.25">
      <c r="A41" s="391" t="s">
        <v>717</v>
      </c>
      <c r="B41" s="339">
        <f>(Historiek!B185+Historiek!B186-Historiek!B192-Historiek!B193)/1000</f>
        <v>0</v>
      </c>
      <c r="C41" s="339">
        <f>(Historiek!C185+Historiek!C186-Historiek!C192-Historiek!C193)/1000</f>
        <v>0</v>
      </c>
      <c r="D41" s="339">
        <f>(Historiek!D185+Historiek!D186-Historiek!D192-Historiek!D193)/1000</f>
        <v>0</v>
      </c>
      <c r="E41" s="339">
        <f>(Historiek!E185+Historiek!E186-Historiek!E192-Historiek!E193)/1000</f>
        <v>0</v>
      </c>
      <c r="F41" s="339">
        <f>(Historiek!F185+Historiek!F186-Historiek!F192-Historiek!F193)/1000</f>
        <v>0</v>
      </c>
      <c r="G41" s="339">
        <f>(Historiek!G185+Historiek!G186-Historiek!G192-Historiek!G193)/1000</f>
        <v>0</v>
      </c>
      <c r="H41" s="339">
        <f>(Historiek!H185+Historiek!H186-Historiek!H192-Historiek!H193)/1000</f>
        <v>0</v>
      </c>
      <c r="I41" s="339">
        <f>(Historiek!I185+Historiek!I186-Historiek!I192-Historiek!I193)/1000</f>
        <v>0</v>
      </c>
      <c r="J41" s="339">
        <f>(Historiek!J185+Historiek!J186-Historiek!J192-Historiek!J193)/1000</f>
        <v>0</v>
      </c>
      <c r="K41" s="339">
        <f>(Historiek!K185+Historiek!K186-Historiek!K192-Historiek!K193)/1000</f>
        <v>0</v>
      </c>
      <c r="L41" s="322"/>
    </row>
    <row r="42" spans="1:12" x14ac:dyDescent="0.25">
      <c r="A42" s="391" t="s">
        <v>718</v>
      </c>
      <c r="B42" s="339">
        <f>SUM(Historiek!B182:'Historiek'!B184)/1000-SUM(Historiek!B189:'Historiek'!B191)/1000</f>
        <v>0</v>
      </c>
      <c r="C42" s="339">
        <f>SUM(Historiek!C182:'Historiek'!C184)/1000-SUM(Historiek!C189:'Historiek'!C191)/1000</f>
        <v>0</v>
      </c>
      <c r="D42" s="339">
        <f>SUM(Historiek!D182:'Historiek'!D184)/1000-SUM(Historiek!D189:'Historiek'!D191)/1000</f>
        <v>0</v>
      </c>
      <c r="E42" s="339">
        <f>SUM(Historiek!E182:'Historiek'!E184)/1000-SUM(Historiek!E189:'Historiek'!E191)/1000</f>
        <v>0</v>
      </c>
      <c r="F42" s="339">
        <f>SUM(Historiek!F182:'Historiek'!F184)/1000-SUM(Historiek!F189:'Historiek'!F191)/1000</f>
        <v>0</v>
      </c>
      <c r="G42" s="339">
        <f>SUM(Historiek!G182:'Historiek'!G184)/1000-SUM(Historiek!G189:'Historiek'!G191)/1000</f>
        <v>0</v>
      </c>
      <c r="H42" s="339">
        <f>SUM(Historiek!H182:'Historiek'!H184)/1000-SUM(Historiek!H189:'Historiek'!H191)/1000</f>
        <v>0</v>
      </c>
      <c r="I42" s="339">
        <f>SUM(Historiek!I182:'Historiek'!I184)/1000-SUM(Historiek!I189:'Historiek'!I191)/1000</f>
        <v>0</v>
      </c>
      <c r="J42" s="339">
        <f>SUM(Historiek!J182:'Historiek'!J184)/1000-SUM(Historiek!J189:'Historiek'!J191)/1000</f>
        <v>0</v>
      </c>
      <c r="K42" s="339">
        <f>SUM(Historiek!K182:'Historiek'!K184)/1000-SUM(Historiek!K189:'Historiek'!K191)/1000</f>
        <v>0</v>
      </c>
      <c r="L42" s="322"/>
    </row>
    <row r="43" spans="1:12" x14ac:dyDescent="0.25">
      <c r="A43" s="391"/>
      <c r="B43" s="339"/>
      <c r="C43" s="339"/>
      <c r="D43" s="339"/>
      <c r="E43" s="339"/>
      <c r="F43" s="339"/>
      <c r="G43" s="339"/>
      <c r="H43" s="339"/>
      <c r="I43" s="339"/>
      <c r="J43" s="339"/>
      <c r="K43" s="339"/>
      <c r="L43" s="322"/>
    </row>
    <row r="44" spans="1:12" x14ac:dyDescent="0.25">
      <c r="A44" s="722" t="s">
        <v>719</v>
      </c>
      <c r="B44" s="704">
        <f t="shared" ref="B44" si="17">B39+B41+B42</f>
        <v>0</v>
      </c>
      <c r="C44" s="704">
        <f t="shared" ref="C44:K44" si="18">C39+C41+C42</f>
        <v>0</v>
      </c>
      <c r="D44" s="704">
        <f t="shared" si="18"/>
        <v>0</v>
      </c>
      <c r="E44" s="704">
        <f t="shared" si="18"/>
        <v>0</v>
      </c>
      <c r="F44" s="704">
        <f t="shared" si="18"/>
        <v>0</v>
      </c>
      <c r="G44" s="704">
        <f t="shared" si="18"/>
        <v>0</v>
      </c>
      <c r="H44" s="704">
        <f t="shared" si="18"/>
        <v>0</v>
      </c>
      <c r="I44" s="704">
        <f t="shared" si="18"/>
        <v>0</v>
      </c>
      <c r="J44" s="704">
        <f t="shared" si="18"/>
        <v>0</v>
      </c>
      <c r="K44" s="704">
        <f t="shared" si="18"/>
        <v>0</v>
      </c>
      <c r="L44" s="705"/>
    </row>
    <row r="45" spans="1:12" x14ac:dyDescent="0.25">
      <c r="A45" s="391"/>
      <c r="B45" s="339"/>
      <c r="C45" s="339"/>
      <c r="D45" s="339"/>
      <c r="E45" s="339"/>
      <c r="F45" s="339"/>
      <c r="G45" s="339"/>
      <c r="H45" s="339"/>
      <c r="I45" s="339"/>
      <c r="J45" s="339"/>
      <c r="K45" s="339"/>
      <c r="L45" s="322"/>
    </row>
    <row r="46" spans="1:12" x14ac:dyDescent="0.25">
      <c r="A46" s="391" t="s">
        <v>720</v>
      </c>
      <c r="B46" s="339">
        <f>(Historiek!B207+Historiek!B204+Historiek!B205)/1000</f>
        <v>0</v>
      </c>
      <c r="C46" s="339">
        <f>(Historiek!C207+Historiek!C204+Historiek!C205)/1000</f>
        <v>0</v>
      </c>
      <c r="D46" s="339">
        <f>(Historiek!D207+Historiek!D204+Historiek!D205)/1000</f>
        <v>0</v>
      </c>
      <c r="E46" s="339">
        <f>(Historiek!E207+Historiek!E204+Historiek!E205)/1000</f>
        <v>0</v>
      </c>
      <c r="F46" s="339">
        <f>(Historiek!F207+Historiek!F204+Historiek!F205)/1000</f>
        <v>0</v>
      </c>
      <c r="G46" s="339">
        <f>(Historiek!G207+Historiek!G204+Historiek!G205)/1000</f>
        <v>0</v>
      </c>
      <c r="H46" s="339">
        <f>(Historiek!H207+Historiek!H204+Historiek!H205)/1000</f>
        <v>0</v>
      </c>
      <c r="I46" s="339">
        <f>(Historiek!I207+Historiek!I204+Historiek!I205)/1000</f>
        <v>0</v>
      </c>
      <c r="J46" s="339">
        <f>(Historiek!J207+Historiek!J204+Historiek!J205)/1000</f>
        <v>0</v>
      </c>
      <c r="K46" s="339">
        <f>(Historiek!K207+Historiek!K204+Historiek!K205)/1000</f>
        <v>0</v>
      </c>
      <c r="L46" s="322"/>
    </row>
    <row r="47" spans="1:12" x14ac:dyDescent="0.25">
      <c r="A47" s="345"/>
      <c r="B47" s="339"/>
      <c r="C47" s="339"/>
      <c r="D47" s="339"/>
      <c r="E47" s="339"/>
      <c r="F47" s="339"/>
      <c r="G47" s="339"/>
      <c r="H47" s="339"/>
      <c r="I47" s="339"/>
      <c r="J47" s="339"/>
      <c r="K47" s="339"/>
      <c r="L47" s="323"/>
    </row>
    <row r="48" spans="1:12" x14ac:dyDescent="0.25">
      <c r="A48" s="722" t="s">
        <v>721</v>
      </c>
      <c r="B48" s="704">
        <f t="shared" ref="B48" si="19">B44+B46</f>
        <v>0</v>
      </c>
      <c r="C48" s="704">
        <f t="shared" ref="C48:K48" si="20">C44+C46</f>
        <v>0</v>
      </c>
      <c r="D48" s="704">
        <f t="shared" si="20"/>
        <v>0</v>
      </c>
      <c r="E48" s="704">
        <f t="shared" si="20"/>
        <v>0</v>
      </c>
      <c r="F48" s="704">
        <f t="shared" si="20"/>
        <v>0</v>
      </c>
      <c r="G48" s="704">
        <f t="shared" si="20"/>
        <v>0</v>
      </c>
      <c r="H48" s="704">
        <f t="shared" si="20"/>
        <v>0</v>
      </c>
      <c r="I48" s="704">
        <f t="shared" si="20"/>
        <v>0</v>
      </c>
      <c r="J48" s="704">
        <f t="shared" si="20"/>
        <v>0</v>
      </c>
      <c r="K48" s="704">
        <f t="shared" si="20"/>
        <v>0</v>
      </c>
      <c r="L48" s="705"/>
    </row>
    <row r="49" spans="1:12" x14ac:dyDescent="0.25">
      <c r="A49" s="723" t="s">
        <v>722</v>
      </c>
      <c r="B49" s="724">
        <f t="shared" ref="B49" si="21">B48+B29+B35-B42</f>
        <v>0</v>
      </c>
      <c r="C49" s="724">
        <f t="shared" ref="C49:K49" si="22">C48+C29+C35-C42</f>
        <v>0</v>
      </c>
      <c r="D49" s="724">
        <f t="shared" si="22"/>
        <v>0</v>
      </c>
      <c r="E49" s="724">
        <f t="shared" si="22"/>
        <v>0</v>
      </c>
      <c r="F49" s="724">
        <f t="shared" si="22"/>
        <v>0</v>
      </c>
      <c r="G49" s="724">
        <f t="shared" si="22"/>
        <v>0</v>
      </c>
      <c r="H49" s="724">
        <f t="shared" si="22"/>
        <v>0</v>
      </c>
      <c r="I49" s="724">
        <f t="shared" si="22"/>
        <v>0</v>
      </c>
      <c r="J49" s="724">
        <f t="shared" si="22"/>
        <v>0</v>
      </c>
      <c r="K49" s="724">
        <f t="shared" si="22"/>
        <v>0</v>
      </c>
      <c r="L49" s="725"/>
    </row>
    <row r="50" spans="1:12" x14ac:dyDescent="0.25">
      <c r="A50" s="718" t="s">
        <v>709</v>
      </c>
      <c r="B50" s="719">
        <f t="shared" ref="B50" si="23">IF(B7+B16=0,0,B49/(B7+B16))</f>
        <v>0</v>
      </c>
      <c r="C50" s="719">
        <f t="shared" ref="C50:K50" si="24">IF(C7+C16=0,0,C49/(C7+C16))</f>
        <v>0</v>
      </c>
      <c r="D50" s="719">
        <f t="shared" si="24"/>
        <v>0</v>
      </c>
      <c r="E50" s="719">
        <f t="shared" si="24"/>
        <v>0</v>
      </c>
      <c r="F50" s="719">
        <f t="shared" si="24"/>
        <v>0</v>
      </c>
      <c r="G50" s="719">
        <f t="shared" si="24"/>
        <v>0</v>
      </c>
      <c r="H50" s="719">
        <f t="shared" si="24"/>
        <v>0</v>
      </c>
      <c r="I50" s="719">
        <f t="shared" si="24"/>
        <v>0</v>
      </c>
      <c r="J50" s="719">
        <f t="shared" si="24"/>
        <v>0</v>
      </c>
      <c r="K50" s="719">
        <f t="shared" si="24"/>
        <v>0</v>
      </c>
      <c r="L50" s="720"/>
    </row>
    <row r="51" spans="1:12" x14ac:dyDescent="0.25">
      <c r="J51" s="392"/>
      <c r="K51" s="392"/>
    </row>
    <row r="52" spans="1:12" x14ac:dyDescent="0.25">
      <c r="J52" s="393"/>
      <c r="K52" s="393"/>
    </row>
    <row r="53" spans="1:12" s="377" customFormat="1" x14ac:dyDescent="0.25">
      <c r="A53" s="394" t="s">
        <v>824</v>
      </c>
      <c r="B53" s="395">
        <f t="shared" ref="B53" si="25">B4</f>
        <v>43828</v>
      </c>
      <c r="C53" s="395">
        <f t="shared" ref="C53:K53" si="26">C4</f>
        <v>44194</v>
      </c>
      <c r="D53" s="395">
        <f t="shared" si="26"/>
        <v>44560</v>
      </c>
      <c r="E53" s="395">
        <f t="shared" si="26"/>
        <v>44926</v>
      </c>
      <c r="F53" s="395">
        <f t="shared" si="26"/>
        <v>45291</v>
      </c>
      <c r="G53" s="395">
        <f t="shared" si="26"/>
        <v>45656</v>
      </c>
      <c r="H53" s="395">
        <f t="shared" si="26"/>
        <v>46021</v>
      </c>
      <c r="I53" s="395">
        <f t="shared" si="26"/>
        <v>46386</v>
      </c>
      <c r="J53" s="395">
        <f t="shared" si="26"/>
        <v>46751</v>
      </c>
      <c r="K53" s="395">
        <f t="shared" si="26"/>
        <v>47116</v>
      </c>
      <c r="L53" s="396"/>
    </row>
    <row r="54" spans="1:12" x14ac:dyDescent="0.25">
      <c r="A54" s="397" t="s">
        <v>825</v>
      </c>
      <c r="B54" s="398" t="str">
        <f t="shared" ref="B54" si="27">IF(B7=0,"",B7/A7-1)</f>
        <v/>
      </c>
      <c r="C54" s="398" t="str">
        <f t="shared" ref="C54" si="28">IF(C7=0,"",C7/B7-1)</f>
        <v/>
      </c>
      <c r="D54" s="398" t="str">
        <f t="shared" ref="D54" si="29">IF(D7=0,"",D7/C7-1)</f>
        <v/>
      </c>
      <c r="E54" s="398" t="str">
        <f t="shared" ref="E54" si="30">IF(E7=0,"",E7/D7-1)</f>
        <v/>
      </c>
      <c r="F54" s="398" t="str">
        <f t="shared" ref="F54" si="31">IF(F7=0,"",F7/E7-1)</f>
        <v/>
      </c>
      <c r="G54" s="398" t="str">
        <f t="shared" ref="G54" si="32">IF(G7=0,"",G7/F7-1)</f>
        <v/>
      </c>
      <c r="H54" s="398" t="str">
        <f t="shared" ref="H54" si="33">IF(H7=0,"",H7/G7-1)</f>
        <v/>
      </c>
      <c r="I54" s="398" t="str">
        <f t="shared" ref="I54" si="34">IF(I7=0,"",I7/H7-1)</f>
        <v/>
      </c>
      <c r="J54" s="398" t="str">
        <f t="shared" ref="J54" si="35">IF(J7=0,"",J7/I7-1)</f>
        <v/>
      </c>
      <c r="K54" s="398" t="str">
        <f t="shared" ref="K54" si="36">IF(K7=0,"",K7/J7-1)</f>
        <v/>
      </c>
      <c r="L54" s="399"/>
    </row>
    <row r="55" spans="1:12" x14ac:dyDescent="0.25">
      <c r="A55" s="321" t="s">
        <v>826</v>
      </c>
      <c r="B55" s="400" t="str">
        <f t="shared" ref="B55" si="37">IF(B18=0,"",B18/A18-1)</f>
        <v/>
      </c>
      <c r="C55" s="400" t="str">
        <f t="shared" ref="C55" si="38">IF(C18=0,"",C18/B18-1)</f>
        <v/>
      </c>
      <c r="D55" s="400" t="str">
        <f t="shared" ref="D55" si="39">IF(D18=0,"",D18/C18-1)</f>
        <v/>
      </c>
      <c r="E55" s="400" t="str">
        <f t="shared" ref="E55" si="40">IF(E18=0,"",E18/D18-1)</f>
        <v/>
      </c>
      <c r="F55" s="400" t="str">
        <f t="shared" ref="F55" si="41">IF(F18=0,"",F18/E18-1)</f>
        <v/>
      </c>
      <c r="G55" s="400" t="str">
        <f t="shared" ref="G55" si="42">IF(G18=0,"",G18/F18-1)</f>
        <v/>
      </c>
      <c r="H55" s="400" t="str">
        <f t="shared" ref="H55" si="43">IF(H18=0,"",H18/G18-1)</f>
        <v/>
      </c>
      <c r="I55" s="400" t="str">
        <f t="shared" ref="I55" si="44">IF(I18=0,"",I18/H18-1)</f>
        <v/>
      </c>
      <c r="J55" s="400" t="str">
        <f t="shared" ref="J55" si="45">IF(J18=0,"",J18/I18-1)</f>
        <v/>
      </c>
      <c r="K55" s="400" t="str">
        <f t="shared" ref="K55" si="46">IF(K18=0,"",K18/J18-1)</f>
        <v/>
      </c>
      <c r="L55" s="401"/>
    </row>
    <row r="56" spans="1:12" x14ac:dyDescent="0.25">
      <c r="A56" s="321" t="s">
        <v>827</v>
      </c>
      <c r="B56" s="400" t="str">
        <f>IF(B26=0,"",B26/A26-1)</f>
        <v/>
      </c>
      <c r="C56" s="400" t="str">
        <f t="shared" ref="C56:K56" si="47">IF(C26=0,"",C26/B26-1)</f>
        <v/>
      </c>
      <c r="D56" s="400" t="str">
        <f t="shared" si="47"/>
        <v/>
      </c>
      <c r="E56" s="400" t="str">
        <f t="shared" si="47"/>
        <v/>
      </c>
      <c r="F56" s="400" t="str">
        <f t="shared" si="47"/>
        <v/>
      </c>
      <c r="G56" s="400" t="str">
        <f t="shared" si="47"/>
        <v/>
      </c>
      <c r="H56" s="400" t="str">
        <f t="shared" si="47"/>
        <v/>
      </c>
      <c r="I56" s="400" t="str">
        <f t="shared" si="47"/>
        <v/>
      </c>
      <c r="J56" s="400" t="str">
        <f t="shared" si="47"/>
        <v/>
      </c>
      <c r="K56" s="400" t="str">
        <f t="shared" si="47"/>
        <v/>
      </c>
      <c r="L56" s="401"/>
    </row>
    <row r="57" spans="1:12" x14ac:dyDescent="0.25">
      <c r="A57" s="402" t="s">
        <v>828</v>
      </c>
      <c r="B57" s="403" t="str">
        <f>IF(B31=0,"",B31/A31-1)</f>
        <v/>
      </c>
      <c r="C57" s="403" t="str">
        <f t="shared" ref="C57:K57" si="48">IF(C31=0,"",C31/B31-1)</f>
        <v/>
      </c>
      <c r="D57" s="403" t="str">
        <f t="shared" si="48"/>
        <v/>
      </c>
      <c r="E57" s="403" t="str">
        <f t="shared" si="48"/>
        <v/>
      </c>
      <c r="F57" s="403" t="str">
        <f t="shared" si="48"/>
        <v/>
      </c>
      <c r="G57" s="403" t="str">
        <f t="shared" si="48"/>
        <v/>
      </c>
      <c r="H57" s="403" t="str">
        <f t="shared" si="48"/>
        <v/>
      </c>
      <c r="I57" s="403" t="str">
        <f t="shared" si="48"/>
        <v/>
      </c>
      <c r="J57" s="403" t="str">
        <f t="shared" si="48"/>
        <v/>
      </c>
      <c r="K57" s="403" t="str">
        <f t="shared" si="48"/>
        <v/>
      </c>
      <c r="L57" s="404"/>
    </row>
  </sheetData>
  <mergeCells count="1">
    <mergeCell ref="C1:K1"/>
  </mergeCells>
  <pageMargins left="0.56000000000000005" right="0.31" top="0.86" bottom="0.87" header="0.51181102362204722" footer="0.51181102362204722"/>
  <pageSetup paperSize="9" scale="99" orientation="portrait" horizontalDpi="300" verticalDpi="300" r:id="rId1"/>
  <headerFooter alignWithMargins="0">
    <oddFooter>&amp;LSES - &amp;D&amp;C&amp;F&amp;R&amp;A -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96158-60DD-45A5-ACFF-516366EF39B4}">
  <sheetPr>
    <tabColor theme="4" tint="0.59999389629810485"/>
  </sheetPr>
  <dimension ref="A1:Y47"/>
  <sheetViews>
    <sheetView showGridLines="0" workbookViewId="0">
      <selection activeCell="N32" sqref="N32"/>
    </sheetView>
  </sheetViews>
  <sheetFormatPr defaultColWidth="9.109375" defaultRowHeight="13.2" outlineLevelCol="1" x14ac:dyDescent="0.25"/>
  <cols>
    <col min="1" max="1" width="28.6640625" style="141" bestFit="1" customWidth="1"/>
    <col min="2" max="3" width="7.5546875" style="141" customWidth="1" outlineLevel="1"/>
    <col min="4" max="5" width="7.5546875" style="141" customWidth="1"/>
    <col min="6" max="6" width="8" style="141" customWidth="1"/>
    <col min="7" max="11" width="8" style="141" customWidth="1" outlineLevel="1"/>
    <col min="12" max="12" width="1.109375" style="141" customWidth="1"/>
    <col min="13" max="14" width="9.109375" style="141"/>
    <col min="15" max="15" width="24.109375" style="141" bestFit="1" customWidth="1"/>
    <col min="16" max="24" width="8.33203125" style="141" customWidth="1"/>
    <col min="25" max="25" width="8" style="141" customWidth="1"/>
    <col min="26" max="16384" width="9.109375" style="141"/>
  </cols>
  <sheetData>
    <row r="1" spans="1:12" x14ac:dyDescent="0.25">
      <c r="A1" s="324" t="str">
        <f>Historiek!A2</f>
        <v>Dossier</v>
      </c>
    </row>
    <row r="3" spans="1:12" x14ac:dyDescent="0.25">
      <c r="A3" s="728" t="s">
        <v>723</v>
      </c>
      <c r="B3" s="729">
        <f>Resultaten!B4</f>
        <v>43828</v>
      </c>
      <c r="C3" s="729">
        <f>Resultaten!C4</f>
        <v>44194</v>
      </c>
      <c r="D3" s="729">
        <f>Resultaten!D4</f>
        <v>44560</v>
      </c>
      <c r="E3" s="729">
        <f>Resultaten!E4</f>
        <v>44926</v>
      </c>
      <c r="F3" s="729">
        <f>Resultaten!F4</f>
        <v>45291</v>
      </c>
      <c r="G3" s="729">
        <f>Resultaten!G4</f>
        <v>45656</v>
      </c>
      <c r="H3" s="729">
        <f>Resultaten!H4</f>
        <v>46021</v>
      </c>
      <c r="I3" s="729">
        <f>Resultaten!I4</f>
        <v>46386</v>
      </c>
      <c r="J3" s="729">
        <f>Resultaten!J4</f>
        <v>46751</v>
      </c>
      <c r="K3" s="729">
        <f>Resultaten!K4</f>
        <v>47116</v>
      </c>
      <c r="L3" s="730"/>
    </row>
    <row r="4" spans="1:12" x14ac:dyDescent="0.25">
      <c r="A4" s="731" t="s">
        <v>83</v>
      </c>
      <c r="B4" s="732">
        <f>Resultaten!B5</f>
        <v>12</v>
      </c>
      <c r="C4" s="732">
        <f>Resultaten!C5</f>
        <v>12</v>
      </c>
      <c r="D4" s="732">
        <f>Resultaten!D5</f>
        <v>12</v>
      </c>
      <c r="E4" s="732">
        <f>Resultaten!E5</f>
        <v>12</v>
      </c>
      <c r="F4" s="732">
        <f>Resultaten!F5</f>
        <v>12</v>
      </c>
      <c r="G4" s="732">
        <f>Resultaten!G5</f>
        <v>12</v>
      </c>
      <c r="H4" s="732">
        <f>Resultaten!H5</f>
        <v>12</v>
      </c>
      <c r="I4" s="732">
        <f>Resultaten!I5</f>
        <v>12</v>
      </c>
      <c r="J4" s="732">
        <f>Resultaten!J5</f>
        <v>12</v>
      </c>
      <c r="K4" s="732">
        <f>Resultaten!K5</f>
        <v>12</v>
      </c>
      <c r="L4" s="733"/>
    </row>
    <row r="5" spans="1:12" x14ac:dyDescent="0.25">
      <c r="A5" s="325" t="s">
        <v>7</v>
      </c>
      <c r="B5" s="326">
        <f>Resultaten!B7</f>
        <v>0</v>
      </c>
      <c r="C5" s="326">
        <f>Resultaten!C7</f>
        <v>0</v>
      </c>
      <c r="D5" s="326">
        <f>Resultaten!D7</f>
        <v>0</v>
      </c>
      <c r="E5" s="326">
        <f>Resultaten!E7</f>
        <v>0</v>
      </c>
      <c r="F5" s="326">
        <f>Resultaten!F7</f>
        <v>0</v>
      </c>
      <c r="G5" s="326">
        <f>Resultaten!G7</f>
        <v>0</v>
      </c>
      <c r="H5" s="326">
        <f>Resultaten!H7</f>
        <v>0</v>
      </c>
      <c r="I5" s="326">
        <f>Resultaten!I7</f>
        <v>0</v>
      </c>
      <c r="J5" s="326">
        <f>Resultaten!J7</f>
        <v>0</v>
      </c>
      <c r="K5" s="326">
        <f>Resultaten!K7</f>
        <v>0</v>
      </c>
      <c r="L5" s="327"/>
    </row>
    <row r="6" spans="1:12" x14ac:dyDescent="0.25">
      <c r="A6" s="328" t="s">
        <v>725</v>
      </c>
      <c r="B6" s="329">
        <f>Resultaten!B11</f>
        <v>0</v>
      </c>
      <c r="C6" s="329">
        <f>Resultaten!C11</f>
        <v>0</v>
      </c>
      <c r="D6" s="329">
        <f>Resultaten!D11</f>
        <v>0</v>
      </c>
      <c r="E6" s="329">
        <f>Resultaten!E11</f>
        <v>0</v>
      </c>
      <c r="F6" s="329">
        <f>Resultaten!F11</f>
        <v>0</v>
      </c>
      <c r="G6" s="329">
        <f>Resultaten!G11</f>
        <v>0</v>
      </c>
      <c r="H6" s="329">
        <f>Resultaten!H11</f>
        <v>0</v>
      </c>
      <c r="I6" s="329">
        <f>Resultaten!I11</f>
        <v>0</v>
      </c>
      <c r="J6" s="329">
        <f>Resultaten!J11</f>
        <v>0</v>
      </c>
      <c r="K6" s="329">
        <f>Resultaten!K11</f>
        <v>0</v>
      </c>
      <c r="L6" s="330"/>
    </row>
    <row r="7" spans="1:12" hidden="1" x14ac:dyDescent="0.25">
      <c r="A7" s="328" t="s">
        <v>726</v>
      </c>
      <c r="B7" s="331">
        <f>Resultaten!B12</f>
        <v>0</v>
      </c>
      <c r="C7" s="331">
        <f>Resultaten!C12</f>
        <v>0</v>
      </c>
      <c r="D7" s="331">
        <f>Resultaten!D12</f>
        <v>0</v>
      </c>
      <c r="E7" s="331">
        <f>Resultaten!E12</f>
        <v>0</v>
      </c>
      <c r="F7" s="331">
        <f>Resultaten!F12</f>
        <v>0</v>
      </c>
      <c r="G7" s="331">
        <f>Resultaten!G12</f>
        <v>0</v>
      </c>
      <c r="H7" s="331">
        <f>Resultaten!H12</f>
        <v>0</v>
      </c>
      <c r="I7" s="331">
        <f>Resultaten!I12</f>
        <v>0</v>
      </c>
      <c r="J7" s="331">
        <f>Resultaten!J12</f>
        <v>0</v>
      </c>
      <c r="K7" s="331">
        <f>Resultaten!K12</f>
        <v>0</v>
      </c>
      <c r="L7" s="330"/>
    </row>
    <row r="8" spans="1:12" x14ac:dyDescent="0.25">
      <c r="A8" s="328" t="s">
        <v>727</v>
      </c>
      <c r="B8" s="329">
        <f>Resultaten!B26</f>
        <v>0</v>
      </c>
      <c r="C8" s="329">
        <f>Resultaten!C26</f>
        <v>0</v>
      </c>
      <c r="D8" s="329">
        <f>Resultaten!D26</f>
        <v>0</v>
      </c>
      <c r="E8" s="329">
        <f>Resultaten!E26</f>
        <v>0</v>
      </c>
      <c r="F8" s="329">
        <f>Resultaten!F26</f>
        <v>0</v>
      </c>
      <c r="G8" s="329">
        <f>Resultaten!G26</f>
        <v>0</v>
      </c>
      <c r="H8" s="329">
        <f>Resultaten!H26</f>
        <v>0</v>
      </c>
      <c r="I8" s="329">
        <f>Resultaten!I26</f>
        <v>0</v>
      </c>
      <c r="J8" s="329">
        <f>Resultaten!J26</f>
        <v>0</v>
      </c>
      <c r="K8" s="329">
        <f>Resultaten!K26</f>
        <v>0</v>
      </c>
      <c r="L8" s="330"/>
    </row>
    <row r="9" spans="1:12" hidden="1" x14ac:dyDescent="0.25">
      <c r="A9" s="328" t="s">
        <v>728</v>
      </c>
      <c r="B9" s="331">
        <f>Resultaten!B27</f>
        <v>0</v>
      </c>
      <c r="C9" s="331">
        <f>Resultaten!C27</f>
        <v>0</v>
      </c>
      <c r="D9" s="331">
        <f>Resultaten!D27</f>
        <v>0</v>
      </c>
      <c r="E9" s="331">
        <f>Resultaten!E27</f>
        <v>0</v>
      </c>
      <c r="F9" s="331">
        <f>Resultaten!F27</f>
        <v>0</v>
      </c>
      <c r="G9" s="331">
        <f>Resultaten!G27</f>
        <v>0</v>
      </c>
      <c r="H9" s="331">
        <f>Resultaten!H27</f>
        <v>0</v>
      </c>
      <c r="I9" s="331">
        <f>Resultaten!I27</f>
        <v>0</v>
      </c>
      <c r="J9" s="331">
        <f>Resultaten!J27</f>
        <v>0</v>
      </c>
      <c r="K9" s="331">
        <f>Resultaten!K27</f>
        <v>0</v>
      </c>
      <c r="L9" s="330"/>
    </row>
    <row r="10" spans="1:12" x14ac:dyDescent="0.25">
      <c r="A10" s="328" t="s">
        <v>729</v>
      </c>
      <c r="B10" s="329">
        <f>Resultaten!B31</f>
        <v>0</v>
      </c>
      <c r="C10" s="329">
        <f>Resultaten!C31</f>
        <v>0</v>
      </c>
      <c r="D10" s="329">
        <f>Resultaten!D31</f>
        <v>0</v>
      </c>
      <c r="E10" s="329">
        <f>Resultaten!E31</f>
        <v>0</v>
      </c>
      <c r="F10" s="329">
        <f>Resultaten!F31</f>
        <v>0</v>
      </c>
      <c r="G10" s="329">
        <f>Resultaten!G31</f>
        <v>0</v>
      </c>
      <c r="H10" s="329">
        <f>Resultaten!H31</f>
        <v>0</v>
      </c>
      <c r="I10" s="329">
        <f>Resultaten!I31</f>
        <v>0</v>
      </c>
      <c r="J10" s="329">
        <f>Resultaten!J31</f>
        <v>0</v>
      </c>
      <c r="K10" s="329">
        <f>Resultaten!K31</f>
        <v>0</v>
      </c>
      <c r="L10" s="330"/>
    </row>
    <row r="11" spans="1:12" hidden="1" x14ac:dyDescent="0.25">
      <c r="A11" s="328" t="s">
        <v>728</v>
      </c>
      <c r="B11" s="331">
        <f>Resultaten!B32</f>
        <v>0</v>
      </c>
      <c r="C11" s="331">
        <f>Resultaten!C32</f>
        <v>0</v>
      </c>
      <c r="D11" s="331">
        <f>Resultaten!D32</f>
        <v>0</v>
      </c>
      <c r="E11" s="331">
        <f>Resultaten!E32</f>
        <v>0</v>
      </c>
      <c r="F11" s="331">
        <f>Resultaten!F32</f>
        <v>0</v>
      </c>
      <c r="G11" s="331">
        <f>Resultaten!G32</f>
        <v>0</v>
      </c>
      <c r="H11" s="331">
        <f>Resultaten!H32</f>
        <v>0</v>
      </c>
      <c r="I11" s="331">
        <f>Resultaten!I32</f>
        <v>0</v>
      </c>
      <c r="J11" s="331">
        <f>Resultaten!J32</f>
        <v>0</v>
      </c>
      <c r="K11" s="331">
        <f>Resultaten!K32</f>
        <v>0</v>
      </c>
      <c r="L11" s="330"/>
    </row>
    <row r="12" spans="1:12" x14ac:dyDescent="0.25">
      <c r="A12" s="328" t="s">
        <v>730</v>
      </c>
      <c r="B12" s="329">
        <f>Resultaten!B48</f>
        <v>0</v>
      </c>
      <c r="C12" s="329">
        <f>Resultaten!C48</f>
        <v>0</v>
      </c>
      <c r="D12" s="329">
        <f>Resultaten!D48</f>
        <v>0</v>
      </c>
      <c r="E12" s="329">
        <f>Resultaten!E48</f>
        <v>0</v>
      </c>
      <c r="F12" s="329">
        <f>Resultaten!F48</f>
        <v>0</v>
      </c>
      <c r="G12" s="329">
        <f>Resultaten!G48</f>
        <v>0</v>
      </c>
      <c r="H12" s="329">
        <f>Resultaten!H48</f>
        <v>0</v>
      </c>
      <c r="I12" s="329">
        <f>Resultaten!I48</f>
        <v>0</v>
      </c>
      <c r="J12" s="329">
        <f>Resultaten!J48</f>
        <v>0</v>
      </c>
      <c r="K12" s="329">
        <f>Resultaten!K48</f>
        <v>0</v>
      </c>
      <c r="L12" s="330"/>
    </row>
    <row r="13" spans="1:12" x14ac:dyDescent="0.25">
      <c r="A13" s="332" t="s">
        <v>731</v>
      </c>
      <c r="B13" s="333">
        <f>Resultaten!B49</f>
        <v>0</v>
      </c>
      <c r="C13" s="333">
        <f>Resultaten!C49</f>
        <v>0</v>
      </c>
      <c r="D13" s="333">
        <f>Resultaten!D49</f>
        <v>0</v>
      </c>
      <c r="E13" s="333">
        <f>Resultaten!E49</f>
        <v>0</v>
      </c>
      <c r="F13" s="333">
        <f>Resultaten!F49</f>
        <v>0</v>
      </c>
      <c r="G13" s="333">
        <f>Resultaten!G49</f>
        <v>0</v>
      </c>
      <c r="H13" s="333">
        <f>Resultaten!H49</f>
        <v>0</v>
      </c>
      <c r="I13" s="333">
        <f>Resultaten!I49</f>
        <v>0</v>
      </c>
      <c r="J13" s="333">
        <f>Resultaten!J49</f>
        <v>0</v>
      </c>
      <c r="K13" s="333">
        <f>Resultaten!K49</f>
        <v>0</v>
      </c>
      <c r="L13" s="334"/>
    </row>
    <row r="14" spans="1:12" hidden="1" x14ac:dyDescent="0.25">
      <c r="A14" s="332" t="s">
        <v>732</v>
      </c>
      <c r="B14" s="335"/>
      <c r="C14" s="335" t="str">
        <f t="shared" ref="C14:I14" si="0">IF(B5=0,"",C5/B5-1)</f>
        <v/>
      </c>
      <c r="D14" s="335" t="str">
        <f t="shared" si="0"/>
        <v/>
      </c>
      <c r="E14" s="335" t="e">
        <f>IF(#REF!=0,"",E5/#REF!-1)</f>
        <v>#REF!</v>
      </c>
      <c r="F14" s="335" t="str">
        <f t="shared" si="0"/>
        <v/>
      </c>
      <c r="G14" s="335" t="str">
        <f t="shared" si="0"/>
        <v/>
      </c>
      <c r="H14" s="335" t="str">
        <f t="shared" si="0"/>
        <v/>
      </c>
      <c r="I14" s="335" t="str">
        <f t="shared" si="0"/>
        <v/>
      </c>
      <c r="J14" s="335" t="str">
        <f>IF(I5=0,"",J5/I5-1)</f>
        <v/>
      </c>
      <c r="K14" s="335" t="str">
        <f>IF(J5=0,"",K5/J5-1)</f>
        <v/>
      </c>
      <c r="L14" s="334"/>
    </row>
    <row r="15" spans="1:12" x14ac:dyDescent="0.25">
      <c r="A15" s="336"/>
      <c r="B15" s="336"/>
      <c r="C15" s="336"/>
      <c r="D15" s="336"/>
      <c r="E15" s="336"/>
      <c r="F15" s="336"/>
      <c r="G15" s="336"/>
      <c r="H15" s="336"/>
      <c r="I15" s="336"/>
      <c r="J15" s="336"/>
      <c r="K15" s="336"/>
      <c r="L15" s="336"/>
    </row>
    <row r="16" spans="1:12" x14ac:dyDescent="0.25">
      <c r="A16" s="734" t="s">
        <v>338</v>
      </c>
      <c r="B16" s="735">
        <f t="shared" ref="B16:J16" si="1">B3</f>
        <v>43828</v>
      </c>
      <c r="C16" s="735">
        <f t="shared" si="1"/>
        <v>44194</v>
      </c>
      <c r="D16" s="735">
        <f t="shared" si="1"/>
        <v>44560</v>
      </c>
      <c r="E16" s="735">
        <f t="shared" si="1"/>
        <v>44926</v>
      </c>
      <c r="F16" s="735">
        <f t="shared" si="1"/>
        <v>45291</v>
      </c>
      <c r="G16" s="736">
        <f t="shared" si="1"/>
        <v>45656</v>
      </c>
      <c r="H16" s="736">
        <f t="shared" si="1"/>
        <v>46021</v>
      </c>
      <c r="I16" s="736">
        <f t="shared" si="1"/>
        <v>46386</v>
      </c>
      <c r="J16" s="736">
        <f t="shared" si="1"/>
        <v>46751</v>
      </c>
      <c r="K16" s="736">
        <f t="shared" ref="K16" si="2">K3</f>
        <v>47116</v>
      </c>
      <c r="L16" s="737"/>
    </row>
    <row r="17" spans="1:12" x14ac:dyDescent="0.25">
      <c r="A17" s="325" t="s">
        <v>14</v>
      </c>
      <c r="B17" s="326">
        <f>Balans!B7</f>
        <v>0</v>
      </c>
      <c r="C17" s="326">
        <f>Balans!C7</f>
        <v>0</v>
      </c>
      <c r="D17" s="326">
        <f>Balans!D7</f>
        <v>0</v>
      </c>
      <c r="E17" s="326">
        <f>Balans!E7</f>
        <v>0</v>
      </c>
      <c r="F17" s="326">
        <f>Balans!F7</f>
        <v>0</v>
      </c>
      <c r="G17" s="326">
        <f>Balans!G7</f>
        <v>0</v>
      </c>
      <c r="H17" s="326">
        <f>Balans!H7</f>
        <v>0</v>
      </c>
      <c r="I17" s="326">
        <f>Balans!I7</f>
        <v>0</v>
      </c>
      <c r="J17" s="326">
        <f>Balans!J7</f>
        <v>0</v>
      </c>
      <c r="K17" s="326">
        <f>Balans!K7</f>
        <v>0</v>
      </c>
      <c r="L17" s="330"/>
    </row>
    <row r="18" spans="1:12" x14ac:dyDescent="0.25">
      <c r="A18" s="328" t="s">
        <v>15</v>
      </c>
      <c r="B18" s="329">
        <f>Balans!B8</f>
        <v>0</v>
      </c>
      <c r="C18" s="329">
        <f>Balans!C8</f>
        <v>0</v>
      </c>
      <c r="D18" s="329">
        <f>Balans!D8</f>
        <v>0</v>
      </c>
      <c r="E18" s="329">
        <f>Balans!E8</f>
        <v>0</v>
      </c>
      <c r="F18" s="329">
        <f>Balans!F8</f>
        <v>0</v>
      </c>
      <c r="G18" s="329">
        <f>Balans!G8</f>
        <v>0</v>
      </c>
      <c r="H18" s="329">
        <f>Balans!H8</f>
        <v>0</v>
      </c>
      <c r="I18" s="329">
        <f>Balans!I8</f>
        <v>0</v>
      </c>
      <c r="J18" s="329">
        <f>Balans!J8</f>
        <v>0</v>
      </c>
      <c r="K18" s="329">
        <f>Balans!K8</f>
        <v>0</v>
      </c>
      <c r="L18" s="330"/>
    </row>
    <row r="19" spans="1:12" x14ac:dyDescent="0.25">
      <c r="A19" s="328" t="s">
        <v>16</v>
      </c>
      <c r="B19" s="329">
        <f>Balans!B12</f>
        <v>0</v>
      </c>
      <c r="C19" s="329">
        <f>Balans!C12</f>
        <v>0</v>
      </c>
      <c r="D19" s="329">
        <f>Balans!D12</f>
        <v>0</v>
      </c>
      <c r="E19" s="329">
        <f>Balans!E12</f>
        <v>0</v>
      </c>
      <c r="F19" s="329">
        <f>Balans!F12</f>
        <v>0</v>
      </c>
      <c r="G19" s="329">
        <f>Balans!G12</f>
        <v>0</v>
      </c>
      <c r="H19" s="329">
        <f>Balans!H12</f>
        <v>0</v>
      </c>
      <c r="I19" s="329">
        <f>Balans!I12</f>
        <v>0</v>
      </c>
      <c r="J19" s="329">
        <f>Balans!J12</f>
        <v>0</v>
      </c>
      <c r="K19" s="329">
        <f>Balans!K12</f>
        <v>0</v>
      </c>
      <c r="L19" s="330"/>
    </row>
    <row r="20" spans="1:12" x14ac:dyDescent="0.25">
      <c r="A20" s="328" t="s">
        <v>733</v>
      </c>
      <c r="B20" s="329">
        <f>Balans!B76</f>
        <v>0</v>
      </c>
      <c r="C20" s="329">
        <f>Balans!C76</f>
        <v>0</v>
      </c>
      <c r="D20" s="329">
        <f>Balans!D76</f>
        <v>0</v>
      </c>
      <c r="E20" s="329">
        <f>Balans!E76</f>
        <v>0</v>
      </c>
      <c r="F20" s="329">
        <f>Balans!F76</f>
        <v>0</v>
      </c>
      <c r="G20" s="329">
        <f>Balans!G76</f>
        <v>0</v>
      </c>
      <c r="H20" s="329">
        <f>Balans!H76</f>
        <v>0</v>
      </c>
      <c r="I20" s="329">
        <f>Balans!I76</f>
        <v>0</v>
      </c>
      <c r="J20" s="329">
        <f>Balans!J76</f>
        <v>0</v>
      </c>
      <c r="K20" s="329">
        <f>Balans!K76</f>
        <v>0</v>
      </c>
      <c r="L20" s="330"/>
    </row>
    <row r="21" spans="1:12" x14ac:dyDescent="0.25">
      <c r="A21" s="328" t="s">
        <v>27</v>
      </c>
      <c r="B21" s="329">
        <f>Balans!B38</f>
        <v>0</v>
      </c>
      <c r="C21" s="329">
        <f>Balans!C38</f>
        <v>0</v>
      </c>
      <c r="D21" s="329">
        <f>Balans!D38</f>
        <v>0</v>
      </c>
      <c r="E21" s="329">
        <f>Balans!E38</f>
        <v>0</v>
      </c>
      <c r="F21" s="329">
        <f>Balans!F38</f>
        <v>0</v>
      </c>
      <c r="G21" s="329">
        <f>Balans!G38</f>
        <v>0</v>
      </c>
      <c r="H21" s="329">
        <f>Balans!H38</f>
        <v>0</v>
      </c>
      <c r="I21" s="329">
        <f>Balans!I38</f>
        <v>0</v>
      </c>
      <c r="J21" s="329">
        <f>Balans!J38</f>
        <v>0</v>
      </c>
      <c r="K21" s="329">
        <f>Balans!K38</f>
        <v>0</v>
      </c>
      <c r="L21" s="330"/>
    </row>
    <row r="22" spans="1:12" x14ac:dyDescent="0.25">
      <c r="A22" s="328" t="s">
        <v>734</v>
      </c>
      <c r="B22" s="329">
        <f>Balans!B63</f>
        <v>0</v>
      </c>
      <c r="C22" s="329">
        <f>Balans!C63</f>
        <v>0</v>
      </c>
      <c r="D22" s="329">
        <f>Balans!D63</f>
        <v>0</v>
      </c>
      <c r="E22" s="329">
        <f>Balans!E63</f>
        <v>0</v>
      </c>
      <c r="F22" s="329">
        <f>Balans!F63</f>
        <v>0</v>
      </c>
      <c r="G22" s="329">
        <f>Balans!G63</f>
        <v>0</v>
      </c>
      <c r="H22" s="329">
        <f>Balans!H63</f>
        <v>0</v>
      </c>
      <c r="I22" s="329">
        <f>Balans!I63</f>
        <v>0</v>
      </c>
      <c r="J22" s="329">
        <f>Balans!J63</f>
        <v>0</v>
      </c>
      <c r="K22" s="329">
        <f>Balans!K63</f>
        <v>0</v>
      </c>
      <c r="L22" s="330"/>
    </row>
    <row r="23" spans="1:12" x14ac:dyDescent="0.25">
      <c r="A23" s="332" t="s">
        <v>735</v>
      </c>
      <c r="B23" s="333">
        <f>Balans!B7+Balans!B8+Balans!B12+Balans!B76</f>
        <v>0</v>
      </c>
      <c r="C23" s="333">
        <f>Balans!C7+Balans!C8+Balans!C12+Balans!C76</f>
        <v>0</v>
      </c>
      <c r="D23" s="333">
        <f>Balans!D7+Balans!D8+Balans!D12+Balans!D76</f>
        <v>0</v>
      </c>
      <c r="E23" s="333">
        <f>Balans!E7+Balans!E8+Balans!E12+Balans!E76</f>
        <v>0</v>
      </c>
      <c r="F23" s="333">
        <f>Balans!F7+Balans!F8+Balans!F12+Balans!F76</f>
        <v>0</v>
      </c>
      <c r="G23" s="333">
        <f>Balans!G7+Balans!G8+Balans!G12+Balans!G76</f>
        <v>0</v>
      </c>
      <c r="H23" s="333">
        <f>Balans!H7+Balans!H8+Balans!H12+Balans!H76</f>
        <v>0</v>
      </c>
      <c r="I23" s="333">
        <f>Balans!I7+Balans!I8+Balans!I12+Balans!I76</f>
        <v>0</v>
      </c>
      <c r="J23" s="333">
        <f>Balans!J7+Balans!J8+Balans!J12+Balans!J76</f>
        <v>0</v>
      </c>
      <c r="K23" s="333">
        <f>Balans!K7+Balans!K8+Balans!K12+Balans!K76</f>
        <v>0</v>
      </c>
      <c r="L23" s="334"/>
    </row>
    <row r="24" spans="1:12" x14ac:dyDescent="0.25">
      <c r="A24" s="336"/>
      <c r="B24" s="336"/>
      <c r="C24" s="336"/>
      <c r="D24" s="336"/>
      <c r="E24" s="336"/>
      <c r="F24" s="336"/>
      <c r="G24" s="336"/>
      <c r="H24" s="336"/>
      <c r="I24" s="336"/>
      <c r="J24" s="336"/>
      <c r="K24" s="336"/>
      <c r="L24" s="336"/>
    </row>
    <row r="25" spans="1:12" x14ac:dyDescent="0.25">
      <c r="A25" s="734" t="s">
        <v>736</v>
      </c>
      <c r="B25" s="735">
        <f>B3</f>
        <v>43828</v>
      </c>
      <c r="C25" s="735">
        <f>C3</f>
        <v>44194</v>
      </c>
      <c r="D25" s="735">
        <f>D3</f>
        <v>44560</v>
      </c>
      <c r="E25" s="735">
        <f>E3</f>
        <v>44926</v>
      </c>
      <c r="F25" s="735">
        <f>F3</f>
        <v>45291</v>
      </c>
      <c r="G25" s="736">
        <f>G16</f>
        <v>45656</v>
      </c>
      <c r="H25" s="736">
        <f>H16</f>
        <v>46021</v>
      </c>
      <c r="I25" s="736">
        <f>I16</f>
        <v>46386</v>
      </c>
      <c r="J25" s="736">
        <f>J16</f>
        <v>46751</v>
      </c>
      <c r="K25" s="736">
        <f>K16</f>
        <v>47116</v>
      </c>
      <c r="L25" s="737"/>
    </row>
    <row r="26" spans="1:12" x14ac:dyDescent="0.25">
      <c r="A26" s="325" t="s">
        <v>1046</v>
      </c>
      <c r="B26" s="326">
        <f>B10*(1-0.25)</f>
        <v>0</v>
      </c>
      <c r="C26" s="326">
        <f t="shared" ref="C26:F26" si="3">C10*(1-0.25)</f>
        <v>0</v>
      </c>
      <c r="D26" s="326">
        <f t="shared" si="3"/>
        <v>0</v>
      </c>
      <c r="E26" s="326">
        <f t="shared" si="3"/>
        <v>0</v>
      </c>
      <c r="F26" s="326">
        <f t="shared" si="3"/>
        <v>0</v>
      </c>
      <c r="G26" s="326">
        <f t="shared" ref="G26:J26" si="4">G10*(1-0.3399)</f>
        <v>0</v>
      </c>
      <c r="H26" s="326">
        <f t="shared" si="4"/>
        <v>0</v>
      </c>
      <c r="I26" s="326">
        <f t="shared" si="4"/>
        <v>0</v>
      </c>
      <c r="J26" s="326">
        <f t="shared" si="4"/>
        <v>0</v>
      </c>
      <c r="K26" s="326">
        <f t="shared" ref="K26" si="5">K10*(1-0.3399)</f>
        <v>0</v>
      </c>
      <c r="L26" s="330"/>
    </row>
    <row r="27" spans="1:12" x14ac:dyDescent="0.25">
      <c r="A27" s="328" t="s">
        <v>737</v>
      </c>
      <c r="B27" s="329">
        <f>B26+Resultaten!B29</f>
        <v>0</v>
      </c>
      <c r="C27" s="329">
        <f>C26+Resultaten!C29</f>
        <v>0</v>
      </c>
      <c r="D27" s="329">
        <f>D26+Resultaten!D29</f>
        <v>0</v>
      </c>
      <c r="E27" s="329">
        <f>E26+Resultaten!E29</f>
        <v>0</v>
      </c>
      <c r="F27" s="329">
        <f>F26+Resultaten!F29</f>
        <v>0</v>
      </c>
      <c r="G27" s="329">
        <f>G26+Resultaten!G29</f>
        <v>0</v>
      </c>
      <c r="H27" s="329">
        <f>H26+Resultaten!H29</f>
        <v>0</v>
      </c>
      <c r="I27" s="329">
        <f>I26+Resultaten!I29</f>
        <v>0</v>
      </c>
      <c r="J27" s="329">
        <f>J26+Resultaten!J29</f>
        <v>0</v>
      </c>
      <c r="K27" s="329">
        <f>K26+Resultaten!K29</f>
        <v>0</v>
      </c>
      <c r="L27" s="330"/>
    </row>
    <row r="28" spans="1:12" x14ac:dyDescent="0.25">
      <c r="A28" s="328" t="s">
        <v>738</v>
      </c>
      <c r="B28" s="329">
        <f>(-Historiek!B370+-Historiek!B371)/1000</f>
        <v>0</v>
      </c>
      <c r="C28" s="329">
        <f>(-Historiek!C370+-Historiek!C371)/1000</f>
        <v>0</v>
      </c>
      <c r="D28" s="329">
        <f>(-Historiek!D370+-Historiek!D371)/1000</f>
        <v>0</v>
      </c>
      <c r="E28" s="329">
        <f>(-Historiek!E370+-Historiek!E371)/1000</f>
        <v>0</v>
      </c>
      <c r="F28" s="329">
        <f>(-Historiek!F370+-Historiek!F371)/1000</f>
        <v>0</v>
      </c>
      <c r="G28" s="329">
        <f>(-Historiek!G370+-Historiek!G371)/1000</f>
        <v>0</v>
      </c>
      <c r="H28" s="329">
        <f>(-Historiek!H370+-Historiek!H371)/1000</f>
        <v>0</v>
      </c>
      <c r="I28" s="329">
        <f>(-Historiek!I370+-Historiek!I371)/1000</f>
        <v>0</v>
      </c>
      <c r="J28" s="329">
        <f>(-Historiek!J370+-Historiek!J371)/1000</f>
        <v>0</v>
      </c>
      <c r="K28" s="329">
        <f>(-Historiek!K370+-Historiek!K371)/1000</f>
        <v>0</v>
      </c>
      <c r="L28" s="330">
        <f>(-Historiek!K370+-Historiek!K371)/1000</f>
        <v>0</v>
      </c>
    </row>
    <row r="29" spans="1:12" x14ac:dyDescent="0.25">
      <c r="A29" s="328" t="s">
        <v>739</v>
      </c>
      <c r="B29" s="329"/>
      <c r="C29" s="329">
        <f t="shared" ref="C29:K29" si="6">B20-C20</f>
        <v>0</v>
      </c>
      <c r="D29" s="329">
        <f t="shared" si="6"/>
        <v>0</v>
      </c>
      <c r="E29" s="329">
        <f t="shared" si="6"/>
        <v>0</v>
      </c>
      <c r="F29" s="329">
        <f t="shared" si="6"/>
        <v>0</v>
      </c>
      <c r="G29" s="329">
        <f t="shared" si="6"/>
        <v>0</v>
      </c>
      <c r="H29" s="329">
        <f t="shared" si="6"/>
        <v>0</v>
      </c>
      <c r="I29" s="329">
        <f t="shared" si="6"/>
        <v>0</v>
      </c>
      <c r="J29" s="329">
        <f t="shared" si="6"/>
        <v>0</v>
      </c>
      <c r="K29" s="329">
        <f t="shared" si="6"/>
        <v>0</v>
      </c>
      <c r="L29" s="330"/>
    </row>
    <row r="30" spans="1:12" x14ac:dyDescent="0.25">
      <c r="A30" s="328" t="s">
        <v>740</v>
      </c>
      <c r="B30" s="329"/>
      <c r="C30" s="329">
        <f t="shared" ref="C30:J30" si="7">C27+C28+C29</f>
        <v>0</v>
      </c>
      <c r="D30" s="329">
        <f t="shared" si="7"/>
        <v>0</v>
      </c>
      <c r="E30" s="329">
        <f t="shared" si="7"/>
        <v>0</v>
      </c>
      <c r="F30" s="329">
        <f t="shared" si="7"/>
        <v>0</v>
      </c>
      <c r="G30" s="329">
        <f t="shared" si="7"/>
        <v>0</v>
      </c>
      <c r="H30" s="329">
        <f t="shared" si="7"/>
        <v>0</v>
      </c>
      <c r="I30" s="329">
        <f t="shared" si="7"/>
        <v>0</v>
      </c>
      <c r="J30" s="329">
        <f t="shared" si="7"/>
        <v>0</v>
      </c>
      <c r="K30" s="329">
        <f t="shared" ref="K30" si="8">K27+K28+K29</f>
        <v>0</v>
      </c>
      <c r="L30" s="330"/>
    </row>
    <row r="31" spans="1:12" x14ac:dyDescent="0.25">
      <c r="A31" s="328" t="s">
        <v>741</v>
      </c>
      <c r="B31" s="329">
        <f>Historiek!B359/1000</f>
        <v>0</v>
      </c>
      <c r="C31" s="329">
        <f>Historiek!C359/1000</f>
        <v>0</v>
      </c>
      <c r="D31" s="329">
        <f>Historiek!D359/1000</f>
        <v>0</v>
      </c>
      <c r="E31" s="329">
        <f>Historiek!E359/1000</f>
        <v>0</v>
      </c>
      <c r="F31" s="329">
        <f>Historiek!F359/1000</f>
        <v>0</v>
      </c>
      <c r="G31" s="329">
        <f>Historiek!G359/1000</f>
        <v>0</v>
      </c>
      <c r="H31" s="329">
        <f>Historiek!H359/1000</f>
        <v>0</v>
      </c>
      <c r="I31" s="329">
        <f>Historiek!I359/1000</f>
        <v>0</v>
      </c>
      <c r="J31" s="329">
        <f>Historiek!J359/1000</f>
        <v>0</v>
      </c>
      <c r="K31" s="329">
        <f>Historiek!K359/1000</f>
        <v>0</v>
      </c>
      <c r="L31" s="330"/>
    </row>
    <row r="32" spans="1:12" x14ac:dyDescent="0.25">
      <c r="A32" s="332" t="s">
        <v>742</v>
      </c>
      <c r="B32" s="333">
        <f>-Historiek!B373/1000</f>
        <v>0</v>
      </c>
      <c r="C32" s="333">
        <f>-Historiek!C373/1000</f>
        <v>0</v>
      </c>
      <c r="D32" s="333">
        <f>-Historiek!D373/1000</f>
        <v>0</v>
      </c>
      <c r="E32" s="333">
        <f>-Historiek!E373/1000</f>
        <v>0</v>
      </c>
      <c r="F32" s="333">
        <f>-Historiek!F373/1000</f>
        <v>0</v>
      </c>
      <c r="G32" s="333">
        <f>-Historiek!G373/1000</f>
        <v>0</v>
      </c>
      <c r="H32" s="333">
        <f>-Historiek!H373/1000</f>
        <v>0</v>
      </c>
      <c r="I32" s="333">
        <f>-Historiek!I373/1000</f>
        <v>0</v>
      </c>
      <c r="J32" s="333">
        <f>-Historiek!J373/1000</f>
        <v>0</v>
      </c>
      <c r="K32" s="333">
        <f>-Historiek!K373/1000</f>
        <v>0</v>
      </c>
      <c r="L32" s="334"/>
    </row>
    <row r="33" spans="1:25" x14ac:dyDescent="0.25">
      <c r="A33" s="336"/>
      <c r="B33" s="336"/>
      <c r="C33" s="336"/>
      <c r="D33" s="336"/>
      <c r="E33" s="336"/>
      <c r="F33" s="336"/>
      <c r="G33" s="336"/>
      <c r="H33" s="336"/>
      <c r="I33" s="336"/>
      <c r="J33" s="336"/>
      <c r="K33" s="336"/>
      <c r="L33" s="336"/>
    </row>
    <row r="34" spans="1:25" x14ac:dyDescent="0.25">
      <c r="A34" s="734" t="s">
        <v>743</v>
      </c>
      <c r="B34" s="735">
        <f>B3</f>
        <v>43828</v>
      </c>
      <c r="C34" s="735">
        <f>C3</f>
        <v>44194</v>
      </c>
      <c r="D34" s="735">
        <f>D3</f>
        <v>44560</v>
      </c>
      <c r="E34" s="735">
        <f>E3</f>
        <v>44926</v>
      </c>
      <c r="F34" s="735">
        <f>F3</f>
        <v>45291</v>
      </c>
      <c r="G34" s="736">
        <f>G25</f>
        <v>45656</v>
      </c>
      <c r="H34" s="736">
        <f>H25</f>
        <v>46021</v>
      </c>
      <c r="I34" s="736">
        <f>I25</f>
        <v>46386</v>
      </c>
      <c r="J34" s="736">
        <f>J25</f>
        <v>46751</v>
      </c>
      <c r="K34" s="736">
        <f>K25</f>
        <v>47116</v>
      </c>
      <c r="L34" s="737"/>
    </row>
    <row r="35" spans="1:25" x14ac:dyDescent="0.25">
      <c r="A35" s="328" t="s">
        <v>744</v>
      </c>
      <c r="B35" s="331" t="str">
        <f t="shared" ref="B35:J35" si="9">IF(B21=0,"",B12/B21)</f>
        <v/>
      </c>
      <c r="C35" s="331" t="str">
        <f t="shared" si="9"/>
        <v/>
      </c>
      <c r="D35" s="331" t="str">
        <f t="shared" si="9"/>
        <v/>
      </c>
      <c r="E35" s="331" t="str">
        <f t="shared" si="9"/>
        <v/>
      </c>
      <c r="F35" s="331" t="str">
        <f t="shared" si="9"/>
        <v/>
      </c>
      <c r="G35" s="331" t="str">
        <f t="shared" si="9"/>
        <v/>
      </c>
      <c r="H35" s="331" t="str">
        <f t="shared" si="9"/>
        <v/>
      </c>
      <c r="I35" s="331" t="str">
        <f t="shared" si="9"/>
        <v/>
      </c>
      <c r="J35" s="331" t="str">
        <f t="shared" si="9"/>
        <v/>
      </c>
      <c r="K35" s="331" t="str">
        <f t="shared" ref="K35" si="10">IF(K21=0,"",K12/K21)</f>
        <v/>
      </c>
      <c r="L35" s="337"/>
    </row>
    <row r="36" spans="1:25" x14ac:dyDescent="0.25">
      <c r="A36" s="328" t="s">
        <v>745</v>
      </c>
      <c r="B36" s="338" t="str">
        <f t="shared" ref="B36:J36" si="11">IF(B23=0,"",B26/B23)</f>
        <v/>
      </c>
      <c r="C36" s="338" t="str">
        <f t="shared" si="11"/>
        <v/>
      </c>
      <c r="D36" s="338" t="str">
        <f t="shared" si="11"/>
        <v/>
      </c>
      <c r="E36" s="338" t="str">
        <f t="shared" si="11"/>
        <v/>
      </c>
      <c r="F36" s="338" t="str">
        <f t="shared" si="11"/>
        <v/>
      </c>
      <c r="G36" s="338" t="str">
        <f t="shared" si="11"/>
        <v/>
      </c>
      <c r="H36" s="338" t="str">
        <f t="shared" si="11"/>
        <v/>
      </c>
      <c r="I36" s="338" t="str">
        <f t="shared" si="11"/>
        <v/>
      </c>
      <c r="J36" s="338" t="str">
        <f t="shared" si="11"/>
        <v/>
      </c>
      <c r="K36" s="338" t="str">
        <f t="shared" ref="K36" si="12">IF(K23=0,"",K26/K23)</f>
        <v/>
      </c>
      <c r="L36" s="330"/>
      <c r="O36" s="320"/>
      <c r="P36" s="339"/>
      <c r="Q36" s="339"/>
      <c r="R36" s="339"/>
      <c r="S36" s="339"/>
      <c r="T36" s="339"/>
      <c r="U36" s="339"/>
      <c r="V36" s="339"/>
      <c r="W36" s="339"/>
      <c r="X36" s="339"/>
      <c r="Y36" s="339"/>
    </row>
    <row r="37" spans="1:25" x14ac:dyDescent="0.25">
      <c r="A37" s="328" t="s">
        <v>746</v>
      </c>
      <c r="B37" s="340">
        <f>Balans!B64</f>
        <v>0</v>
      </c>
      <c r="C37" s="340">
        <f>Balans!C64</f>
        <v>0</v>
      </c>
      <c r="D37" s="340">
        <f>Balans!D64</f>
        <v>0</v>
      </c>
      <c r="E37" s="340">
        <f>Balans!E64</f>
        <v>0</v>
      </c>
      <c r="F37" s="340">
        <f>Balans!F64</f>
        <v>0</v>
      </c>
      <c r="G37" s="340">
        <f>Balans!G64</f>
        <v>0</v>
      </c>
      <c r="H37" s="340">
        <f>Balans!H64</f>
        <v>0</v>
      </c>
      <c r="I37" s="340">
        <f>Balans!I64</f>
        <v>0</v>
      </c>
      <c r="J37" s="340">
        <f>Balans!J64</f>
        <v>0</v>
      </c>
      <c r="K37" s="340">
        <f>Balans!K64</f>
        <v>0</v>
      </c>
      <c r="L37" s="330"/>
      <c r="O37" s="320"/>
      <c r="P37" s="339"/>
      <c r="Q37" s="339"/>
      <c r="R37" s="339"/>
      <c r="S37" s="339"/>
      <c r="T37" s="339"/>
      <c r="U37" s="339"/>
      <c r="V37" s="339"/>
      <c r="W37" s="339"/>
      <c r="X37" s="339"/>
      <c r="Y37" s="339"/>
    </row>
    <row r="38" spans="1:25" x14ac:dyDescent="0.25">
      <c r="A38" s="328" t="s">
        <v>747</v>
      </c>
      <c r="B38" s="341" t="str">
        <f>IF(B22&lt;0,"",IF(Resultaten!B34=0,"",B10/Resultaten!B34))</f>
        <v/>
      </c>
      <c r="C38" s="341" t="str">
        <f>IF(C22&lt;0,"",IF(Resultaten!C34=0,"",C10/Resultaten!C34))</f>
        <v/>
      </c>
      <c r="D38" s="341" t="str">
        <f>IF(D22&lt;0,"",IF(Resultaten!D34=0,"",D10/Resultaten!D34))</f>
        <v/>
      </c>
      <c r="E38" s="341" t="str">
        <f>IF(E22&lt;0,"",IF(Resultaten!E34=0,"",E10/Resultaten!E34))</f>
        <v/>
      </c>
      <c r="F38" s="341" t="str">
        <f>IF(F22&lt;0,"",IF(Resultaten!F34=0,"",F10/Resultaten!F34))</f>
        <v/>
      </c>
      <c r="G38" s="341" t="str">
        <f>IF(G22&lt;0,"",IF(Resultaten!G34=0,"",G10/Resultaten!G34))</f>
        <v/>
      </c>
      <c r="H38" s="341" t="str">
        <f>IF(H22&lt;0,"",IF(Resultaten!H34=0,"",H10/Resultaten!H34))</f>
        <v/>
      </c>
      <c r="I38" s="341" t="str">
        <f>IF(I22&lt;0,"",IF(Resultaten!I34=0,"",I10/Resultaten!I34))</f>
        <v/>
      </c>
      <c r="J38" s="341" t="str">
        <f>IF(J22&lt;0,"",IF(Resultaten!J34=0,"",J10/Resultaten!J34))</f>
        <v/>
      </c>
      <c r="K38" s="341" t="str">
        <f>IF(K22&lt;0,"",IF(Resultaten!K34=0,"",K10/Resultaten!K34))</f>
        <v/>
      </c>
      <c r="L38" s="330"/>
    </row>
    <row r="39" spans="1:25" x14ac:dyDescent="0.25">
      <c r="A39" s="336" t="s">
        <v>748</v>
      </c>
      <c r="B39" s="342">
        <f>IF(B22&lt;0,"",Balans!B65)</f>
        <v>0</v>
      </c>
      <c r="C39" s="342">
        <f>IF(C22&lt;0,"",Balans!C65)</f>
        <v>0</v>
      </c>
      <c r="D39" s="342">
        <f>IF(D22&lt;0,"",Balans!D65)</f>
        <v>0</v>
      </c>
      <c r="E39" s="342">
        <f>IF(E22&lt;0,"",Balans!E65)</f>
        <v>0</v>
      </c>
      <c r="F39" s="342">
        <f>IF(F22&lt;0,"",Balans!F65)</f>
        <v>0</v>
      </c>
      <c r="G39" s="342">
        <f>IF(G22&lt;0,"",Balans!G65)</f>
        <v>0</v>
      </c>
      <c r="H39" s="342">
        <f>IF(H22&lt;0,"",Balans!H65)</f>
        <v>0</v>
      </c>
      <c r="I39" s="342">
        <f>IF(I22&lt;0,"",Balans!I65)</f>
        <v>0</v>
      </c>
      <c r="J39" s="342">
        <f>IF(J22&lt;0,"",Balans!J65)</f>
        <v>0</v>
      </c>
      <c r="K39" s="342">
        <f>IF(K22&lt;0,"",Balans!K65)</f>
        <v>0</v>
      </c>
      <c r="L39" s="330"/>
    </row>
    <row r="40" spans="1:25" x14ac:dyDescent="0.25">
      <c r="A40" s="328" t="s">
        <v>749</v>
      </c>
      <c r="B40" s="329">
        <f>Balans!B75</f>
        <v>0</v>
      </c>
      <c r="C40" s="329">
        <f>Balans!C75</f>
        <v>0</v>
      </c>
      <c r="D40" s="329">
        <f>Balans!D75</f>
        <v>0</v>
      </c>
      <c r="E40" s="329">
        <f>Balans!E75</f>
        <v>0</v>
      </c>
      <c r="F40" s="329">
        <f>Balans!F75</f>
        <v>0</v>
      </c>
      <c r="G40" s="329">
        <f>Balans!G75</f>
        <v>0</v>
      </c>
      <c r="H40" s="329">
        <f>Balans!H75</f>
        <v>0</v>
      </c>
      <c r="I40" s="329">
        <f>Balans!I75</f>
        <v>0</v>
      </c>
      <c r="J40" s="329">
        <f>Balans!J75</f>
        <v>0</v>
      </c>
      <c r="K40" s="329">
        <f>Balans!K75</f>
        <v>0</v>
      </c>
      <c r="L40" s="330"/>
    </row>
    <row r="41" spans="1:25" x14ac:dyDescent="0.25">
      <c r="A41" s="332" t="s">
        <v>750</v>
      </c>
      <c r="B41" s="343" t="str">
        <f>IF(Balans!B28=0,"",(Balans!B38+Balans!B44-Balans!B7-Balans!B6)/(Balans!B28-Balans!B7-Balans!B6))</f>
        <v/>
      </c>
      <c r="C41" s="343" t="str">
        <f>IF(Balans!C28=0,"",(Balans!C38+Balans!C43-Balans!C7-Balans!C6)/(Balans!C28-Balans!C7-Balans!C6))</f>
        <v/>
      </c>
      <c r="D41" s="343" t="str">
        <f>IF(Balans!D28=0,"",(Balans!D38+Balans!D43-Balans!D7-Balans!D6)/(Balans!D28-Balans!D7-Balans!D6))</f>
        <v/>
      </c>
      <c r="E41" s="343" t="str">
        <f>IF(Balans!E28=0,"",(Balans!E38+Balans!E43-Balans!E7-Balans!E6)/(Balans!E28-Balans!E7-Balans!E6))</f>
        <v/>
      </c>
      <c r="F41" s="343" t="str">
        <f>IF(Balans!F28=0,"",(Balans!F38+Balans!F43-Balans!F7-Balans!F6)/(Balans!F28-Balans!F7-Balans!F6))</f>
        <v/>
      </c>
      <c r="G41" s="343" t="str">
        <f>IF(Balans!G28=0,"",(Balans!G38+Balans!G43-Balans!G7-Balans!G6)/(Balans!G28-Balans!G7-Balans!G6))</f>
        <v/>
      </c>
      <c r="H41" s="343" t="str">
        <f>IF(Balans!H28=0,"",(Balans!H38+Balans!H43-Balans!H7-Balans!H6)/(Balans!H28-Balans!H7-Balans!H6))</f>
        <v/>
      </c>
      <c r="I41" s="343" t="str">
        <f>IF(Balans!I28=0,"",(Balans!I38+Balans!I43-Balans!I7-Balans!I6)/(Balans!I28-Balans!I7-Balans!I6))</f>
        <v/>
      </c>
      <c r="J41" s="343" t="str">
        <f>IF(Balans!J28=0,"",(Balans!J38+Balans!J43-Balans!J7-Balans!J6)/(Balans!J28-Balans!J7-Balans!J6))</f>
        <v/>
      </c>
      <c r="K41" s="343" t="str">
        <f>IF(Balans!K28=0,"",(Balans!K38+Balans!K43-Balans!K7-Balans!K6)/(Balans!K28-Balans!K7-Balans!K6))</f>
        <v/>
      </c>
      <c r="L41" s="334"/>
    </row>
    <row r="42" spans="1:25" x14ac:dyDescent="0.25">
      <c r="A42" s="336"/>
      <c r="B42" s="336"/>
      <c r="C42" s="336"/>
      <c r="D42" s="336"/>
      <c r="E42" s="336"/>
      <c r="F42" s="336"/>
      <c r="G42" s="336"/>
      <c r="H42" s="336"/>
      <c r="I42" s="336"/>
      <c r="J42" s="336"/>
      <c r="K42" s="336"/>
      <c r="L42" s="336"/>
    </row>
    <row r="43" spans="1:25" x14ac:dyDescent="0.25">
      <c r="A43" s="734" t="s">
        <v>751</v>
      </c>
      <c r="B43" s="735">
        <f>B3</f>
        <v>43828</v>
      </c>
      <c r="C43" s="735">
        <f>C3</f>
        <v>44194</v>
      </c>
      <c r="D43" s="735">
        <f>D3</f>
        <v>44560</v>
      </c>
      <c r="E43" s="735">
        <f>E3</f>
        <v>44926</v>
      </c>
      <c r="F43" s="735">
        <f>F3</f>
        <v>45291</v>
      </c>
      <c r="G43" s="736">
        <f>G34</f>
        <v>45656</v>
      </c>
      <c r="H43" s="736">
        <f>H34</f>
        <v>46021</v>
      </c>
      <c r="I43" s="736">
        <f>I34</f>
        <v>46386</v>
      </c>
      <c r="J43" s="736">
        <f>J34</f>
        <v>46751</v>
      </c>
      <c r="K43" s="736">
        <f>K34</f>
        <v>47116</v>
      </c>
      <c r="L43" s="737"/>
    </row>
    <row r="44" spans="1:25" x14ac:dyDescent="0.25">
      <c r="A44" s="328" t="s">
        <v>19</v>
      </c>
      <c r="B44" s="329">
        <f>Balans!B19</f>
        <v>0</v>
      </c>
      <c r="C44" s="329">
        <f>Balans!C19</f>
        <v>0</v>
      </c>
      <c r="D44" s="329">
        <f>Balans!D19</f>
        <v>0</v>
      </c>
      <c r="E44" s="329">
        <f>Balans!E19</f>
        <v>0</v>
      </c>
      <c r="F44" s="329">
        <f>Balans!F19</f>
        <v>0</v>
      </c>
      <c r="G44" s="329">
        <f>Balans!G19</f>
        <v>0</v>
      </c>
      <c r="H44" s="329">
        <f>Balans!H19</f>
        <v>0</v>
      </c>
      <c r="I44" s="329">
        <f>Balans!I19</f>
        <v>0</v>
      </c>
      <c r="J44" s="329">
        <f>Balans!J19</f>
        <v>0</v>
      </c>
      <c r="K44" s="329">
        <f>Balans!K19</f>
        <v>0</v>
      </c>
      <c r="L44" s="330"/>
    </row>
    <row r="45" spans="1:25" x14ac:dyDescent="0.25">
      <c r="A45" s="328" t="s">
        <v>752</v>
      </c>
      <c r="B45" s="329">
        <f>Balans!B23</f>
        <v>0</v>
      </c>
      <c r="C45" s="329">
        <f>Balans!C23</f>
        <v>0</v>
      </c>
      <c r="D45" s="329">
        <f>Balans!D23</f>
        <v>0</v>
      </c>
      <c r="E45" s="329">
        <f>Balans!E23</f>
        <v>0</v>
      </c>
      <c r="F45" s="329">
        <f>Balans!F23</f>
        <v>0</v>
      </c>
      <c r="G45" s="329">
        <f>Balans!G23</f>
        <v>0</v>
      </c>
      <c r="H45" s="329">
        <f>Balans!H23</f>
        <v>0</v>
      </c>
      <c r="I45" s="329">
        <f>Balans!I23</f>
        <v>0</v>
      </c>
      <c r="J45" s="329">
        <f>Balans!J23</f>
        <v>0</v>
      </c>
      <c r="K45" s="329">
        <f>Balans!K23</f>
        <v>0</v>
      </c>
      <c r="L45" s="330"/>
    </row>
    <row r="46" spans="1:25" x14ac:dyDescent="0.25">
      <c r="A46" s="328" t="s">
        <v>753</v>
      </c>
      <c r="B46" s="329">
        <f>(Resultaten!B14+Resultaten!B21+Resultaten!B22)/12</f>
        <v>0</v>
      </c>
      <c r="C46" s="329">
        <f>(Resultaten!C14+Resultaten!C21+Resultaten!C22)/12</f>
        <v>0</v>
      </c>
      <c r="D46" s="329">
        <f>(Resultaten!D14+Resultaten!D21+Resultaten!D22)/12</f>
        <v>0</v>
      </c>
      <c r="E46" s="329">
        <f>(Resultaten!E14+Resultaten!E21+Resultaten!E22)/12</f>
        <v>0</v>
      </c>
      <c r="F46" s="329">
        <f>(Resultaten!F14+Resultaten!F21+Resultaten!F22)/12</f>
        <v>0</v>
      </c>
      <c r="G46" s="329">
        <f>(Resultaten!G14+Resultaten!G21+Resultaten!G22)/12</f>
        <v>0</v>
      </c>
      <c r="H46" s="329">
        <f>(Resultaten!H14+Resultaten!H21+Resultaten!H22)/12</f>
        <v>0</v>
      </c>
      <c r="I46" s="329">
        <f>(Resultaten!I14+Resultaten!I21+Resultaten!I22)/12</f>
        <v>0</v>
      </c>
      <c r="J46" s="329">
        <f>(Resultaten!J14+Resultaten!J21+Resultaten!J22)/12</f>
        <v>0</v>
      </c>
      <c r="K46" s="329">
        <f>(Resultaten!K14+Resultaten!K21+Resultaten!K22)/12</f>
        <v>0</v>
      </c>
      <c r="L46" s="330"/>
    </row>
    <row r="47" spans="1:25" x14ac:dyDescent="0.25">
      <c r="A47" s="332" t="s">
        <v>754</v>
      </c>
      <c r="B47" s="333">
        <f>Historiek!B302/1000</f>
        <v>0</v>
      </c>
      <c r="C47" s="333">
        <f>Historiek!C302/1000</f>
        <v>0</v>
      </c>
      <c r="D47" s="333">
        <f>Historiek!D302/1000</f>
        <v>0</v>
      </c>
      <c r="E47" s="333">
        <f>Historiek!E302/1000</f>
        <v>0</v>
      </c>
      <c r="F47" s="333">
        <f>Historiek!F302/1000</f>
        <v>0</v>
      </c>
      <c r="G47" s="333">
        <f>Historiek!G302/1000</f>
        <v>0</v>
      </c>
      <c r="H47" s="333">
        <f>Historiek!H302/1000</f>
        <v>0</v>
      </c>
      <c r="I47" s="333">
        <f>Historiek!I302/1000</f>
        <v>0</v>
      </c>
      <c r="J47" s="333">
        <f>Historiek!J302/1000</f>
        <v>0</v>
      </c>
      <c r="K47" s="333">
        <f>Historiek!K302/1000</f>
        <v>0</v>
      </c>
      <c r="L47" s="334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7C60B-321A-4259-B65C-981FC51AD087}">
  <sheetPr>
    <tabColor theme="1"/>
  </sheetPr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242EF-E533-4BAD-ACCB-BD6B6EEBEBF2}">
  <sheetPr>
    <tabColor theme="4" tint="0.59999389629810485"/>
    <pageSetUpPr autoPageBreaks="0"/>
  </sheetPr>
  <dimension ref="A1:CJ145"/>
  <sheetViews>
    <sheetView showGridLines="0" workbookViewId="0"/>
  </sheetViews>
  <sheetFormatPr defaultColWidth="0" defaultRowHeight="13.2" outlineLevelRow="1" x14ac:dyDescent="0.25"/>
  <cols>
    <col min="1" max="1" width="9.109375" style="405" customWidth="1"/>
    <col min="2" max="2" width="9.109375" style="2" customWidth="1"/>
    <col min="3" max="3" width="38.44140625" style="2" customWidth="1"/>
    <col min="4" max="5" width="9.33203125" style="2" customWidth="1" collapsed="1"/>
    <col min="6" max="6" width="9.33203125" style="12" customWidth="1"/>
    <col min="7" max="67" width="9.33203125" style="2" customWidth="1"/>
    <col min="68" max="88" width="0" style="2" hidden="1" customWidth="1"/>
    <col min="89" max="16384" width="9.109375" style="2" hidden="1"/>
  </cols>
  <sheetData>
    <row r="1" spans="1:66" x14ac:dyDescent="0.25">
      <c r="A1" s="1">
        <f>SUM(A2:A204)</f>
        <v>0</v>
      </c>
    </row>
    <row r="3" spans="1:66" outlineLevel="1" x14ac:dyDescent="0.25">
      <c r="C3" s="24" t="s">
        <v>854</v>
      </c>
    </row>
    <row r="4" spans="1:66" outlineLevel="1" x14ac:dyDescent="0.25">
      <c r="C4" s="738" t="s">
        <v>6</v>
      </c>
      <c r="D4" s="739" t="str">
        <f>"FY"&amp;RIGHT(YEAR(Historiek!D7),2)</f>
        <v>FY21</v>
      </c>
      <c r="E4" s="739" t="str">
        <f>"FY"&amp;RIGHT(YEAR(Historiek!E7),2)</f>
        <v>FY22</v>
      </c>
      <c r="F4" s="740" t="str">
        <f>"FY"&amp;RIGHT(YEAR(Historiek!F7),2)</f>
        <v>FY23</v>
      </c>
      <c r="G4" s="741" t="str">
        <f>"Jan'"&amp;(RIGHT($F$6,2)+1)</f>
        <v>Jan'24</v>
      </c>
      <c r="H4" s="741" t="str">
        <f>"Feb'"&amp;(RIGHT($F$6,2)+1)</f>
        <v>Feb'24</v>
      </c>
      <c r="I4" s="741" t="str">
        <f>"Mrt'"&amp;(RIGHT($F$6,2)+1)</f>
        <v>Mrt'24</v>
      </c>
      <c r="J4" s="741" t="str">
        <f>"Apr'"&amp;(RIGHT($F$6,2)+1)</f>
        <v>Apr'24</v>
      </c>
      <c r="K4" s="741" t="str">
        <f>"Mei'"&amp;(RIGHT($F$6,2)+1)</f>
        <v>Mei'24</v>
      </c>
      <c r="L4" s="741" t="str">
        <f>"Jun'"&amp;(RIGHT($F$6,2)+1)</f>
        <v>Jun'24</v>
      </c>
      <c r="M4" s="741" t="str">
        <f>"Jul'"&amp;(RIGHT($F$6,2)+1)</f>
        <v>Jul'24</v>
      </c>
      <c r="N4" s="741" t="str">
        <f>"Aug'"&amp;(RIGHT($F$6,2)+1)</f>
        <v>Aug'24</v>
      </c>
      <c r="O4" s="741" t="str">
        <f>"Sep'"&amp;(RIGHT($F$6,2)+1)</f>
        <v>Sep'24</v>
      </c>
      <c r="P4" s="741" t="str">
        <f>"Okt'"&amp;(RIGHT($F$6,2)+1)</f>
        <v>Okt'24</v>
      </c>
      <c r="Q4" s="741" t="str">
        <f>"Nov'"&amp;(RIGHT($F$6,2)+1)</f>
        <v>Nov'24</v>
      </c>
      <c r="R4" s="741" t="str">
        <f>"Dec'"&amp;(RIGHT($F$6,2)+1)</f>
        <v>Dec'24</v>
      </c>
      <c r="S4" s="741" t="str">
        <f>"Jan'"&amp;(RIGHT($F$6,2)+2)</f>
        <v>Jan'25</v>
      </c>
      <c r="T4" s="741" t="str">
        <f>"Feb'"&amp;(RIGHT($F$6,2)+2)</f>
        <v>Feb'25</v>
      </c>
      <c r="U4" s="741" t="str">
        <f>"Mrt'"&amp;(RIGHT($F$6,2)+2)</f>
        <v>Mrt'25</v>
      </c>
      <c r="V4" s="741" t="str">
        <f>"Apr'"&amp;(RIGHT($F$6,2)+2)</f>
        <v>Apr'25</v>
      </c>
      <c r="W4" s="741" t="str">
        <f>"Mei'"&amp;(RIGHT($F$6,2)+2)</f>
        <v>Mei'25</v>
      </c>
      <c r="X4" s="741" t="str">
        <f>"Jun'"&amp;(RIGHT($F$6,2)+2)</f>
        <v>Jun'25</v>
      </c>
      <c r="Y4" s="741" t="str">
        <f>"Jul'"&amp;(RIGHT($F$6,2)+2)</f>
        <v>Jul'25</v>
      </c>
      <c r="Z4" s="741" t="str">
        <f>"Aug'"&amp;(RIGHT($F$6,2)+2)</f>
        <v>Aug'25</v>
      </c>
      <c r="AA4" s="741" t="str">
        <f>"Sep'"&amp;(RIGHT($F$6,2)+2)</f>
        <v>Sep'25</v>
      </c>
      <c r="AB4" s="741" t="str">
        <f>"Okt'"&amp;(RIGHT($F$6,2)+2)</f>
        <v>Okt'25</v>
      </c>
      <c r="AC4" s="741" t="str">
        <f>"Nov'"&amp;(RIGHT($F$6,2)+2)</f>
        <v>Nov'25</v>
      </c>
      <c r="AD4" s="741" t="str">
        <f>"Dec'"&amp;(RIGHT($F$6,2)+2)</f>
        <v>Dec'25</v>
      </c>
      <c r="AE4" s="741" t="str">
        <f>"Jan'"&amp;(RIGHT($F$6,2)+3)</f>
        <v>Jan'26</v>
      </c>
      <c r="AF4" s="741" t="str">
        <f>"Feb'"&amp;(RIGHT($F$6,2)+3)</f>
        <v>Feb'26</v>
      </c>
      <c r="AG4" s="741" t="str">
        <f>"Mrt'"&amp;(RIGHT($F$6,2)+3)</f>
        <v>Mrt'26</v>
      </c>
      <c r="AH4" s="741" t="str">
        <f>"Apr'"&amp;(RIGHT($F$6,2)+3)</f>
        <v>Apr'26</v>
      </c>
      <c r="AI4" s="741" t="str">
        <f>"Mei'"&amp;(RIGHT($F$6,2)+3)</f>
        <v>Mei'26</v>
      </c>
      <c r="AJ4" s="741" t="str">
        <f>"Jun'"&amp;(RIGHT($F$6,2)+3)</f>
        <v>Jun'26</v>
      </c>
      <c r="AK4" s="741" t="str">
        <f>"Jul'"&amp;(RIGHT($F$6,2)+3)</f>
        <v>Jul'26</v>
      </c>
      <c r="AL4" s="741" t="str">
        <f>"Aug'"&amp;(RIGHT($F$6,2)+3)</f>
        <v>Aug'26</v>
      </c>
      <c r="AM4" s="741" t="str">
        <f>"Sep'"&amp;(RIGHT($F$6,2)+3)</f>
        <v>Sep'26</v>
      </c>
      <c r="AN4" s="741" t="str">
        <f>"Okt'"&amp;(RIGHT($F$6,2)+3)</f>
        <v>Okt'26</v>
      </c>
      <c r="AO4" s="741" t="str">
        <f>"Nov'"&amp;(RIGHT($F$6,2)+3)</f>
        <v>Nov'26</v>
      </c>
      <c r="AP4" s="741" t="str">
        <f>"Dec'"&amp;(RIGHT($F$6,2)+3)</f>
        <v>Dec'26</v>
      </c>
      <c r="AQ4" s="741" t="str">
        <f>"Jan'"&amp;(RIGHT($F$6,2)+4)</f>
        <v>Jan'27</v>
      </c>
      <c r="AR4" s="741" t="str">
        <f>"Feb'"&amp;(RIGHT($F$6,2)+4)</f>
        <v>Feb'27</v>
      </c>
      <c r="AS4" s="741" t="str">
        <f>"Mrt'"&amp;(RIGHT($F$6,2)+4)</f>
        <v>Mrt'27</v>
      </c>
      <c r="AT4" s="741" t="str">
        <f>"Apr'"&amp;(RIGHT($F$6,2)+4)</f>
        <v>Apr'27</v>
      </c>
      <c r="AU4" s="741" t="str">
        <f>"Mei'"&amp;(RIGHT($F$6,2)+4)</f>
        <v>Mei'27</v>
      </c>
      <c r="AV4" s="741" t="str">
        <f>"Jun'"&amp;(RIGHT($F$6,2)+4)</f>
        <v>Jun'27</v>
      </c>
      <c r="AW4" s="741" t="str">
        <f>"Jul'"&amp;(RIGHT($F$6,2)+4)</f>
        <v>Jul'27</v>
      </c>
      <c r="AX4" s="741" t="str">
        <f>"Aug'"&amp;(RIGHT($F$6,2)+4)</f>
        <v>Aug'27</v>
      </c>
      <c r="AY4" s="741" t="str">
        <f>"Sep'"&amp;(RIGHT($F$6,2)+4)</f>
        <v>Sep'27</v>
      </c>
      <c r="AZ4" s="741" t="str">
        <f>"Okt'"&amp;(RIGHT($F$6,2)+4)</f>
        <v>Okt'27</v>
      </c>
      <c r="BA4" s="741" t="str">
        <f>"Nov'"&amp;(RIGHT($F$6,2)+4)</f>
        <v>Nov'27</v>
      </c>
      <c r="BB4" s="741" t="str">
        <f>"Dec'"&amp;(RIGHT($F$6,2)+4)</f>
        <v>Dec'27</v>
      </c>
      <c r="BC4" s="741" t="str">
        <f>"Jan'"&amp;(RIGHT($F$6,2)+5)</f>
        <v>Jan'28</v>
      </c>
      <c r="BD4" s="741" t="str">
        <f>"Feb'"&amp;(RIGHT($F$6,2)+5)</f>
        <v>Feb'28</v>
      </c>
      <c r="BE4" s="741" t="str">
        <f>"Mrt'"&amp;(RIGHT($F$6,2)+5)</f>
        <v>Mrt'28</v>
      </c>
      <c r="BF4" s="741" t="str">
        <f>"Apr'"&amp;(RIGHT($F$6,2)+5)</f>
        <v>Apr'28</v>
      </c>
      <c r="BG4" s="741" t="str">
        <f>"Mei'"&amp;(RIGHT($F$6,2)+5)</f>
        <v>Mei'28</v>
      </c>
      <c r="BH4" s="741" t="str">
        <f>"Jun'"&amp;(RIGHT($F$6,2)+5)</f>
        <v>Jun'28</v>
      </c>
      <c r="BI4" s="741" t="str">
        <f>"Jul'"&amp;(RIGHT($F$6,2)+5)</f>
        <v>Jul'28</v>
      </c>
      <c r="BJ4" s="741" t="str">
        <f>"Aug'"&amp;(RIGHT($F$6,2)+5)</f>
        <v>Aug'28</v>
      </c>
      <c r="BK4" s="741" t="str">
        <f>"Sep'"&amp;(RIGHT($F$6,2)+5)</f>
        <v>Sep'28</v>
      </c>
      <c r="BL4" s="741" t="str">
        <f>"Okt'"&amp;(RIGHT($F$6,2)+5)</f>
        <v>Okt'28</v>
      </c>
      <c r="BM4" s="741" t="str">
        <f>"Nov'"&amp;(RIGHT($F$6,2)+5)</f>
        <v>Nov'28</v>
      </c>
      <c r="BN4" s="741" t="str">
        <f>"Dec'"&amp;(RIGHT($F$6,2)+5)</f>
        <v>Dec'28</v>
      </c>
    </row>
    <row r="5" spans="1:66" outlineLevel="1" x14ac:dyDescent="0.25">
      <c r="C5" s="24" t="s">
        <v>855</v>
      </c>
    </row>
    <row r="6" spans="1:66" outlineLevel="1" x14ac:dyDescent="0.25">
      <c r="C6" s="738" t="s">
        <v>6</v>
      </c>
      <c r="D6" s="739" t="str">
        <f>"Dec'"&amp;RIGHT(YEAR(Historiek!D7),2)</f>
        <v>Dec'21</v>
      </c>
      <c r="E6" s="739" t="str">
        <f>"Dec'"&amp;RIGHT(YEAR(Historiek!E7),2)</f>
        <v>Dec'22</v>
      </c>
      <c r="F6" s="740" t="str">
        <f>"Dec'"&amp;RIGHT(YEAR(Historiek!F7),2)</f>
        <v>Dec'23</v>
      </c>
      <c r="G6" s="741" t="str">
        <f>"Jan'"&amp;(RIGHT($F$6,2)+1)</f>
        <v>Jan'24</v>
      </c>
      <c r="H6" s="741" t="str">
        <f>"Feb'"&amp;(RIGHT($F$6,2)+1)</f>
        <v>Feb'24</v>
      </c>
      <c r="I6" s="741" t="str">
        <f>"Mrt'"&amp;(RIGHT($F$6,2)+1)</f>
        <v>Mrt'24</v>
      </c>
      <c r="J6" s="741" t="str">
        <f>"Apr'"&amp;(RIGHT($F$6,2)+1)</f>
        <v>Apr'24</v>
      </c>
      <c r="K6" s="741" t="str">
        <f>"Mei'"&amp;(RIGHT($F$6,2)+1)</f>
        <v>Mei'24</v>
      </c>
      <c r="L6" s="741" t="str">
        <f>"Jun'"&amp;(RIGHT($F$6,2)+1)</f>
        <v>Jun'24</v>
      </c>
      <c r="M6" s="741" t="str">
        <f>"Jul'"&amp;(RIGHT($F$6,2)+1)</f>
        <v>Jul'24</v>
      </c>
      <c r="N6" s="741" t="str">
        <f>"Aug'"&amp;(RIGHT($F$6,2)+1)</f>
        <v>Aug'24</v>
      </c>
      <c r="O6" s="741" t="str">
        <f>"Sep'"&amp;(RIGHT($F$6,2)+1)</f>
        <v>Sep'24</v>
      </c>
      <c r="P6" s="741" t="str">
        <f>"Okt'"&amp;(RIGHT($F$6,2)+1)</f>
        <v>Okt'24</v>
      </c>
      <c r="Q6" s="741" t="str">
        <f>"Nov'"&amp;(RIGHT($F$6,2)+1)</f>
        <v>Nov'24</v>
      </c>
      <c r="R6" s="741" t="str">
        <f>"Dec'"&amp;(RIGHT($F$6,2)+1)</f>
        <v>Dec'24</v>
      </c>
      <c r="S6" s="741" t="str">
        <f>"Jan'"&amp;(RIGHT($F$6,2)+2)</f>
        <v>Jan'25</v>
      </c>
      <c r="T6" s="741" t="str">
        <f>"Feb'"&amp;(RIGHT($F$6,2)+2)</f>
        <v>Feb'25</v>
      </c>
      <c r="U6" s="741" t="str">
        <f>"Mrt'"&amp;(RIGHT($F$6,2)+2)</f>
        <v>Mrt'25</v>
      </c>
      <c r="V6" s="741" t="str">
        <f>"Apr'"&amp;(RIGHT($F$6,2)+2)</f>
        <v>Apr'25</v>
      </c>
      <c r="W6" s="741" t="str">
        <f>"Mei'"&amp;(RIGHT($F$6,2)+2)</f>
        <v>Mei'25</v>
      </c>
      <c r="X6" s="741" t="str">
        <f>"Jun'"&amp;(RIGHT($F$6,2)+2)</f>
        <v>Jun'25</v>
      </c>
      <c r="Y6" s="741" t="str">
        <f>"Jul'"&amp;(RIGHT($F$6,2)+2)</f>
        <v>Jul'25</v>
      </c>
      <c r="Z6" s="741" t="str">
        <f>"Aug'"&amp;(RIGHT($F$6,2)+2)</f>
        <v>Aug'25</v>
      </c>
      <c r="AA6" s="741" t="str">
        <f>"Sep'"&amp;(RIGHT($F$6,2)+2)</f>
        <v>Sep'25</v>
      </c>
      <c r="AB6" s="741" t="str">
        <f>"Okt'"&amp;(RIGHT($F$6,2)+2)</f>
        <v>Okt'25</v>
      </c>
      <c r="AC6" s="741" t="str">
        <f>"Nov'"&amp;(RIGHT($F$6,2)+2)</f>
        <v>Nov'25</v>
      </c>
      <c r="AD6" s="741" t="str">
        <f>"Dec'"&amp;(RIGHT($F$6,2)+2)</f>
        <v>Dec'25</v>
      </c>
      <c r="AE6" s="741" t="str">
        <f>"Jan'"&amp;(RIGHT($F$6,2)+3)</f>
        <v>Jan'26</v>
      </c>
      <c r="AF6" s="741" t="str">
        <f>"Feb'"&amp;(RIGHT($F$6,2)+3)</f>
        <v>Feb'26</v>
      </c>
      <c r="AG6" s="741" t="str">
        <f>"Mrt'"&amp;(RIGHT($F$6,2)+3)</f>
        <v>Mrt'26</v>
      </c>
      <c r="AH6" s="741" t="str">
        <f>"Apr'"&amp;(RIGHT($F$6,2)+3)</f>
        <v>Apr'26</v>
      </c>
      <c r="AI6" s="741" t="str">
        <f>"Mei'"&amp;(RIGHT($F$6,2)+3)</f>
        <v>Mei'26</v>
      </c>
      <c r="AJ6" s="741" t="str">
        <f>"Jun'"&amp;(RIGHT($F$6,2)+3)</f>
        <v>Jun'26</v>
      </c>
      <c r="AK6" s="741" t="str">
        <f>"Jul'"&amp;(RIGHT($F$6,2)+3)</f>
        <v>Jul'26</v>
      </c>
      <c r="AL6" s="741" t="str">
        <f>"Aug'"&amp;(RIGHT($F$6,2)+3)</f>
        <v>Aug'26</v>
      </c>
      <c r="AM6" s="741" t="str">
        <f>"Sep'"&amp;(RIGHT($F$6,2)+3)</f>
        <v>Sep'26</v>
      </c>
      <c r="AN6" s="741" t="str">
        <f>"Okt'"&amp;(RIGHT($F$6,2)+3)</f>
        <v>Okt'26</v>
      </c>
      <c r="AO6" s="741" t="str">
        <f>"Nov'"&amp;(RIGHT($F$6,2)+3)</f>
        <v>Nov'26</v>
      </c>
      <c r="AP6" s="741" t="str">
        <f>"Dec'"&amp;(RIGHT($F$6,2)+3)</f>
        <v>Dec'26</v>
      </c>
      <c r="AQ6" s="741" t="str">
        <f>"Jan'"&amp;(RIGHT($F$6,2)+4)</f>
        <v>Jan'27</v>
      </c>
      <c r="AR6" s="741" t="str">
        <f>"Feb'"&amp;(RIGHT($F$6,2)+4)</f>
        <v>Feb'27</v>
      </c>
      <c r="AS6" s="741" t="str">
        <f>"Mrt'"&amp;(RIGHT($F$6,2)+4)</f>
        <v>Mrt'27</v>
      </c>
      <c r="AT6" s="741" t="str">
        <f>"Apr'"&amp;(RIGHT($F$6,2)+4)</f>
        <v>Apr'27</v>
      </c>
      <c r="AU6" s="741" t="str">
        <f>"Mei'"&amp;(RIGHT($F$6,2)+4)</f>
        <v>Mei'27</v>
      </c>
      <c r="AV6" s="741" t="str">
        <f>"Jun'"&amp;(RIGHT($F$6,2)+4)</f>
        <v>Jun'27</v>
      </c>
      <c r="AW6" s="741" t="str">
        <f>"Jul'"&amp;(RIGHT($F$6,2)+4)</f>
        <v>Jul'27</v>
      </c>
      <c r="AX6" s="741" t="str">
        <f>"Aug'"&amp;(RIGHT($F$6,2)+4)</f>
        <v>Aug'27</v>
      </c>
      <c r="AY6" s="741" t="str">
        <f>"Sep'"&amp;(RIGHT($F$6,2)+4)</f>
        <v>Sep'27</v>
      </c>
      <c r="AZ6" s="741" t="str">
        <f>"Okt'"&amp;(RIGHT($F$6,2)+4)</f>
        <v>Okt'27</v>
      </c>
      <c r="BA6" s="741" t="str">
        <f>"Nov'"&amp;(RIGHT($F$6,2)+4)</f>
        <v>Nov'27</v>
      </c>
      <c r="BB6" s="741" t="str">
        <f>"Dec'"&amp;(RIGHT($F$6,2)+4)</f>
        <v>Dec'27</v>
      </c>
      <c r="BC6" s="741" t="str">
        <f>"Jan'"&amp;(RIGHT($F$6,2)+5)</f>
        <v>Jan'28</v>
      </c>
      <c r="BD6" s="741" t="str">
        <f>"Feb'"&amp;(RIGHT($F$6,2)+5)</f>
        <v>Feb'28</v>
      </c>
      <c r="BE6" s="741" t="str">
        <f>"Mrt'"&amp;(RIGHT($F$6,2)+5)</f>
        <v>Mrt'28</v>
      </c>
      <c r="BF6" s="741" t="str">
        <f>"Apr'"&amp;(RIGHT($F$6,2)+5)</f>
        <v>Apr'28</v>
      </c>
      <c r="BG6" s="741" t="str">
        <f>"Mei'"&amp;(RIGHT($F$6,2)+5)</f>
        <v>Mei'28</v>
      </c>
      <c r="BH6" s="741" t="str">
        <f>"Jun'"&amp;(RIGHT($F$6,2)+5)</f>
        <v>Jun'28</v>
      </c>
      <c r="BI6" s="741" t="str">
        <f>"Jul'"&amp;(RIGHT($F$6,2)+5)</f>
        <v>Jul'28</v>
      </c>
      <c r="BJ6" s="741" t="str">
        <f>"Aug'"&amp;(RIGHT($F$6,2)+5)</f>
        <v>Aug'28</v>
      </c>
      <c r="BK6" s="741" t="str">
        <f>"Sep'"&amp;(RIGHT($F$6,2)+5)</f>
        <v>Sep'28</v>
      </c>
      <c r="BL6" s="741" t="str">
        <f>"Okt'"&amp;(RIGHT($F$6,2)+5)</f>
        <v>Okt'28</v>
      </c>
      <c r="BM6" s="741" t="str">
        <f>"Nov'"&amp;(RIGHT($F$6,2)+5)</f>
        <v>Nov'28</v>
      </c>
      <c r="BN6" s="741" t="str">
        <f>"Dec'"&amp;(RIGHT($F$6,2)+5)</f>
        <v>Dec'28</v>
      </c>
    </row>
    <row r="8" spans="1:66" x14ac:dyDescent="0.25">
      <c r="C8" s="406" t="str">
        <f>"Balans - "&amp;Historiek!$A$2&amp;" - Activa"</f>
        <v>Balans - Dossier - Activa</v>
      </c>
      <c r="D8" s="407"/>
      <c r="E8" s="407"/>
      <c r="F8" s="13"/>
    </row>
    <row r="9" spans="1:66" s="409" customFormat="1" ht="14.1" customHeight="1" x14ac:dyDescent="0.3">
      <c r="A9" s="408"/>
      <c r="C9" s="738" t="str">
        <f>C$6</f>
        <v>k€</v>
      </c>
      <c r="D9" s="742" t="str">
        <f t="shared" ref="D9:BN9" si="0">D$6</f>
        <v>Dec'21</v>
      </c>
      <c r="E9" s="742" t="str">
        <f t="shared" si="0"/>
        <v>Dec'22</v>
      </c>
      <c r="F9" s="740" t="str">
        <f t="shared" si="0"/>
        <v>Dec'23</v>
      </c>
      <c r="G9" s="741" t="str">
        <f t="shared" si="0"/>
        <v>Jan'24</v>
      </c>
      <c r="H9" s="741" t="str">
        <f t="shared" si="0"/>
        <v>Feb'24</v>
      </c>
      <c r="I9" s="741" t="str">
        <f t="shared" si="0"/>
        <v>Mrt'24</v>
      </c>
      <c r="J9" s="741" t="str">
        <f t="shared" si="0"/>
        <v>Apr'24</v>
      </c>
      <c r="K9" s="741" t="str">
        <f t="shared" si="0"/>
        <v>Mei'24</v>
      </c>
      <c r="L9" s="741" t="str">
        <f t="shared" si="0"/>
        <v>Jun'24</v>
      </c>
      <c r="M9" s="741" t="str">
        <f t="shared" si="0"/>
        <v>Jul'24</v>
      </c>
      <c r="N9" s="741" t="str">
        <f t="shared" si="0"/>
        <v>Aug'24</v>
      </c>
      <c r="O9" s="741" t="str">
        <f t="shared" si="0"/>
        <v>Sep'24</v>
      </c>
      <c r="P9" s="741" t="str">
        <f t="shared" si="0"/>
        <v>Okt'24</v>
      </c>
      <c r="Q9" s="741" t="str">
        <f t="shared" si="0"/>
        <v>Nov'24</v>
      </c>
      <c r="R9" s="741" t="str">
        <f t="shared" si="0"/>
        <v>Dec'24</v>
      </c>
      <c r="S9" s="741" t="str">
        <f t="shared" si="0"/>
        <v>Jan'25</v>
      </c>
      <c r="T9" s="741" t="str">
        <f t="shared" si="0"/>
        <v>Feb'25</v>
      </c>
      <c r="U9" s="741" t="str">
        <f t="shared" si="0"/>
        <v>Mrt'25</v>
      </c>
      <c r="V9" s="741" t="str">
        <f t="shared" si="0"/>
        <v>Apr'25</v>
      </c>
      <c r="W9" s="741" t="str">
        <f t="shared" si="0"/>
        <v>Mei'25</v>
      </c>
      <c r="X9" s="741" t="str">
        <f t="shared" si="0"/>
        <v>Jun'25</v>
      </c>
      <c r="Y9" s="741" t="str">
        <f t="shared" si="0"/>
        <v>Jul'25</v>
      </c>
      <c r="Z9" s="741" t="str">
        <f t="shared" si="0"/>
        <v>Aug'25</v>
      </c>
      <c r="AA9" s="741" t="str">
        <f t="shared" si="0"/>
        <v>Sep'25</v>
      </c>
      <c r="AB9" s="741" t="str">
        <f t="shared" si="0"/>
        <v>Okt'25</v>
      </c>
      <c r="AC9" s="741" t="str">
        <f t="shared" si="0"/>
        <v>Nov'25</v>
      </c>
      <c r="AD9" s="741" t="str">
        <f t="shared" si="0"/>
        <v>Dec'25</v>
      </c>
      <c r="AE9" s="741" t="str">
        <f t="shared" si="0"/>
        <v>Jan'26</v>
      </c>
      <c r="AF9" s="741" t="str">
        <f t="shared" si="0"/>
        <v>Feb'26</v>
      </c>
      <c r="AG9" s="741" t="str">
        <f t="shared" si="0"/>
        <v>Mrt'26</v>
      </c>
      <c r="AH9" s="741" t="str">
        <f t="shared" si="0"/>
        <v>Apr'26</v>
      </c>
      <c r="AI9" s="741" t="str">
        <f t="shared" si="0"/>
        <v>Mei'26</v>
      </c>
      <c r="AJ9" s="741" t="str">
        <f t="shared" si="0"/>
        <v>Jun'26</v>
      </c>
      <c r="AK9" s="741" t="str">
        <f t="shared" si="0"/>
        <v>Jul'26</v>
      </c>
      <c r="AL9" s="741" t="str">
        <f t="shared" si="0"/>
        <v>Aug'26</v>
      </c>
      <c r="AM9" s="741" t="str">
        <f t="shared" si="0"/>
        <v>Sep'26</v>
      </c>
      <c r="AN9" s="741" t="str">
        <f t="shared" si="0"/>
        <v>Okt'26</v>
      </c>
      <c r="AO9" s="741" t="str">
        <f t="shared" si="0"/>
        <v>Nov'26</v>
      </c>
      <c r="AP9" s="741" t="str">
        <f t="shared" si="0"/>
        <v>Dec'26</v>
      </c>
      <c r="AQ9" s="741" t="str">
        <f t="shared" si="0"/>
        <v>Jan'27</v>
      </c>
      <c r="AR9" s="741" t="str">
        <f t="shared" si="0"/>
        <v>Feb'27</v>
      </c>
      <c r="AS9" s="741" t="str">
        <f t="shared" si="0"/>
        <v>Mrt'27</v>
      </c>
      <c r="AT9" s="741" t="str">
        <f t="shared" si="0"/>
        <v>Apr'27</v>
      </c>
      <c r="AU9" s="741" t="str">
        <f t="shared" si="0"/>
        <v>Mei'27</v>
      </c>
      <c r="AV9" s="741" t="str">
        <f t="shared" si="0"/>
        <v>Jun'27</v>
      </c>
      <c r="AW9" s="741" t="str">
        <f t="shared" si="0"/>
        <v>Jul'27</v>
      </c>
      <c r="AX9" s="741" t="str">
        <f t="shared" si="0"/>
        <v>Aug'27</v>
      </c>
      <c r="AY9" s="741" t="str">
        <f t="shared" si="0"/>
        <v>Sep'27</v>
      </c>
      <c r="AZ9" s="741" t="str">
        <f t="shared" si="0"/>
        <v>Okt'27</v>
      </c>
      <c r="BA9" s="741" t="str">
        <f t="shared" si="0"/>
        <v>Nov'27</v>
      </c>
      <c r="BB9" s="741" t="str">
        <f t="shared" si="0"/>
        <v>Dec'27</v>
      </c>
      <c r="BC9" s="741" t="str">
        <f t="shared" si="0"/>
        <v>Jan'28</v>
      </c>
      <c r="BD9" s="741" t="str">
        <f t="shared" si="0"/>
        <v>Feb'28</v>
      </c>
      <c r="BE9" s="741" t="str">
        <f t="shared" si="0"/>
        <v>Mrt'28</v>
      </c>
      <c r="BF9" s="741" t="str">
        <f t="shared" si="0"/>
        <v>Apr'28</v>
      </c>
      <c r="BG9" s="741" t="str">
        <f t="shared" si="0"/>
        <v>Mei'28</v>
      </c>
      <c r="BH9" s="741" t="str">
        <f t="shared" si="0"/>
        <v>Jun'28</v>
      </c>
      <c r="BI9" s="741" t="str">
        <f t="shared" si="0"/>
        <v>Jul'28</v>
      </c>
      <c r="BJ9" s="741" t="str">
        <f t="shared" si="0"/>
        <v>Aug'28</v>
      </c>
      <c r="BK9" s="741" t="str">
        <f t="shared" si="0"/>
        <v>Sep'28</v>
      </c>
      <c r="BL9" s="741" t="str">
        <f t="shared" si="0"/>
        <v>Okt'28</v>
      </c>
      <c r="BM9" s="741" t="str">
        <f t="shared" si="0"/>
        <v>Nov'28</v>
      </c>
      <c r="BN9" s="741" t="str">
        <f t="shared" si="0"/>
        <v>Dec'28</v>
      </c>
    </row>
    <row r="10" spans="1:66" ht="14.1" customHeight="1" x14ac:dyDescent="0.25">
      <c r="C10" s="4" t="s">
        <v>14</v>
      </c>
      <c r="D10" s="4">
        <f>SUM(Balans!D6:D7)</f>
        <v>0</v>
      </c>
      <c r="E10" s="4">
        <f>SUM(Balans!E6:E7)</f>
        <v>0</v>
      </c>
      <c r="F10" s="14">
        <f>SUM(Balans!F6:F7)</f>
        <v>0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</row>
    <row r="11" spans="1:66" ht="14.1" customHeight="1" x14ac:dyDescent="0.25">
      <c r="C11" s="4" t="s">
        <v>15</v>
      </c>
      <c r="D11" s="4">
        <f>SUM(Balans!D8)</f>
        <v>0</v>
      </c>
      <c r="E11" s="4">
        <f>SUM(Balans!E8)</f>
        <v>0</v>
      </c>
      <c r="F11" s="14">
        <f>SUM(Balans!F8)</f>
        <v>0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</row>
    <row r="12" spans="1:66" ht="14.1" customHeight="1" x14ac:dyDescent="0.25">
      <c r="C12" s="4" t="s">
        <v>16</v>
      </c>
      <c r="D12" s="4">
        <f>Balans!D12</f>
        <v>0</v>
      </c>
      <c r="E12" s="4">
        <f>Balans!E12</f>
        <v>0</v>
      </c>
      <c r="F12" s="14">
        <f>Balans!F12</f>
        <v>0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</row>
    <row r="13" spans="1:66" ht="14.1" customHeight="1" x14ac:dyDescent="0.25">
      <c r="C13" s="410" t="s">
        <v>17</v>
      </c>
      <c r="D13" s="410">
        <f>SUM(D10:D12)</f>
        <v>0</v>
      </c>
      <c r="E13" s="410">
        <f>SUM(E10:E12)</f>
        <v>0</v>
      </c>
      <c r="F13" s="15">
        <f>SUM(F10:F12)</f>
        <v>0</v>
      </c>
      <c r="G13" s="410">
        <f>SUM(G10:G12)</f>
        <v>0</v>
      </c>
      <c r="H13" s="410">
        <f t="shared" ref="H13:BN13" si="1">SUM(H10:H12)</f>
        <v>0</v>
      </c>
      <c r="I13" s="410">
        <f t="shared" si="1"/>
        <v>0</v>
      </c>
      <c r="J13" s="410">
        <f t="shared" si="1"/>
        <v>0</v>
      </c>
      <c r="K13" s="410">
        <f t="shared" si="1"/>
        <v>0</v>
      </c>
      <c r="L13" s="410">
        <f t="shared" si="1"/>
        <v>0</v>
      </c>
      <c r="M13" s="410">
        <f t="shared" si="1"/>
        <v>0</v>
      </c>
      <c r="N13" s="410">
        <f t="shared" si="1"/>
        <v>0</v>
      </c>
      <c r="O13" s="410">
        <f t="shared" si="1"/>
        <v>0</v>
      </c>
      <c r="P13" s="410">
        <f t="shared" si="1"/>
        <v>0</v>
      </c>
      <c r="Q13" s="410">
        <f t="shared" si="1"/>
        <v>0</v>
      </c>
      <c r="R13" s="410">
        <f t="shared" si="1"/>
        <v>0</v>
      </c>
      <c r="S13" s="410">
        <f t="shared" si="1"/>
        <v>0</v>
      </c>
      <c r="T13" s="410">
        <f t="shared" si="1"/>
        <v>0</v>
      </c>
      <c r="U13" s="410">
        <f t="shared" si="1"/>
        <v>0</v>
      </c>
      <c r="V13" s="410">
        <f t="shared" si="1"/>
        <v>0</v>
      </c>
      <c r="W13" s="410">
        <f t="shared" si="1"/>
        <v>0</v>
      </c>
      <c r="X13" s="410">
        <f t="shared" si="1"/>
        <v>0</v>
      </c>
      <c r="Y13" s="410">
        <f t="shared" si="1"/>
        <v>0</v>
      </c>
      <c r="Z13" s="410">
        <f t="shared" si="1"/>
        <v>0</v>
      </c>
      <c r="AA13" s="410">
        <f t="shared" si="1"/>
        <v>0</v>
      </c>
      <c r="AB13" s="410">
        <f t="shared" si="1"/>
        <v>0</v>
      </c>
      <c r="AC13" s="410">
        <f t="shared" si="1"/>
        <v>0</v>
      </c>
      <c r="AD13" s="410">
        <f t="shared" si="1"/>
        <v>0</v>
      </c>
      <c r="AE13" s="410">
        <f t="shared" si="1"/>
        <v>0</v>
      </c>
      <c r="AF13" s="410">
        <f t="shared" si="1"/>
        <v>0</v>
      </c>
      <c r="AG13" s="410">
        <f t="shared" si="1"/>
        <v>0</v>
      </c>
      <c r="AH13" s="410">
        <f t="shared" si="1"/>
        <v>0</v>
      </c>
      <c r="AI13" s="410">
        <f t="shared" si="1"/>
        <v>0</v>
      </c>
      <c r="AJ13" s="410">
        <f t="shared" si="1"/>
        <v>0</v>
      </c>
      <c r="AK13" s="410">
        <f t="shared" si="1"/>
        <v>0</v>
      </c>
      <c r="AL13" s="410">
        <f t="shared" si="1"/>
        <v>0</v>
      </c>
      <c r="AM13" s="410">
        <f t="shared" si="1"/>
        <v>0</v>
      </c>
      <c r="AN13" s="410">
        <f t="shared" si="1"/>
        <v>0</v>
      </c>
      <c r="AO13" s="410">
        <f t="shared" si="1"/>
        <v>0</v>
      </c>
      <c r="AP13" s="410">
        <f t="shared" si="1"/>
        <v>0</v>
      </c>
      <c r="AQ13" s="410">
        <f t="shared" si="1"/>
        <v>0</v>
      </c>
      <c r="AR13" s="410">
        <f t="shared" si="1"/>
        <v>0</v>
      </c>
      <c r="AS13" s="410">
        <f t="shared" si="1"/>
        <v>0</v>
      </c>
      <c r="AT13" s="410">
        <f t="shared" si="1"/>
        <v>0</v>
      </c>
      <c r="AU13" s="410">
        <f t="shared" si="1"/>
        <v>0</v>
      </c>
      <c r="AV13" s="410">
        <f t="shared" si="1"/>
        <v>0</v>
      </c>
      <c r="AW13" s="410">
        <f t="shared" si="1"/>
        <v>0</v>
      </c>
      <c r="AX13" s="410">
        <f t="shared" si="1"/>
        <v>0</v>
      </c>
      <c r="AY13" s="410">
        <f t="shared" si="1"/>
        <v>0</v>
      </c>
      <c r="AZ13" s="410">
        <f t="shared" si="1"/>
        <v>0</v>
      </c>
      <c r="BA13" s="410">
        <f t="shared" si="1"/>
        <v>0</v>
      </c>
      <c r="BB13" s="410">
        <f t="shared" si="1"/>
        <v>0</v>
      </c>
      <c r="BC13" s="410">
        <f t="shared" si="1"/>
        <v>0</v>
      </c>
      <c r="BD13" s="410">
        <f t="shared" si="1"/>
        <v>0</v>
      </c>
      <c r="BE13" s="410">
        <f t="shared" si="1"/>
        <v>0</v>
      </c>
      <c r="BF13" s="410">
        <f t="shared" si="1"/>
        <v>0</v>
      </c>
      <c r="BG13" s="410">
        <f t="shared" si="1"/>
        <v>0</v>
      </c>
      <c r="BH13" s="410">
        <f t="shared" si="1"/>
        <v>0</v>
      </c>
      <c r="BI13" s="410">
        <f t="shared" si="1"/>
        <v>0</v>
      </c>
      <c r="BJ13" s="410">
        <f t="shared" si="1"/>
        <v>0</v>
      </c>
      <c r="BK13" s="410">
        <f t="shared" si="1"/>
        <v>0</v>
      </c>
      <c r="BL13" s="410">
        <f t="shared" si="1"/>
        <v>0</v>
      </c>
      <c r="BM13" s="410">
        <f t="shared" si="1"/>
        <v>0</v>
      </c>
      <c r="BN13" s="410">
        <f t="shared" si="1"/>
        <v>0</v>
      </c>
    </row>
    <row r="14" spans="1:66" ht="14.1" customHeight="1" x14ac:dyDescent="0.25">
      <c r="C14" s="4" t="s">
        <v>18</v>
      </c>
      <c r="D14" s="4">
        <f>Balans!D21</f>
        <v>0</v>
      </c>
      <c r="E14" s="4">
        <f>Balans!E21</f>
        <v>0</v>
      </c>
      <c r="F14" s="14">
        <f>Balans!F21</f>
        <v>0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</row>
    <row r="15" spans="1:66" ht="14.1" customHeight="1" x14ac:dyDescent="0.25">
      <c r="C15" s="4" t="s">
        <v>19</v>
      </c>
      <c r="D15" s="4">
        <f>Balans!D19</f>
        <v>0</v>
      </c>
      <c r="E15" s="4">
        <f>Balans!E19</f>
        <v>0</v>
      </c>
      <c r="F15" s="14">
        <f>Balans!F19</f>
        <v>0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</row>
    <row r="16" spans="1:66" ht="14.1" customHeight="1" x14ac:dyDescent="0.25">
      <c r="C16" s="4" t="s">
        <v>20</v>
      </c>
      <c r="D16" s="4">
        <f>Balans!D22</f>
        <v>0</v>
      </c>
      <c r="E16" s="4">
        <f>Balans!E22</f>
        <v>0</v>
      </c>
      <c r="F16" s="14">
        <f>Balans!F22</f>
        <v>0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</row>
    <row r="17" spans="3:66" ht="14.1" customHeight="1" x14ac:dyDescent="0.25">
      <c r="C17" s="4" t="s">
        <v>21</v>
      </c>
      <c r="D17" s="4">
        <f>Balans!D23</f>
        <v>0</v>
      </c>
      <c r="E17" s="4">
        <f>Balans!E23</f>
        <v>0</v>
      </c>
      <c r="F17" s="14">
        <f>Balans!F23</f>
        <v>0</v>
      </c>
      <c r="G17" s="4">
        <f>G98</f>
        <v>0</v>
      </c>
      <c r="H17" s="4">
        <f t="shared" ref="H17:BN17" si="2">H98</f>
        <v>0</v>
      </c>
      <c r="I17" s="4">
        <f t="shared" si="2"/>
        <v>0</v>
      </c>
      <c r="J17" s="433">
        <f>J98</f>
        <v>0</v>
      </c>
      <c r="K17" s="4">
        <f t="shared" si="2"/>
        <v>0</v>
      </c>
      <c r="L17" s="4">
        <f t="shared" si="2"/>
        <v>0</v>
      </c>
      <c r="M17" s="4">
        <f t="shared" si="2"/>
        <v>0</v>
      </c>
      <c r="N17" s="4">
        <f t="shared" si="2"/>
        <v>0</v>
      </c>
      <c r="O17" s="4">
        <f t="shared" si="2"/>
        <v>0</v>
      </c>
      <c r="P17" s="4">
        <f t="shared" si="2"/>
        <v>0</v>
      </c>
      <c r="Q17" s="4">
        <f t="shared" si="2"/>
        <v>0</v>
      </c>
      <c r="R17" s="4">
        <f t="shared" si="2"/>
        <v>0</v>
      </c>
      <c r="S17" s="4">
        <f t="shared" si="2"/>
        <v>0</v>
      </c>
      <c r="T17" s="4">
        <f t="shared" si="2"/>
        <v>0</v>
      </c>
      <c r="U17" s="4">
        <f t="shared" si="2"/>
        <v>0</v>
      </c>
      <c r="V17" s="4">
        <f t="shared" si="2"/>
        <v>0</v>
      </c>
      <c r="W17" s="4">
        <f t="shared" si="2"/>
        <v>0</v>
      </c>
      <c r="X17" s="4">
        <f t="shared" si="2"/>
        <v>0</v>
      </c>
      <c r="Y17" s="4">
        <f t="shared" si="2"/>
        <v>0</v>
      </c>
      <c r="Z17" s="4">
        <f t="shared" si="2"/>
        <v>0</v>
      </c>
      <c r="AA17" s="4">
        <f t="shared" si="2"/>
        <v>0</v>
      </c>
      <c r="AB17" s="4">
        <f t="shared" si="2"/>
        <v>0</v>
      </c>
      <c r="AC17" s="4">
        <f t="shared" si="2"/>
        <v>0</v>
      </c>
      <c r="AD17" s="4">
        <f t="shared" si="2"/>
        <v>0</v>
      </c>
      <c r="AE17" s="4">
        <f t="shared" si="2"/>
        <v>0</v>
      </c>
      <c r="AF17" s="4">
        <f t="shared" si="2"/>
        <v>0</v>
      </c>
      <c r="AG17" s="4">
        <f t="shared" si="2"/>
        <v>0</v>
      </c>
      <c r="AH17" s="4">
        <f t="shared" si="2"/>
        <v>0</v>
      </c>
      <c r="AI17" s="4">
        <f t="shared" si="2"/>
        <v>0</v>
      </c>
      <c r="AJ17" s="4">
        <f t="shared" si="2"/>
        <v>0</v>
      </c>
      <c r="AK17" s="4">
        <f t="shared" si="2"/>
        <v>0</v>
      </c>
      <c r="AL17" s="4">
        <f t="shared" si="2"/>
        <v>0</v>
      </c>
      <c r="AM17" s="4">
        <f t="shared" si="2"/>
        <v>0</v>
      </c>
      <c r="AN17" s="4">
        <f t="shared" si="2"/>
        <v>0</v>
      </c>
      <c r="AO17" s="4">
        <f t="shared" si="2"/>
        <v>0</v>
      </c>
      <c r="AP17" s="4">
        <f t="shared" si="2"/>
        <v>0</v>
      </c>
      <c r="AQ17" s="4">
        <f t="shared" si="2"/>
        <v>0</v>
      </c>
      <c r="AR17" s="4">
        <f t="shared" si="2"/>
        <v>0</v>
      </c>
      <c r="AS17" s="4">
        <f t="shared" si="2"/>
        <v>0</v>
      </c>
      <c r="AT17" s="4">
        <f t="shared" si="2"/>
        <v>0</v>
      </c>
      <c r="AU17" s="4">
        <f t="shared" si="2"/>
        <v>0</v>
      </c>
      <c r="AV17" s="4">
        <f t="shared" si="2"/>
        <v>0</v>
      </c>
      <c r="AW17" s="4">
        <f t="shared" si="2"/>
        <v>0</v>
      </c>
      <c r="AX17" s="4">
        <f t="shared" si="2"/>
        <v>0</v>
      </c>
      <c r="AY17" s="4">
        <f t="shared" si="2"/>
        <v>0</v>
      </c>
      <c r="AZ17" s="4">
        <f t="shared" si="2"/>
        <v>0</v>
      </c>
      <c r="BA17" s="4">
        <f t="shared" si="2"/>
        <v>0</v>
      </c>
      <c r="BB17" s="4">
        <f t="shared" si="2"/>
        <v>0</v>
      </c>
      <c r="BC17" s="4">
        <f t="shared" si="2"/>
        <v>0</v>
      </c>
      <c r="BD17" s="4">
        <f t="shared" si="2"/>
        <v>0</v>
      </c>
      <c r="BE17" s="4">
        <f t="shared" si="2"/>
        <v>0</v>
      </c>
      <c r="BF17" s="4">
        <f t="shared" si="2"/>
        <v>0</v>
      </c>
      <c r="BG17" s="4">
        <f t="shared" si="2"/>
        <v>0</v>
      </c>
      <c r="BH17" s="4">
        <f t="shared" si="2"/>
        <v>0</v>
      </c>
      <c r="BI17" s="4">
        <f t="shared" si="2"/>
        <v>0</v>
      </c>
      <c r="BJ17" s="4">
        <f t="shared" si="2"/>
        <v>0</v>
      </c>
      <c r="BK17" s="4">
        <f t="shared" si="2"/>
        <v>0</v>
      </c>
      <c r="BL17" s="4">
        <f t="shared" si="2"/>
        <v>0</v>
      </c>
      <c r="BM17" s="4">
        <f t="shared" si="2"/>
        <v>0</v>
      </c>
      <c r="BN17" s="4">
        <f t="shared" si="2"/>
        <v>0</v>
      </c>
    </row>
    <row r="18" spans="3:66" ht="14.1" customHeight="1" x14ac:dyDescent="0.25">
      <c r="C18" s="4" t="s">
        <v>22</v>
      </c>
      <c r="D18" s="4">
        <f>Balans!D24</f>
        <v>0</v>
      </c>
      <c r="E18" s="4">
        <f>Balans!E24</f>
        <v>0</v>
      </c>
      <c r="F18" s="14">
        <f>Balans!F24</f>
        <v>0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</row>
    <row r="19" spans="3:66" ht="14.1" customHeight="1" x14ac:dyDescent="0.25">
      <c r="C19" s="410" t="s">
        <v>23</v>
      </c>
      <c r="D19" s="16">
        <f>SUM(D14:D18)</f>
        <v>0</v>
      </c>
      <c r="E19" s="16">
        <f>SUM(E14:E18)</f>
        <v>0</v>
      </c>
      <c r="F19" s="17">
        <f>SUM(F14:F18)</f>
        <v>0</v>
      </c>
      <c r="G19" s="16">
        <f>SUM(G14:G18)</f>
        <v>0</v>
      </c>
      <c r="H19" s="16">
        <f t="shared" ref="H19:BN19" si="3">SUM(H14:H18)</f>
        <v>0</v>
      </c>
      <c r="I19" s="16">
        <f t="shared" si="3"/>
        <v>0</v>
      </c>
      <c r="J19" s="16">
        <f t="shared" si="3"/>
        <v>0</v>
      </c>
      <c r="K19" s="16">
        <f t="shared" si="3"/>
        <v>0</v>
      </c>
      <c r="L19" s="16">
        <f t="shared" si="3"/>
        <v>0</v>
      </c>
      <c r="M19" s="16">
        <f t="shared" si="3"/>
        <v>0</v>
      </c>
      <c r="N19" s="16">
        <f t="shared" si="3"/>
        <v>0</v>
      </c>
      <c r="O19" s="16">
        <f t="shared" si="3"/>
        <v>0</v>
      </c>
      <c r="P19" s="16">
        <f t="shared" si="3"/>
        <v>0</v>
      </c>
      <c r="Q19" s="16">
        <f t="shared" si="3"/>
        <v>0</v>
      </c>
      <c r="R19" s="16">
        <f t="shared" si="3"/>
        <v>0</v>
      </c>
      <c r="S19" s="16">
        <f t="shared" si="3"/>
        <v>0</v>
      </c>
      <c r="T19" s="16">
        <f t="shared" si="3"/>
        <v>0</v>
      </c>
      <c r="U19" s="16">
        <f t="shared" si="3"/>
        <v>0</v>
      </c>
      <c r="V19" s="16">
        <f t="shared" si="3"/>
        <v>0</v>
      </c>
      <c r="W19" s="16">
        <f t="shared" si="3"/>
        <v>0</v>
      </c>
      <c r="X19" s="16">
        <f t="shared" si="3"/>
        <v>0</v>
      </c>
      <c r="Y19" s="16">
        <f t="shared" si="3"/>
        <v>0</v>
      </c>
      <c r="Z19" s="16">
        <f t="shared" si="3"/>
        <v>0</v>
      </c>
      <c r="AA19" s="16">
        <f t="shared" si="3"/>
        <v>0</v>
      </c>
      <c r="AB19" s="16">
        <f t="shared" si="3"/>
        <v>0</v>
      </c>
      <c r="AC19" s="16">
        <f t="shared" si="3"/>
        <v>0</v>
      </c>
      <c r="AD19" s="16">
        <f t="shared" si="3"/>
        <v>0</v>
      </c>
      <c r="AE19" s="16">
        <f t="shared" si="3"/>
        <v>0</v>
      </c>
      <c r="AF19" s="16">
        <f t="shared" si="3"/>
        <v>0</v>
      </c>
      <c r="AG19" s="16">
        <f t="shared" si="3"/>
        <v>0</v>
      </c>
      <c r="AH19" s="16">
        <f t="shared" si="3"/>
        <v>0</v>
      </c>
      <c r="AI19" s="16">
        <f t="shared" si="3"/>
        <v>0</v>
      </c>
      <c r="AJ19" s="16">
        <f t="shared" si="3"/>
        <v>0</v>
      </c>
      <c r="AK19" s="16">
        <f t="shared" si="3"/>
        <v>0</v>
      </c>
      <c r="AL19" s="16">
        <f t="shared" si="3"/>
        <v>0</v>
      </c>
      <c r="AM19" s="16">
        <f t="shared" si="3"/>
        <v>0</v>
      </c>
      <c r="AN19" s="16">
        <f t="shared" si="3"/>
        <v>0</v>
      </c>
      <c r="AO19" s="16">
        <f t="shared" si="3"/>
        <v>0</v>
      </c>
      <c r="AP19" s="16">
        <f t="shared" si="3"/>
        <v>0</v>
      </c>
      <c r="AQ19" s="16">
        <f t="shared" si="3"/>
        <v>0</v>
      </c>
      <c r="AR19" s="16">
        <f t="shared" si="3"/>
        <v>0</v>
      </c>
      <c r="AS19" s="16">
        <f t="shared" si="3"/>
        <v>0</v>
      </c>
      <c r="AT19" s="16">
        <f t="shared" si="3"/>
        <v>0</v>
      </c>
      <c r="AU19" s="16">
        <f t="shared" si="3"/>
        <v>0</v>
      </c>
      <c r="AV19" s="16">
        <f t="shared" si="3"/>
        <v>0</v>
      </c>
      <c r="AW19" s="16">
        <f t="shared" si="3"/>
        <v>0</v>
      </c>
      <c r="AX19" s="16">
        <f t="shared" si="3"/>
        <v>0</v>
      </c>
      <c r="AY19" s="16">
        <f t="shared" si="3"/>
        <v>0</v>
      </c>
      <c r="AZ19" s="16">
        <f t="shared" si="3"/>
        <v>0</v>
      </c>
      <c r="BA19" s="16">
        <f t="shared" si="3"/>
        <v>0</v>
      </c>
      <c r="BB19" s="16">
        <f t="shared" si="3"/>
        <v>0</v>
      </c>
      <c r="BC19" s="16">
        <f t="shared" si="3"/>
        <v>0</v>
      </c>
      <c r="BD19" s="16">
        <f t="shared" si="3"/>
        <v>0</v>
      </c>
      <c r="BE19" s="16">
        <f t="shared" si="3"/>
        <v>0</v>
      </c>
      <c r="BF19" s="16">
        <f t="shared" si="3"/>
        <v>0</v>
      </c>
      <c r="BG19" s="16">
        <f t="shared" si="3"/>
        <v>0</v>
      </c>
      <c r="BH19" s="16">
        <f t="shared" si="3"/>
        <v>0</v>
      </c>
      <c r="BI19" s="16">
        <f t="shared" si="3"/>
        <v>0</v>
      </c>
      <c r="BJ19" s="16">
        <f t="shared" si="3"/>
        <v>0</v>
      </c>
      <c r="BK19" s="16">
        <f t="shared" si="3"/>
        <v>0</v>
      </c>
      <c r="BL19" s="16">
        <f t="shared" si="3"/>
        <v>0</v>
      </c>
      <c r="BM19" s="16">
        <f t="shared" si="3"/>
        <v>0</v>
      </c>
      <c r="BN19" s="16">
        <f t="shared" si="3"/>
        <v>0</v>
      </c>
    </row>
    <row r="20" spans="3:66" ht="14.1" customHeight="1" x14ac:dyDescent="0.25">
      <c r="C20" s="16" t="s">
        <v>24</v>
      </c>
      <c r="D20" s="16">
        <f>SUM(D13,D19)</f>
        <v>0</v>
      </c>
      <c r="E20" s="16">
        <f>SUM(E13,E19)</f>
        <v>0</v>
      </c>
      <c r="F20" s="17">
        <f>SUM(F13,F19)</f>
        <v>0</v>
      </c>
      <c r="G20" s="16">
        <f>SUM(G13,G19)</f>
        <v>0</v>
      </c>
      <c r="H20" s="16">
        <f t="shared" ref="H20:BN20" si="4">SUM(H13,H19)</f>
        <v>0</v>
      </c>
      <c r="I20" s="16">
        <f t="shared" si="4"/>
        <v>0</v>
      </c>
      <c r="J20" s="16">
        <f t="shared" si="4"/>
        <v>0</v>
      </c>
      <c r="K20" s="16">
        <f t="shared" si="4"/>
        <v>0</v>
      </c>
      <c r="L20" s="16">
        <f t="shared" si="4"/>
        <v>0</v>
      </c>
      <c r="M20" s="16">
        <f t="shared" si="4"/>
        <v>0</v>
      </c>
      <c r="N20" s="16">
        <f t="shared" si="4"/>
        <v>0</v>
      </c>
      <c r="O20" s="16">
        <f t="shared" si="4"/>
        <v>0</v>
      </c>
      <c r="P20" s="16">
        <f t="shared" si="4"/>
        <v>0</v>
      </c>
      <c r="Q20" s="16">
        <f t="shared" si="4"/>
        <v>0</v>
      </c>
      <c r="R20" s="16">
        <f t="shared" si="4"/>
        <v>0</v>
      </c>
      <c r="S20" s="16">
        <f t="shared" si="4"/>
        <v>0</v>
      </c>
      <c r="T20" s="16">
        <f t="shared" si="4"/>
        <v>0</v>
      </c>
      <c r="U20" s="16">
        <f t="shared" si="4"/>
        <v>0</v>
      </c>
      <c r="V20" s="16">
        <f t="shared" si="4"/>
        <v>0</v>
      </c>
      <c r="W20" s="16">
        <f t="shared" si="4"/>
        <v>0</v>
      </c>
      <c r="X20" s="16">
        <f t="shared" si="4"/>
        <v>0</v>
      </c>
      <c r="Y20" s="16">
        <f t="shared" si="4"/>
        <v>0</v>
      </c>
      <c r="Z20" s="16">
        <f t="shared" si="4"/>
        <v>0</v>
      </c>
      <c r="AA20" s="16">
        <f t="shared" si="4"/>
        <v>0</v>
      </c>
      <c r="AB20" s="16">
        <f t="shared" si="4"/>
        <v>0</v>
      </c>
      <c r="AC20" s="16">
        <f t="shared" si="4"/>
        <v>0</v>
      </c>
      <c r="AD20" s="16">
        <f t="shared" si="4"/>
        <v>0</v>
      </c>
      <c r="AE20" s="16">
        <f t="shared" si="4"/>
        <v>0</v>
      </c>
      <c r="AF20" s="16">
        <f t="shared" si="4"/>
        <v>0</v>
      </c>
      <c r="AG20" s="16">
        <f t="shared" si="4"/>
        <v>0</v>
      </c>
      <c r="AH20" s="16">
        <f t="shared" si="4"/>
        <v>0</v>
      </c>
      <c r="AI20" s="16">
        <f t="shared" si="4"/>
        <v>0</v>
      </c>
      <c r="AJ20" s="16">
        <f t="shared" si="4"/>
        <v>0</v>
      </c>
      <c r="AK20" s="16">
        <f t="shared" si="4"/>
        <v>0</v>
      </c>
      <c r="AL20" s="16">
        <f t="shared" si="4"/>
        <v>0</v>
      </c>
      <c r="AM20" s="16">
        <f t="shared" si="4"/>
        <v>0</v>
      </c>
      <c r="AN20" s="16">
        <f t="shared" si="4"/>
        <v>0</v>
      </c>
      <c r="AO20" s="16">
        <f t="shared" si="4"/>
        <v>0</v>
      </c>
      <c r="AP20" s="16">
        <f t="shared" si="4"/>
        <v>0</v>
      </c>
      <c r="AQ20" s="16">
        <f t="shared" si="4"/>
        <v>0</v>
      </c>
      <c r="AR20" s="16">
        <f t="shared" si="4"/>
        <v>0</v>
      </c>
      <c r="AS20" s="16">
        <f t="shared" si="4"/>
        <v>0</v>
      </c>
      <c r="AT20" s="16">
        <f t="shared" si="4"/>
        <v>0</v>
      </c>
      <c r="AU20" s="16">
        <f t="shared" si="4"/>
        <v>0</v>
      </c>
      <c r="AV20" s="16">
        <f t="shared" si="4"/>
        <v>0</v>
      </c>
      <c r="AW20" s="16">
        <f t="shared" si="4"/>
        <v>0</v>
      </c>
      <c r="AX20" s="16">
        <f t="shared" si="4"/>
        <v>0</v>
      </c>
      <c r="AY20" s="16">
        <f t="shared" si="4"/>
        <v>0</v>
      </c>
      <c r="AZ20" s="16">
        <f t="shared" si="4"/>
        <v>0</v>
      </c>
      <c r="BA20" s="16">
        <f t="shared" si="4"/>
        <v>0</v>
      </c>
      <c r="BB20" s="16">
        <f t="shared" si="4"/>
        <v>0</v>
      </c>
      <c r="BC20" s="16">
        <f t="shared" si="4"/>
        <v>0</v>
      </c>
      <c r="BD20" s="16">
        <f t="shared" si="4"/>
        <v>0</v>
      </c>
      <c r="BE20" s="16">
        <f t="shared" si="4"/>
        <v>0</v>
      </c>
      <c r="BF20" s="16">
        <f t="shared" si="4"/>
        <v>0</v>
      </c>
      <c r="BG20" s="16">
        <f t="shared" si="4"/>
        <v>0</v>
      </c>
      <c r="BH20" s="16">
        <f t="shared" si="4"/>
        <v>0</v>
      </c>
      <c r="BI20" s="16">
        <f t="shared" si="4"/>
        <v>0</v>
      </c>
      <c r="BJ20" s="16">
        <f t="shared" si="4"/>
        <v>0</v>
      </c>
      <c r="BK20" s="16">
        <f t="shared" si="4"/>
        <v>0</v>
      </c>
      <c r="BL20" s="16">
        <f t="shared" si="4"/>
        <v>0</v>
      </c>
      <c r="BM20" s="16">
        <f t="shared" si="4"/>
        <v>0</v>
      </c>
      <c r="BN20" s="16">
        <f t="shared" si="4"/>
        <v>0</v>
      </c>
    </row>
    <row r="21" spans="3:66" ht="14.1" customHeight="1" x14ac:dyDescent="0.25">
      <c r="C21" s="4"/>
      <c r="D21" s="4"/>
      <c r="E21" s="4"/>
      <c r="F21" s="14"/>
      <c r="G21" s="4"/>
      <c r="H21" s="4"/>
      <c r="I21" s="4"/>
      <c r="Q21" s="411"/>
    </row>
    <row r="22" spans="3:66" ht="14.1" customHeight="1" x14ac:dyDescent="0.25">
      <c r="C22" s="406" t="str">
        <f>"Balans - "&amp;Historiek!$A$2&amp;" - Passiva"</f>
        <v>Balans - Dossier - Passiva</v>
      </c>
      <c r="D22" s="407"/>
      <c r="E22" s="407"/>
      <c r="F22" s="13"/>
      <c r="G22" s="407"/>
      <c r="H22" s="407"/>
      <c r="I22" s="407"/>
    </row>
    <row r="23" spans="3:66" ht="14.1" customHeight="1" x14ac:dyDescent="0.25">
      <c r="C23" s="738" t="str">
        <f>C$6</f>
        <v>k€</v>
      </c>
      <c r="D23" s="742" t="str">
        <f t="shared" ref="D23:BN23" si="5">D$6</f>
        <v>Dec'21</v>
      </c>
      <c r="E23" s="742" t="str">
        <f t="shared" si="5"/>
        <v>Dec'22</v>
      </c>
      <c r="F23" s="740" t="str">
        <f>F$6</f>
        <v>Dec'23</v>
      </c>
      <c r="G23" s="741" t="str">
        <f t="shared" si="5"/>
        <v>Jan'24</v>
      </c>
      <c r="H23" s="741" t="str">
        <f t="shared" si="5"/>
        <v>Feb'24</v>
      </c>
      <c r="I23" s="741" t="str">
        <f t="shared" si="5"/>
        <v>Mrt'24</v>
      </c>
      <c r="J23" s="741" t="str">
        <f t="shared" si="5"/>
        <v>Apr'24</v>
      </c>
      <c r="K23" s="741" t="str">
        <f t="shared" si="5"/>
        <v>Mei'24</v>
      </c>
      <c r="L23" s="741" t="str">
        <f t="shared" si="5"/>
        <v>Jun'24</v>
      </c>
      <c r="M23" s="741" t="str">
        <f t="shared" si="5"/>
        <v>Jul'24</v>
      </c>
      <c r="N23" s="741" t="str">
        <f t="shared" si="5"/>
        <v>Aug'24</v>
      </c>
      <c r="O23" s="741" t="str">
        <f t="shared" si="5"/>
        <v>Sep'24</v>
      </c>
      <c r="P23" s="741" t="str">
        <f t="shared" si="5"/>
        <v>Okt'24</v>
      </c>
      <c r="Q23" s="741" t="str">
        <f t="shared" si="5"/>
        <v>Nov'24</v>
      </c>
      <c r="R23" s="741" t="str">
        <f t="shared" si="5"/>
        <v>Dec'24</v>
      </c>
      <c r="S23" s="741" t="str">
        <f t="shared" si="5"/>
        <v>Jan'25</v>
      </c>
      <c r="T23" s="741" t="str">
        <f t="shared" si="5"/>
        <v>Feb'25</v>
      </c>
      <c r="U23" s="741" t="str">
        <f t="shared" si="5"/>
        <v>Mrt'25</v>
      </c>
      <c r="V23" s="741" t="str">
        <f t="shared" si="5"/>
        <v>Apr'25</v>
      </c>
      <c r="W23" s="741" t="str">
        <f t="shared" si="5"/>
        <v>Mei'25</v>
      </c>
      <c r="X23" s="741" t="str">
        <f t="shared" si="5"/>
        <v>Jun'25</v>
      </c>
      <c r="Y23" s="741" t="str">
        <f t="shared" si="5"/>
        <v>Jul'25</v>
      </c>
      <c r="Z23" s="741" t="str">
        <f t="shared" si="5"/>
        <v>Aug'25</v>
      </c>
      <c r="AA23" s="741" t="str">
        <f t="shared" si="5"/>
        <v>Sep'25</v>
      </c>
      <c r="AB23" s="741" t="str">
        <f t="shared" si="5"/>
        <v>Okt'25</v>
      </c>
      <c r="AC23" s="741" t="str">
        <f t="shared" si="5"/>
        <v>Nov'25</v>
      </c>
      <c r="AD23" s="741" t="str">
        <f t="shared" si="5"/>
        <v>Dec'25</v>
      </c>
      <c r="AE23" s="741" t="str">
        <f t="shared" si="5"/>
        <v>Jan'26</v>
      </c>
      <c r="AF23" s="741" t="str">
        <f t="shared" si="5"/>
        <v>Feb'26</v>
      </c>
      <c r="AG23" s="741" t="str">
        <f t="shared" si="5"/>
        <v>Mrt'26</v>
      </c>
      <c r="AH23" s="741" t="str">
        <f t="shared" si="5"/>
        <v>Apr'26</v>
      </c>
      <c r="AI23" s="741" t="str">
        <f t="shared" si="5"/>
        <v>Mei'26</v>
      </c>
      <c r="AJ23" s="741" t="str">
        <f t="shared" si="5"/>
        <v>Jun'26</v>
      </c>
      <c r="AK23" s="741" t="str">
        <f t="shared" si="5"/>
        <v>Jul'26</v>
      </c>
      <c r="AL23" s="741" t="str">
        <f t="shared" si="5"/>
        <v>Aug'26</v>
      </c>
      <c r="AM23" s="741" t="str">
        <f t="shared" si="5"/>
        <v>Sep'26</v>
      </c>
      <c r="AN23" s="741" t="str">
        <f t="shared" si="5"/>
        <v>Okt'26</v>
      </c>
      <c r="AO23" s="741" t="str">
        <f t="shared" si="5"/>
        <v>Nov'26</v>
      </c>
      <c r="AP23" s="741" t="str">
        <f t="shared" si="5"/>
        <v>Dec'26</v>
      </c>
      <c r="AQ23" s="741" t="str">
        <f t="shared" si="5"/>
        <v>Jan'27</v>
      </c>
      <c r="AR23" s="741" t="str">
        <f t="shared" si="5"/>
        <v>Feb'27</v>
      </c>
      <c r="AS23" s="741" t="str">
        <f t="shared" si="5"/>
        <v>Mrt'27</v>
      </c>
      <c r="AT23" s="741" t="str">
        <f t="shared" si="5"/>
        <v>Apr'27</v>
      </c>
      <c r="AU23" s="741" t="str">
        <f t="shared" si="5"/>
        <v>Mei'27</v>
      </c>
      <c r="AV23" s="741" t="str">
        <f t="shared" si="5"/>
        <v>Jun'27</v>
      </c>
      <c r="AW23" s="741" t="str">
        <f t="shared" si="5"/>
        <v>Jul'27</v>
      </c>
      <c r="AX23" s="741" t="str">
        <f t="shared" si="5"/>
        <v>Aug'27</v>
      </c>
      <c r="AY23" s="741" t="str">
        <f t="shared" si="5"/>
        <v>Sep'27</v>
      </c>
      <c r="AZ23" s="741" t="str">
        <f t="shared" si="5"/>
        <v>Okt'27</v>
      </c>
      <c r="BA23" s="741" t="str">
        <f t="shared" si="5"/>
        <v>Nov'27</v>
      </c>
      <c r="BB23" s="741" t="str">
        <f t="shared" si="5"/>
        <v>Dec'27</v>
      </c>
      <c r="BC23" s="741" t="str">
        <f t="shared" si="5"/>
        <v>Jan'28</v>
      </c>
      <c r="BD23" s="741" t="str">
        <f t="shared" si="5"/>
        <v>Feb'28</v>
      </c>
      <c r="BE23" s="741" t="str">
        <f t="shared" si="5"/>
        <v>Mrt'28</v>
      </c>
      <c r="BF23" s="741" t="str">
        <f t="shared" si="5"/>
        <v>Apr'28</v>
      </c>
      <c r="BG23" s="741" t="str">
        <f t="shared" si="5"/>
        <v>Mei'28</v>
      </c>
      <c r="BH23" s="741" t="str">
        <f t="shared" si="5"/>
        <v>Jun'28</v>
      </c>
      <c r="BI23" s="741" t="str">
        <f t="shared" si="5"/>
        <v>Jul'28</v>
      </c>
      <c r="BJ23" s="741" t="str">
        <f t="shared" si="5"/>
        <v>Aug'28</v>
      </c>
      <c r="BK23" s="741" t="str">
        <f t="shared" si="5"/>
        <v>Sep'28</v>
      </c>
      <c r="BL23" s="741" t="str">
        <f t="shared" si="5"/>
        <v>Okt'28</v>
      </c>
      <c r="BM23" s="741" t="str">
        <f t="shared" si="5"/>
        <v>Nov'28</v>
      </c>
      <c r="BN23" s="741" t="str">
        <f t="shared" si="5"/>
        <v>Dec'28</v>
      </c>
    </row>
    <row r="24" spans="3:66" ht="14.1" customHeight="1" x14ac:dyDescent="0.25">
      <c r="C24" s="4" t="s">
        <v>25</v>
      </c>
      <c r="D24" s="5">
        <f>Balans!D33</f>
        <v>0</v>
      </c>
      <c r="E24" s="5">
        <f>Balans!E33</f>
        <v>0</v>
      </c>
      <c r="F24" s="21">
        <f>Balans!F33</f>
        <v>0</v>
      </c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</row>
    <row r="25" spans="3:66" ht="14.1" customHeight="1" x14ac:dyDescent="0.25">
      <c r="C25" s="4" t="s">
        <v>26</v>
      </c>
      <c r="D25" s="4">
        <f>Historiek!D85/1000</f>
        <v>0</v>
      </c>
      <c r="E25" s="4">
        <f>Historiek!E85/1000</f>
        <v>0</v>
      </c>
      <c r="F25" s="4">
        <f>Historiek!F85/1000</f>
        <v>0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</row>
    <row r="26" spans="3:66" ht="14.1" customHeight="1" x14ac:dyDescent="0.25">
      <c r="C26" s="4" t="s">
        <v>775</v>
      </c>
      <c r="D26" s="4">
        <f>Balans!D36</f>
        <v>0</v>
      </c>
      <c r="E26" s="4">
        <f>Balans!E36</f>
        <v>0</v>
      </c>
      <c r="F26" s="14">
        <f>Balans!F36</f>
        <v>0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</row>
    <row r="27" spans="3:66" ht="14.1" customHeight="1" x14ac:dyDescent="0.25">
      <c r="C27" s="4" t="s">
        <v>832</v>
      </c>
      <c r="D27" s="4">
        <f>(Historiek!D91+Historiek!D92)/1000</f>
        <v>0</v>
      </c>
      <c r="E27" s="4">
        <f>(Historiek!E91+Historiek!E92)/1000</f>
        <v>0</v>
      </c>
      <c r="F27" s="4">
        <f>(Historiek!F91+Historiek!F92)/1000</f>
        <v>0</v>
      </c>
      <c r="G27" s="4">
        <f>F27+F28</f>
        <v>0</v>
      </c>
      <c r="H27" s="4">
        <f t="shared" ref="H27:BN27" si="6">G27+G28</f>
        <v>0</v>
      </c>
      <c r="I27" s="4">
        <f t="shared" si="6"/>
        <v>0</v>
      </c>
      <c r="J27" s="4">
        <f t="shared" si="6"/>
        <v>0</v>
      </c>
      <c r="K27" s="4">
        <f t="shared" si="6"/>
        <v>0</v>
      </c>
      <c r="L27" s="4">
        <f t="shared" si="6"/>
        <v>0</v>
      </c>
      <c r="M27" s="4">
        <f t="shared" si="6"/>
        <v>0</v>
      </c>
      <c r="N27" s="4">
        <f t="shared" si="6"/>
        <v>0</v>
      </c>
      <c r="O27" s="4">
        <f t="shared" si="6"/>
        <v>0</v>
      </c>
      <c r="P27" s="4">
        <f t="shared" si="6"/>
        <v>0</v>
      </c>
      <c r="Q27" s="4">
        <f t="shared" si="6"/>
        <v>0</v>
      </c>
      <c r="R27" s="4">
        <f t="shared" si="6"/>
        <v>0</v>
      </c>
      <c r="S27" s="4">
        <f t="shared" si="6"/>
        <v>0</v>
      </c>
      <c r="T27" s="4">
        <f t="shared" si="6"/>
        <v>0</v>
      </c>
      <c r="U27" s="4">
        <f t="shared" si="6"/>
        <v>0</v>
      </c>
      <c r="V27" s="4">
        <f t="shared" si="6"/>
        <v>0</v>
      </c>
      <c r="W27" s="4">
        <f t="shared" si="6"/>
        <v>0</v>
      </c>
      <c r="X27" s="4">
        <f t="shared" si="6"/>
        <v>0</v>
      </c>
      <c r="Y27" s="4">
        <f t="shared" si="6"/>
        <v>0</v>
      </c>
      <c r="Z27" s="4">
        <f t="shared" si="6"/>
        <v>0</v>
      </c>
      <c r="AA27" s="4">
        <f t="shared" si="6"/>
        <v>0</v>
      </c>
      <c r="AB27" s="4">
        <f t="shared" si="6"/>
        <v>0</v>
      </c>
      <c r="AC27" s="4">
        <f t="shared" si="6"/>
        <v>0</v>
      </c>
      <c r="AD27" s="4">
        <f t="shared" si="6"/>
        <v>0</v>
      </c>
      <c r="AE27" s="4">
        <f t="shared" si="6"/>
        <v>0</v>
      </c>
      <c r="AF27" s="4">
        <f t="shared" si="6"/>
        <v>0</v>
      </c>
      <c r="AG27" s="4">
        <f t="shared" si="6"/>
        <v>0</v>
      </c>
      <c r="AH27" s="4">
        <f t="shared" si="6"/>
        <v>0</v>
      </c>
      <c r="AI27" s="4">
        <f t="shared" si="6"/>
        <v>0</v>
      </c>
      <c r="AJ27" s="4">
        <f t="shared" si="6"/>
        <v>0</v>
      </c>
      <c r="AK27" s="4">
        <f t="shared" si="6"/>
        <v>0</v>
      </c>
      <c r="AL27" s="4">
        <f t="shared" si="6"/>
        <v>0</v>
      </c>
      <c r="AM27" s="4">
        <f t="shared" si="6"/>
        <v>0</v>
      </c>
      <c r="AN27" s="4">
        <f t="shared" si="6"/>
        <v>0</v>
      </c>
      <c r="AO27" s="4">
        <f t="shared" si="6"/>
        <v>0</v>
      </c>
      <c r="AP27" s="4">
        <f t="shared" si="6"/>
        <v>0</v>
      </c>
      <c r="AQ27" s="4">
        <f t="shared" si="6"/>
        <v>0</v>
      </c>
      <c r="AR27" s="4">
        <f t="shared" si="6"/>
        <v>0</v>
      </c>
      <c r="AS27" s="4">
        <f t="shared" si="6"/>
        <v>0</v>
      </c>
      <c r="AT27" s="4">
        <f t="shared" si="6"/>
        <v>0</v>
      </c>
      <c r="AU27" s="4">
        <f t="shared" si="6"/>
        <v>0</v>
      </c>
      <c r="AV27" s="4">
        <f t="shared" si="6"/>
        <v>0</v>
      </c>
      <c r="AW27" s="4">
        <f t="shared" si="6"/>
        <v>0</v>
      </c>
      <c r="AX27" s="4">
        <f t="shared" si="6"/>
        <v>0</v>
      </c>
      <c r="AY27" s="4">
        <f t="shared" si="6"/>
        <v>0</v>
      </c>
      <c r="AZ27" s="4">
        <f t="shared" si="6"/>
        <v>0</v>
      </c>
      <c r="BA27" s="4">
        <f t="shared" si="6"/>
        <v>0</v>
      </c>
      <c r="BB27" s="4">
        <f t="shared" si="6"/>
        <v>0</v>
      </c>
      <c r="BC27" s="4">
        <f t="shared" si="6"/>
        <v>0</v>
      </c>
      <c r="BD27" s="4">
        <f t="shared" si="6"/>
        <v>0</v>
      </c>
      <c r="BE27" s="4">
        <f t="shared" si="6"/>
        <v>0</v>
      </c>
      <c r="BF27" s="4">
        <f t="shared" si="6"/>
        <v>0</v>
      </c>
      <c r="BG27" s="4">
        <f t="shared" si="6"/>
        <v>0</v>
      </c>
      <c r="BH27" s="4">
        <f t="shared" si="6"/>
        <v>0</v>
      </c>
      <c r="BI27" s="4">
        <f t="shared" si="6"/>
        <v>0</v>
      </c>
      <c r="BJ27" s="4">
        <f t="shared" si="6"/>
        <v>0</v>
      </c>
      <c r="BK27" s="4">
        <f t="shared" si="6"/>
        <v>0</v>
      </c>
      <c r="BL27" s="4">
        <f t="shared" si="6"/>
        <v>0</v>
      </c>
      <c r="BM27" s="4">
        <f t="shared" si="6"/>
        <v>0</v>
      </c>
      <c r="BN27" s="4">
        <f t="shared" si="6"/>
        <v>0</v>
      </c>
    </row>
    <row r="28" spans="3:66" ht="14.1" customHeight="1" x14ac:dyDescent="0.25">
      <c r="C28" s="4" t="s">
        <v>1052</v>
      </c>
      <c r="D28" s="4">
        <f>D76</f>
        <v>0</v>
      </c>
      <c r="E28" s="4">
        <f t="shared" ref="E28:BN28" si="7">E76</f>
        <v>0</v>
      </c>
      <c r="F28" s="14">
        <f t="shared" si="7"/>
        <v>0</v>
      </c>
      <c r="G28" s="4">
        <f t="shared" si="7"/>
        <v>0</v>
      </c>
      <c r="H28" s="4">
        <f t="shared" si="7"/>
        <v>0</v>
      </c>
      <c r="I28" s="4">
        <f t="shared" si="7"/>
        <v>0</v>
      </c>
      <c r="J28" s="4">
        <f t="shared" si="7"/>
        <v>0</v>
      </c>
      <c r="K28" s="4">
        <f t="shared" si="7"/>
        <v>0</v>
      </c>
      <c r="L28" s="4">
        <f t="shared" si="7"/>
        <v>0</v>
      </c>
      <c r="M28" s="4">
        <f t="shared" si="7"/>
        <v>0</v>
      </c>
      <c r="N28" s="4">
        <f t="shared" si="7"/>
        <v>0</v>
      </c>
      <c r="O28" s="4">
        <f t="shared" si="7"/>
        <v>0</v>
      </c>
      <c r="P28" s="4">
        <f t="shared" si="7"/>
        <v>0</v>
      </c>
      <c r="Q28" s="4">
        <f t="shared" si="7"/>
        <v>0</v>
      </c>
      <c r="R28" s="4">
        <f t="shared" si="7"/>
        <v>0</v>
      </c>
      <c r="S28" s="4">
        <f t="shared" si="7"/>
        <v>0</v>
      </c>
      <c r="T28" s="4">
        <f t="shared" si="7"/>
        <v>0</v>
      </c>
      <c r="U28" s="4">
        <f t="shared" si="7"/>
        <v>0</v>
      </c>
      <c r="V28" s="4">
        <f t="shared" si="7"/>
        <v>0</v>
      </c>
      <c r="W28" s="4">
        <f t="shared" si="7"/>
        <v>0</v>
      </c>
      <c r="X28" s="4">
        <f t="shared" si="7"/>
        <v>0</v>
      </c>
      <c r="Y28" s="4">
        <f t="shared" si="7"/>
        <v>0</v>
      </c>
      <c r="Z28" s="4">
        <f t="shared" si="7"/>
        <v>0</v>
      </c>
      <c r="AA28" s="4">
        <f t="shared" si="7"/>
        <v>0</v>
      </c>
      <c r="AB28" s="4">
        <f t="shared" si="7"/>
        <v>0</v>
      </c>
      <c r="AC28" s="4">
        <f t="shared" si="7"/>
        <v>0</v>
      </c>
      <c r="AD28" s="4">
        <f t="shared" si="7"/>
        <v>0</v>
      </c>
      <c r="AE28" s="4">
        <f t="shared" si="7"/>
        <v>0</v>
      </c>
      <c r="AF28" s="4">
        <f t="shared" si="7"/>
        <v>0</v>
      </c>
      <c r="AG28" s="4">
        <f t="shared" si="7"/>
        <v>0</v>
      </c>
      <c r="AH28" s="4">
        <f t="shared" si="7"/>
        <v>0</v>
      </c>
      <c r="AI28" s="4">
        <f t="shared" si="7"/>
        <v>0</v>
      </c>
      <c r="AJ28" s="4">
        <f t="shared" si="7"/>
        <v>0</v>
      </c>
      <c r="AK28" s="4">
        <f t="shared" si="7"/>
        <v>0</v>
      </c>
      <c r="AL28" s="4">
        <f t="shared" si="7"/>
        <v>0</v>
      </c>
      <c r="AM28" s="4">
        <f t="shared" si="7"/>
        <v>0</v>
      </c>
      <c r="AN28" s="4">
        <f t="shared" si="7"/>
        <v>0</v>
      </c>
      <c r="AO28" s="4">
        <f t="shared" si="7"/>
        <v>0</v>
      </c>
      <c r="AP28" s="4">
        <f t="shared" si="7"/>
        <v>0</v>
      </c>
      <c r="AQ28" s="4">
        <f t="shared" si="7"/>
        <v>0</v>
      </c>
      <c r="AR28" s="4">
        <f t="shared" si="7"/>
        <v>0</v>
      </c>
      <c r="AS28" s="4">
        <f t="shared" si="7"/>
        <v>0</v>
      </c>
      <c r="AT28" s="4">
        <f t="shared" si="7"/>
        <v>0</v>
      </c>
      <c r="AU28" s="4">
        <f t="shared" si="7"/>
        <v>0</v>
      </c>
      <c r="AV28" s="4">
        <f t="shared" si="7"/>
        <v>0</v>
      </c>
      <c r="AW28" s="4">
        <f t="shared" si="7"/>
        <v>0</v>
      </c>
      <c r="AX28" s="4">
        <f t="shared" si="7"/>
        <v>0</v>
      </c>
      <c r="AY28" s="4">
        <f t="shared" si="7"/>
        <v>0</v>
      </c>
      <c r="AZ28" s="4">
        <f t="shared" si="7"/>
        <v>0</v>
      </c>
      <c r="BA28" s="4">
        <f t="shared" si="7"/>
        <v>0</v>
      </c>
      <c r="BB28" s="4">
        <f t="shared" si="7"/>
        <v>0</v>
      </c>
      <c r="BC28" s="4">
        <f t="shared" si="7"/>
        <v>0</v>
      </c>
      <c r="BD28" s="4">
        <f t="shared" si="7"/>
        <v>0</v>
      </c>
      <c r="BE28" s="4">
        <f t="shared" si="7"/>
        <v>0</v>
      </c>
      <c r="BF28" s="4">
        <f t="shared" si="7"/>
        <v>0</v>
      </c>
      <c r="BG28" s="4">
        <f t="shared" si="7"/>
        <v>0</v>
      </c>
      <c r="BH28" s="4">
        <f t="shared" si="7"/>
        <v>0</v>
      </c>
      <c r="BI28" s="4">
        <f t="shared" si="7"/>
        <v>0</v>
      </c>
      <c r="BJ28" s="4">
        <f t="shared" si="7"/>
        <v>0</v>
      </c>
      <c r="BK28" s="4">
        <f t="shared" si="7"/>
        <v>0</v>
      </c>
      <c r="BL28" s="4">
        <f t="shared" si="7"/>
        <v>0</v>
      </c>
      <c r="BM28" s="4">
        <f t="shared" si="7"/>
        <v>0</v>
      </c>
      <c r="BN28" s="4">
        <f t="shared" si="7"/>
        <v>0</v>
      </c>
    </row>
    <row r="29" spans="3:66" ht="14.1" customHeight="1" x14ac:dyDescent="0.25">
      <c r="C29" s="16" t="s">
        <v>27</v>
      </c>
      <c r="D29" s="16">
        <f t="shared" ref="D29:AI29" si="8">SUM(D24:D28)</f>
        <v>0</v>
      </c>
      <c r="E29" s="16">
        <f t="shared" si="8"/>
        <v>0</v>
      </c>
      <c r="F29" s="17">
        <f t="shared" si="8"/>
        <v>0</v>
      </c>
      <c r="G29" s="16">
        <f t="shared" si="8"/>
        <v>0</v>
      </c>
      <c r="H29" s="16">
        <f t="shared" si="8"/>
        <v>0</v>
      </c>
      <c r="I29" s="16">
        <f t="shared" si="8"/>
        <v>0</v>
      </c>
      <c r="J29" s="16">
        <f t="shared" si="8"/>
        <v>0</v>
      </c>
      <c r="K29" s="16">
        <f t="shared" si="8"/>
        <v>0</v>
      </c>
      <c r="L29" s="16">
        <f>SUM(L24:L28)</f>
        <v>0</v>
      </c>
      <c r="M29" s="16">
        <f t="shared" si="8"/>
        <v>0</v>
      </c>
      <c r="N29" s="16">
        <f t="shared" si="8"/>
        <v>0</v>
      </c>
      <c r="O29" s="16">
        <f t="shared" si="8"/>
        <v>0</v>
      </c>
      <c r="P29" s="16">
        <f t="shared" si="8"/>
        <v>0</v>
      </c>
      <c r="Q29" s="16">
        <f t="shared" si="8"/>
        <v>0</v>
      </c>
      <c r="R29" s="16">
        <f t="shared" si="8"/>
        <v>0</v>
      </c>
      <c r="S29" s="16">
        <f t="shared" si="8"/>
        <v>0</v>
      </c>
      <c r="T29" s="16">
        <f t="shared" si="8"/>
        <v>0</v>
      </c>
      <c r="U29" s="16">
        <f t="shared" si="8"/>
        <v>0</v>
      </c>
      <c r="V29" s="16">
        <f t="shared" si="8"/>
        <v>0</v>
      </c>
      <c r="W29" s="16">
        <f t="shared" si="8"/>
        <v>0</v>
      </c>
      <c r="X29" s="16">
        <f t="shared" si="8"/>
        <v>0</v>
      </c>
      <c r="Y29" s="16">
        <f t="shared" si="8"/>
        <v>0</v>
      </c>
      <c r="Z29" s="16">
        <f t="shared" si="8"/>
        <v>0</v>
      </c>
      <c r="AA29" s="16">
        <f t="shared" si="8"/>
        <v>0</v>
      </c>
      <c r="AB29" s="16">
        <f t="shared" si="8"/>
        <v>0</v>
      </c>
      <c r="AC29" s="16">
        <f t="shared" si="8"/>
        <v>0</v>
      </c>
      <c r="AD29" s="16">
        <f t="shared" si="8"/>
        <v>0</v>
      </c>
      <c r="AE29" s="16">
        <f t="shared" si="8"/>
        <v>0</v>
      </c>
      <c r="AF29" s="16">
        <f t="shared" si="8"/>
        <v>0</v>
      </c>
      <c r="AG29" s="16">
        <f t="shared" si="8"/>
        <v>0</v>
      </c>
      <c r="AH29" s="16">
        <f t="shared" si="8"/>
        <v>0</v>
      </c>
      <c r="AI29" s="16">
        <f t="shared" si="8"/>
        <v>0</v>
      </c>
      <c r="AJ29" s="16">
        <f t="shared" ref="AJ29:BN29" si="9">SUM(AJ24:AJ28)</f>
        <v>0</v>
      </c>
      <c r="AK29" s="16">
        <f t="shared" si="9"/>
        <v>0</v>
      </c>
      <c r="AL29" s="16">
        <f t="shared" si="9"/>
        <v>0</v>
      </c>
      <c r="AM29" s="16">
        <f t="shared" si="9"/>
        <v>0</v>
      </c>
      <c r="AN29" s="16">
        <f t="shared" si="9"/>
        <v>0</v>
      </c>
      <c r="AO29" s="16">
        <f t="shared" si="9"/>
        <v>0</v>
      </c>
      <c r="AP29" s="16">
        <f t="shared" si="9"/>
        <v>0</v>
      </c>
      <c r="AQ29" s="16">
        <f t="shared" si="9"/>
        <v>0</v>
      </c>
      <c r="AR29" s="16">
        <f t="shared" si="9"/>
        <v>0</v>
      </c>
      <c r="AS29" s="16">
        <f t="shared" si="9"/>
        <v>0</v>
      </c>
      <c r="AT29" s="16">
        <f t="shared" si="9"/>
        <v>0</v>
      </c>
      <c r="AU29" s="16">
        <f t="shared" si="9"/>
        <v>0</v>
      </c>
      <c r="AV29" s="16">
        <f t="shared" si="9"/>
        <v>0</v>
      </c>
      <c r="AW29" s="16">
        <f t="shared" si="9"/>
        <v>0</v>
      </c>
      <c r="AX29" s="16">
        <f t="shared" si="9"/>
        <v>0</v>
      </c>
      <c r="AY29" s="16">
        <f t="shared" si="9"/>
        <v>0</v>
      </c>
      <c r="AZ29" s="16">
        <f t="shared" si="9"/>
        <v>0</v>
      </c>
      <c r="BA29" s="16">
        <f t="shared" si="9"/>
        <v>0</v>
      </c>
      <c r="BB29" s="16">
        <f t="shared" si="9"/>
        <v>0</v>
      </c>
      <c r="BC29" s="16">
        <f t="shared" si="9"/>
        <v>0</v>
      </c>
      <c r="BD29" s="16">
        <f t="shared" si="9"/>
        <v>0</v>
      </c>
      <c r="BE29" s="16">
        <f t="shared" si="9"/>
        <v>0</v>
      </c>
      <c r="BF29" s="16">
        <f t="shared" si="9"/>
        <v>0</v>
      </c>
      <c r="BG29" s="16">
        <f t="shared" si="9"/>
        <v>0</v>
      </c>
      <c r="BH29" s="16">
        <f t="shared" si="9"/>
        <v>0</v>
      </c>
      <c r="BI29" s="16">
        <f t="shared" si="9"/>
        <v>0</v>
      </c>
      <c r="BJ29" s="16">
        <f t="shared" si="9"/>
        <v>0</v>
      </c>
      <c r="BK29" s="16">
        <f t="shared" si="9"/>
        <v>0</v>
      </c>
      <c r="BL29" s="16">
        <f t="shared" si="9"/>
        <v>0</v>
      </c>
      <c r="BM29" s="16">
        <f t="shared" si="9"/>
        <v>0</v>
      </c>
      <c r="BN29" s="16">
        <f t="shared" si="9"/>
        <v>0</v>
      </c>
    </row>
    <row r="30" spans="3:66" ht="14.1" customHeight="1" x14ac:dyDescent="0.25">
      <c r="C30" s="16" t="s">
        <v>1011</v>
      </c>
      <c r="D30" s="16">
        <f>Balans!D40</f>
        <v>0</v>
      </c>
      <c r="E30" s="16">
        <f>Balans!E40</f>
        <v>0</v>
      </c>
      <c r="F30" s="17">
        <f>Balans!F40</f>
        <v>0</v>
      </c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6"/>
    </row>
    <row r="31" spans="3:66" ht="14.1" customHeight="1" x14ac:dyDescent="0.25">
      <c r="C31" s="4" t="s">
        <v>28</v>
      </c>
      <c r="D31" s="4">
        <f>Balans!D44</f>
        <v>0</v>
      </c>
      <c r="E31" s="4">
        <f>Balans!E44</f>
        <v>0</v>
      </c>
      <c r="F31" s="14">
        <f>Balans!F44</f>
        <v>0</v>
      </c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</row>
    <row r="32" spans="3:66" ht="14.1" customHeight="1" x14ac:dyDescent="0.25">
      <c r="C32" s="4" t="s">
        <v>29</v>
      </c>
      <c r="D32" s="4">
        <f>(Balans!D43+Balans!D45)</f>
        <v>0</v>
      </c>
      <c r="E32" s="4">
        <f>(Balans!E43+Balans!E45)</f>
        <v>0</v>
      </c>
      <c r="F32" s="14">
        <f>(Balans!F43+Balans!F45)</f>
        <v>0</v>
      </c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</row>
    <row r="33" spans="1:66" ht="14.1" customHeight="1" x14ac:dyDescent="0.25">
      <c r="C33" s="16" t="s">
        <v>30</v>
      </c>
      <c r="D33" s="16">
        <f>SUM(D31:D32)</f>
        <v>0</v>
      </c>
      <c r="E33" s="16">
        <f>SUM(E31:E32)</f>
        <v>0</v>
      </c>
      <c r="F33" s="17">
        <f>SUM(F31:F32)</f>
        <v>0</v>
      </c>
      <c r="G33" s="17">
        <f t="shared" ref="G33:BN33" si="10">SUM(G31:G32)</f>
        <v>0</v>
      </c>
      <c r="H33" s="17">
        <f t="shared" si="10"/>
        <v>0</v>
      </c>
      <c r="I33" s="17">
        <f t="shared" si="10"/>
        <v>0</v>
      </c>
      <c r="J33" s="17">
        <f t="shared" si="10"/>
        <v>0</v>
      </c>
      <c r="K33" s="17">
        <f t="shared" si="10"/>
        <v>0</v>
      </c>
      <c r="L33" s="17">
        <f>SUM(L31:L32)</f>
        <v>0</v>
      </c>
      <c r="M33" s="17">
        <f t="shared" si="10"/>
        <v>0</v>
      </c>
      <c r="N33" s="17">
        <f t="shared" si="10"/>
        <v>0</v>
      </c>
      <c r="O33" s="17">
        <f t="shared" si="10"/>
        <v>0</v>
      </c>
      <c r="P33" s="17">
        <f t="shared" si="10"/>
        <v>0</v>
      </c>
      <c r="Q33" s="17">
        <f t="shared" si="10"/>
        <v>0</v>
      </c>
      <c r="R33" s="17">
        <f t="shared" si="10"/>
        <v>0</v>
      </c>
      <c r="S33" s="17">
        <f t="shared" si="10"/>
        <v>0</v>
      </c>
      <c r="T33" s="17">
        <f t="shared" si="10"/>
        <v>0</v>
      </c>
      <c r="U33" s="17">
        <f t="shared" si="10"/>
        <v>0</v>
      </c>
      <c r="V33" s="17">
        <f t="shared" si="10"/>
        <v>0</v>
      </c>
      <c r="W33" s="17">
        <f t="shared" si="10"/>
        <v>0</v>
      </c>
      <c r="X33" s="17">
        <f t="shared" si="10"/>
        <v>0</v>
      </c>
      <c r="Y33" s="17">
        <f t="shared" si="10"/>
        <v>0</v>
      </c>
      <c r="Z33" s="17">
        <f t="shared" si="10"/>
        <v>0</v>
      </c>
      <c r="AA33" s="17">
        <f t="shared" si="10"/>
        <v>0</v>
      </c>
      <c r="AB33" s="17">
        <f t="shared" si="10"/>
        <v>0</v>
      </c>
      <c r="AC33" s="17">
        <f t="shared" si="10"/>
        <v>0</v>
      </c>
      <c r="AD33" s="17">
        <f t="shared" si="10"/>
        <v>0</v>
      </c>
      <c r="AE33" s="17">
        <f t="shared" si="10"/>
        <v>0</v>
      </c>
      <c r="AF33" s="17">
        <f t="shared" si="10"/>
        <v>0</v>
      </c>
      <c r="AG33" s="17">
        <f t="shared" si="10"/>
        <v>0</v>
      </c>
      <c r="AH33" s="17">
        <f t="shared" si="10"/>
        <v>0</v>
      </c>
      <c r="AI33" s="17">
        <f t="shared" si="10"/>
        <v>0</v>
      </c>
      <c r="AJ33" s="17">
        <f t="shared" si="10"/>
        <v>0</v>
      </c>
      <c r="AK33" s="17">
        <f t="shared" si="10"/>
        <v>0</v>
      </c>
      <c r="AL33" s="17">
        <f t="shared" si="10"/>
        <v>0</v>
      </c>
      <c r="AM33" s="17">
        <f t="shared" si="10"/>
        <v>0</v>
      </c>
      <c r="AN33" s="17">
        <f t="shared" si="10"/>
        <v>0</v>
      </c>
      <c r="AO33" s="17">
        <f t="shared" si="10"/>
        <v>0</v>
      </c>
      <c r="AP33" s="17">
        <f t="shared" si="10"/>
        <v>0</v>
      </c>
      <c r="AQ33" s="17">
        <f t="shared" si="10"/>
        <v>0</v>
      </c>
      <c r="AR33" s="17">
        <f t="shared" si="10"/>
        <v>0</v>
      </c>
      <c r="AS33" s="17">
        <f t="shared" si="10"/>
        <v>0</v>
      </c>
      <c r="AT33" s="17">
        <f t="shared" si="10"/>
        <v>0</v>
      </c>
      <c r="AU33" s="17">
        <f t="shared" si="10"/>
        <v>0</v>
      </c>
      <c r="AV33" s="17">
        <f t="shared" si="10"/>
        <v>0</v>
      </c>
      <c r="AW33" s="17">
        <f t="shared" si="10"/>
        <v>0</v>
      </c>
      <c r="AX33" s="17">
        <f t="shared" si="10"/>
        <v>0</v>
      </c>
      <c r="AY33" s="17">
        <f t="shared" si="10"/>
        <v>0</v>
      </c>
      <c r="AZ33" s="17">
        <f t="shared" si="10"/>
        <v>0</v>
      </c>
      <c r="BA33" s="17">
        <f t="shared" si="10"/>
        <v>0</v>
      </c>
      <c r="BB33" s="17">
        <f t="shared" si="10"/>
        <v>0</v>
      </c>
      <c r="BC33" s="17">
        <f t="shared" si="10"/>
        <v>0</v>
      </c>
      <c r="BD33" s="17">
        <f t="shared" si="10"/>
        <v>0</v>
      </c>
      <c r="BE33" s="17">
        <f t="shared" si="10"/>
        <v>0</v>
      </c>
      <c r="BF33" s="17">
        <f t="shared" si="10"/>
        <v>0</v>
      </c>
      <c r="BG33" s="17">
        <f t="shared" si="10"/>
        <v>0</v>
      </c>
      <c r="BH33" s="17">
        <f t="shared" si="10"/>
        <v>0</v>
      </c>
      <c r="BI33" s="17">
        <f t="shared" si="10"/>
        <v>0</v>
      </c>
      <c r="BJ33" s="17">
        <f t="shared" si="10"/>
        <v>0</v>
      </c>
      <c r="BK33" s="17">
        <f t="shared" si="10"/>
        <v>0</v>
      </c>
      <c r="BL33" s="17">
        <f t="shared" si="10"/>
        <v>0</v>
      </c>
      <c r="BM33" s="17">
        <f t="shared" si="10"/>
        <v>0</v>
      </c>
      <c r="BN33" s="17">
        <f t="shared" si="10"/>
        <v>0</v>
      </c>
    </row>
    <row r="34" spans="1:66" ht="14.1" customHeight="1" x14ac:dyDescent="0.25">
      <c r="C34" s="413" t="s">
        <v>31</v>
      </c>
      <c r="D34" s="4">
        <f>Balans!D47</f>
        <v>0</v>
      </c>
      <c r="E34" s="4">
        <f>Balans!E47</f>
        <v>0</v>
      </c>
      <c r="F34" s="14">
        <f>Balans!F47</f>
        <v>0</v>
      </c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</row>
    <row r="35" spans="1:66" ht="14.1" customHeight="1" x14ac:dyDescent="0.25">
      <c r="C35" s="413" t="s">
        <v>28</v>
      </c>
      <c r="D35" s="4">
        <f>Balans!D48</f>
        <v>0</v>
      </c>
      <c r="E35" s="4">
        <f>Balans!E48</f>
        <v>0</v>
      </c>
      <c r="F35" s="14">
        <f>Balans!F48</f>
        <v>0</v>
      </c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</row>
    <row r="36" spans="1:66" ht="14.1" customHeight="1" x14ac:dyDescent="0.25">
      <c r="C36" s="413" t="s">
        <v>32</v>
      </c>
      <c r="D36" s="413">
        <f>Balans!D49</f>
        <v>0</v>
      </c>
      <c r="E36" s="413">
        <f>Balans!E49</f>
        <v>0</v>
      </c>
      <c r="F36" s="19">
        <f>Balans!F49</f>
        <v>0</v>
      </c>
      <c r="G36" s="413"/>
      <c r="H36" s="413"/>
      <c r="I36" s="413"/>
      <c r="J36" s="413"/>
      <c r="K36" s="413"/>
      <c r="L36" s="413"/>
      <c r="M36" s="413"/>
      <c r="N36" s="413"/>
      <c r="O36" s="413"/>
      <c r="P36" s="413"/>
      <c r="Q36" s="413"/>
      <c r="R36" s="413"/>
      <c r="S36" s="413"/>
      <c r="T36" s="413"/>
      <c r="U36" s="413"/>
      <c r="V36" s="413"/>
      <c r="W36" s="413"/>
      <c r="X36" s="413"/>
      <c r="Y36" s="413"/>
      <c r="Z36" s="413"/>
      <c r="AA36" s="413"/>
      <c r="AB36" s="413"/>
      <c r="AC36" s="413"/>
      <c r="AD36" s="413"/>
      <c r="AE36" s="413"/>
      <c r="AF36" s="413"/>
      <c r="AG36" s="413"/>
      <c r="AH36" s="413"/>
      <c r="AI36" s="413"/>
      <c r="AJ36" s="413"/>
      <c r="AK36" s="413"/>
      <c r="AL36" s="413"/>
      <c r="AM36" s="413"/>
      <c r="AN36" s="413"/>
      <c r="AO36" s="413"/>
      <c r="AP36" s="413"/>
      <c r="AQ36" s="413"/>
      <c r="AR36" s="413"/>
      <c r="AS36" s="413"/>
      <c r="AT36" s="413"/>
      <c r="AU36" s="413"/>
      <c r="AV36" s="413"/>
      <c r="AW36" s="413"/>
      <c r="AX36" s="413"/>
      <c r="AY36" s="413"/>
      <c r="AZ36" s="413"/>
      <c r="BA36" s="413"/>
      <c r="BB36" s="413"/>
      <c r="BC36" s="413"/>
      <c r="BD36" s="413"/>
      <c r="BE36" s="413"/>
      <c r="BF36" s="413"/>
      <c r="BG36" s="413"/>
      <c r="BH36" s="413"/>
      <c r="BI36" s="413"/>
      <c r="BJ36" s="413"/>
      <c r="BK36" s="413"/>
      <c r="BL36" s="413"/>
      <c r="BM36" s="413"/>
      <c r="BN36" s="413"/>
    </row>
    <row r="37" spans="1:66" ht="14.1" customHeight="1" x14ac:dyDescent="0.25">
      <c r="C37" s="413" t="s">
        <v>1054</v>
      </c>
      <c r="D37" s="413">
        <f>Balans!D50</f>
        <v>0</v>
      </c>
      <c r="E37" s="413">
        <f>Balans!E50</f>
        <v>0</v>
      </c>
      <c r="F37" s="19">
        <f>Balans!F50</f>
        <v>0</v>
      </c>
      <c r="G37" s="413"/>
      <c r="H37" s="413"/>
      <c r="I37" s="413"/>
      <c r="J37" s="413"/>
      <c r="K37" s="413"/>
      <c r="L37" s="413"/>
      <c r="M37" s="413"/>
      <c r="N37" s="413"/>
      <c r="O37" s="413"/>
      <c r="P37" s="413"/>
      <c r="Q37" s="413"/>
      <c r="R37" s="413"/>
      <c r="S37" s="413"/>
      <c r="T37" s="413"/>
      <c r="U37" s="413"/>
      <c r="V37" s="413"/>
      <c r="W37" s="413"/>
      <c r="X37" s="413"/>
      <c r="Y37" s="413"/>
      <c r="Z37" s="413"/>
      <c r="AA37" s="413"/>
      <c r="AB37" s="413"/>
      <c r="AC37" s="413"/>
      <c r="AD37" s="413"/>
      <c r="AE37" s="413"/>
      <c r="AF37" s="413"/>
      <c r="AG37" s="413"/>
      <c r="AH37" s="413"/>
      <c r="AI37" s="413"/>
      <c r="AJ37" s="413"/>
      <c r="AK37" s="413"/>
      <c r="AL37" s="413"/>
      <c r="AM37" s="413"/>
      <c r="AN37" s="413"/>
      <c r="AO37" s="413"/>
      <c r="AP37" s="413"/>
      <c r="AQ37" s="413"/>
      <c r="AR37" s="413"/>
      <c r="AS37" s="413"/>
      <c r="AT37" s="413"/>
      <c r="AU37" s="413"/>
      <c r="AV37" s="413"/>
      <c r="AW37" s="413"/>
      <c r="AX37" s="413"/>
      <c r="AY37" s="413"/>
      <c r="AZ37" s="413"/>
      <c r="BA37" s="413"/>
      <c r="BB37" s="413"/>
      <c r="BC37" s="413"/>
      <c r="BD37" s="413"/>
      <c r="BE37" s="413"/>
      <c r="BF37" s="413"/>
      <c r="BG37" s="413"/>
      <c r="BH37" s="413"/>
      <c r="BI37" s="413"/>
      <c r="BJ37" s="413"/>
      <c r="BK37" s="413"/>
      <c r="BL37" s="413"/>
      <c r="BM37" s="413"/>
      <c r="BN37" s="413"/>
    </row>
    <row r="38" spans="1:66" ht="14.1" customHeight="1" x14ac:dyDescent="0.25">
      <c r="C38" s="414" t="s">
        <v>33</v>
      </c>
      <c r="D38" s="413">
        <f>Balans!D51</f>
        <v>0</v>
      </c>
      <c r="E38" s="413">
        <f>Balans!E51</f>
        <v>0</v>
      </c>
      <c r="F38" s="19">
        <f>Balans!F51</f>
        <v>0</v>
      </c>
      <c r="G38" s="413"/>
      <c r="H38" s="413"/>
      <c r="I38" s="413"/>
      <c r="J38" s="413"/>
      <c r="K38" s="413"/>
      <c r="L38" s="413"/>
      <c r="M38" s="413"/>
      <c r="N38" s="413"/>
      <c r="O38" s="413"/>
      <c r="P38" s="413"/>
      <c r="Q38" s="413"/>
      <c r="R38" s="413"/>
      <c r="S38" s="413"/>
      <c r="T38" s="413"/>
      <c r="U38" s="413"/>
      <c r="V38" s="413"/>
      <c r="W38" s="413"/>
      <c r="X38" s="413"/>
      <c r="Y38" s="413"/>
      <c r="Z38" s="413"/>
      <c r="AA38" s="413"/>
      <c r="AB38" s="413"/>
      <c r="AC38" s="413"/>
      <c r="AD38" s="413"/>
      <c r="AE38" s="413"/>
      <c r="AF38" s="413"/>
      <c r="AG38" s="413"/>
      <c r="AH38" s="413"/>
      <c r="AI38" s="413"/>
      <c r="AJ38" s="413"/>
      <c r="AK38" s="413"/>
      <c r="AL38" s="413"/>
      <c r="AM38" s="413"/>
      <c r="AN38" s="413"/>
      <c r="AO38" s="413"/>
      <c r="AP38" s="413"/>
      <c r="AQ38" s="413"/>
      <c r="AR38" s="413"/>
      <c r="AS38" s="413"/>
      <c r="AT38" s="413"/>
      <c r="AU38" s="413"/>
      <c r="AV38" s="413"/>
      <c r="AW38" s="413"/>
      <c r="AX38" s="413"/>
      <c r="AY38" s="413"/>
      <c r="AZ38" s="413"/>
      <c r="BA38" s="413"/>
      <c r="BB38" s="413"/>
      <c r="BC38" s="413"/>
      <c r="BD38" s="413"/>
      <c r="BE38" s="413"/>
      <c r="BF38" s="413"/>
      <c r="BG38" s="413"/>
      <c r="BH38" s="413"/>
      <c r="BI38" s="413"/>
      <c r="BJ38" s="413"/>
      <c r="BK38" s="413"/>
      <c r="BL38" s="413"/>
      <c r="BM38" s="413"/>
      <c r="BN38" s="413"/>
    </row>
    <row r="39" spans="1:66" ht="14.1" customHeight="1" x14ac:dyDescent="0.25">
      <c r="C39" s="414" t="s">
        <v>34</v>
      </c>
      <c r="D39" s="413">
        <f>Balans!D52</f>
        <v>0</v>
      </c>
      <c r="E39" s="413">
        <f>Balans!E52</f>
        <v>0</v>
      </c>
      <c r="F39" s="19">
        <f>Balans!F52</f>
        <v>0</v>
      </c>
      <c r="G39" s="413"/>
      <c r="H39" s="413"/>
      <c r="I39" s="413"/>
      <c r="J39" s="413"/>
      <c r="K39" s="413"/>
      <c r="L39" s="413"/>
      <c r="M39" s="413"/>
      <c r="N39" s="413"/>
      <c r="O39" s="413"/>
      <c r="P39" s="413"/>
      <c r="Q39" s="413"/>
      <c r="R39" s="413"/>
      <c r="S39" s="413"/>
      <c r="T39" s="413"/>
      <c r="U39" s="413"/>
      <c r="V39" s="413"/>
      <c r="W39" s="413"/>
      <c r="X39" s="413"/>
      <c r="Y39" s="413"/>
      <c r="Z39" s="413"/>
      <c r="AA39" s="413"/>
      <c r="AB39" s="413"/>
      <c r="AC39" s="413"/>
      <c r="AD39" s="413"/>
      <c r="AE39" s="413"/>
      <c r="AF39" s="413"/>
      <c r="AG39" s="413"/>
      <c r="AH39" s="413"/>
      <c r="AI39" s="413"/>
      <c r="AJ39" s="413"/>
      <c r="AK39" s="413"/>
      <c r="AL39" s="413"/>
      <c r="AM39" s="413"/>
      <c r="AN39" s="413"/>
      <c r="AO39" s="413"/>
      <c r="AP39" s="413"/>
      <c r="AQ39" s="413"/>
      <c r="AR39" s="413"/>
      <c r="AS39" s="413"/>
      <c r="AT39" s="413"/>
      <c r="AU39" s="413"/>
      <c r="AV39" s="413"/>
      <c r="AW39" s="413"/>
      <c r="AX39" s="413"/>
      <c r="AY39" s="413"/>
      <c r="AZ39" s="413"/>
      <c r="BA39" s="413"/>
      <c r="BB39" s="413"/>
      <c r="BC39" s="413"/>
      <c r="BD39" s="413"/>
      <c r="BE39" s="413"/>
      <c r="BF39" s="413"/>
      <c r="BG39" s="413"/>
      <c r="BH39" s="413"/>
      <c r="BI39" s="413"/>
      <c r="BJ39" s="413"/>
      <c r="BK39" s="413"/>
      <c r="BL39" s="413"/>
      <c r="BM39" s="413"/>
      <c r="BN39" s="413"/>
    </row>
    <row r="40" spans="1:66" ht="14.1" customHeight="1" x14ac:dyDescent="0.25">
      <c r="C40" s="4" t="s">
        <v>35</v>
      </c>
      <c r="D40" s="4">
        <f>Balans!D53</f>
        <v>0</v>
      </c>
      <c r="E40" s="4">
        <f>Balans!E53</f>
        <v>0</v>
      </c>
      <c r="F40" s="14">
        <f>Balans!F53</f>
        <v>0</v>
      </c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</row>
    <row r="41" spans="1:66" ht="14.1" customHeight="1" x14ac:dyDescent="0.25">
      <c r="C41" s="410" t="s">
        <v>36</v>
      </c>
      <c r="D41" s="410">
        <f>SUM(D34:D40)</f>
        <v>0</v>
      </c>
      <c r="E41" s="410">
        <f>SUM(E34:E40)</f>
        <v>0</v>
      </c>
      <c r="F41" s="15">
        <f>SUM(F34:F40)</f>
        <v>0</v>
      </c>
      <c r="G41" s="410">
        <f>SUM(G34:G40)</f>
        <v>0</v>
      </c>
      <c r="H41" s="410">
        <f t="shared" ref="H41:BN41" si="11">SUM(H34:H40)</f>
        <v>0</v>
      </c>
      <c r="I41" s="410">
        <f>SUM(I34:I40)</f>
        <v>0</v>
      </c>
      <c r="J41" s="410">
        <f t="shared" si="11"/>
        <v>0</v>
      </c>
      <c r="K41" s="410">
        <f t="shared" si="11"/>
        <v>0</v>
      </c>
      <c r="L41" s="410">
        <f t="shared" si="11"/>
        <v>0</v>
      </c>
      <c r="M41" s="410">
        <f t="shared" si="11"/>
        <v>0</v>
      </c>
      <c r="N41" s="410">
        <f t="shared" si="11"/>
        <v>0</v>
      </c>
      <c r="O41" s="410">
        <f t="shared" si="11"/>
        <v>0</v>
      </c>
      <c r="P41" s="410">
        <f t="shared" si="11"/>
        <v>0</v>
      </c>
      <c r="Q41" s="410">
        <f t="shared" si="11"/>
        <v>0</v>
      </c>
      <c r="R41" s="410">
        <f t="shared" si="11"/>
        <v>0</v>
      </c>
      <c r="S41" s="410">
        <f t="shared" si="11"/>
        <v>0</v>
      </c>
      <c r="T41" s="410">
        <f t="shared" si="11"/>
        <v>0</v>
      </c>
      <c r="U41" s="410">
        <f t="shared" si="11"/>
        <v>0</v>
      </c>
      <c r="V41" s="410">
        <f t="shared" si="11"/>
        <v>0</v>
      </c>
      <c r="W41" s="410">
        <f t="shared" si="11"/>
        <v>0</v>
      </c>
      <c r="X41" s="410">
        <f t="shared" si="11"/>
        <v>0</v>
      </c>
      <c r="Y41" s="410">
        <f t="shared" si="11"/>
        <v>0</v>
      </c>
      <c r="Z41" s="410">
        <f t="shared" si="11"/>
        <v>0</v>
      </c>
      <c r="AA41" s="410">
        <f t="shared" si="11"/>
        <v>0</v>
      </c>
      <c r="AB41" s="410">
        <f t="shared" si="11"/>
        <v>0</v>
      </c>
      <c r="AC41" s="410">
        <f t="shared" si="11"/>
        <v>0</v>
      </c>
      <c r="AD41" s="410">
        <f t="shared" si="11"/>
        <v>0</v>
      </c>
      <c r="AE41" s="410">
        <f t="shared" si="11"/>
        <v>0</v>
      </c>
      <c r="AF41" s="410">
        <f t="shared" si="11"/>
        <v>0</v>
      </c>
      <c r="AG41" s="410">
        <f t="shared" si="11"/>
        <v>0</v>
      </c>
      <c r="AH41" s="410">
        <f t="shared" si="11"/>
        <v>0</v>
      </c>
      <c r="AI41" s="410">
        <f t="shared" si="11"/>
        <v>0</v>
      </c>
      <c r="AJ41" s="410">
        <f t="shared" si="11"/>
        <v>0</v>
      </c>
      <c r="AK41" s="410">
        <f t="shared" si="11"/>
        <v>0</v>
      </c>
      <c r="AL41" s="410">
        <f t="shared" si="11"/>
        <v>0</v>
      </c>
      <c r="AM41" s="410">
        <f t="shared" si="11"/>
        <v>0</v>
      </c>
      <c r="AN41" s="410">
        <f t="shared" si="11"/>
        <v>0</v>
      </c>
      <c r="AO41" s="410">
        <f t="shared" si="11"/>
        <v>0</v>
      </c>
      <c r="AP41" s="410">
        <f t="shared" si="11"/>
        <v>0</v>
      </c>
      <c r="AQ41" s="410">
        <f t="shared" si="11"/>
        <v>0</v>
      </c>
      <c r="AR41" s="410">
        <f t="shared" si="11"/>
        <v>0</v>
      </c>
      <c r="AS41" s="410">
        <f t="shared" si="11"/>
        <v>0</v>
      </c>
      <c r="AT41" s="410">
        <f t="shared" si="11"/>
        <v>0</v>
      </c>
      <c r="AU41" s="410">
        <f t="shared" si="11"/>
        <v>0</v>
      </c>
      <c r="AV41" s="410">
        <f t="shared" si="11"/>
        <v>0</v>
      </c>
      <c r="AW41" s="410">
        <f t="shared" si="11"/>
        <v>0</v>
      </c>
      <c r="AX41" s="410">
        <f t="shared" si="11"/>
        <v>0</v>
      </c>
      <c r="AY41" s="410">
        <f t="shared" si="11"/>
        <v>0</v>
      </c>
      <c r="AZ41" s="410">
        <f t="shared" si="11"/>
        <v>0</v>
      </c>
      <c r="BA41" s="410">
        <f t="shared" si="11"/>
        <v>0</v>
      </c>
      <c r="BB41" s="410">
        <f t="shared" si="11"/>
        <v>0</v>
      </c>
      <c r="BC41" s="410">
        <f t="shared" si="11"/>
        <v>0</v>
      </c>
      <c r="BD41" s="410">
        <f t="shared" si="11"/>
        <v>0</v>
      </c>
      <c r="BE41" s="410">
        <f t="shared" si="11"/>
        <v>0</v>
      </c>
      <c r="BF41" s="410">
        <f t="shared" si="11"/>
        <v>0</v>
      </c>
      <c r="BG41" s="410">
        <f t="shared" si="11"/>
        <v>0</v>
      </c>
      <c r="BH41" s="410">
        <f t="shared" si="11"/>
        <v>0</v>
      </c>
      <c r="BI41" s="410">
        <f t="shared" si="11"/>
        <v>0</v>
      </c>
      <c r="BJ41" s="410">
        <f t="shared" si="11"/>
        <v>0</v>
      </c>
      <c r="BK41" s="410">
        <f t="shared" si="11"/>
        <v>0</v>
      </c>
      <c r="BL41" s="410">
        <f t="shared" si="11"/>
        <v>0</v>
      </c>
      <c r="BM41" s="410">
        <f t="shared" si="11"/>
        <v>0</v>
      </c>
      <c r="BN41" s="410">
        <f t="shared" si="11"/>
        <v>0</v>
      </c>
    </row>
    <row r="42" spans="1:66" ht="14.1" customHeight="1" x14ac:dyDescent="0.25">
      <c r="C42" s="415" t="s">
        <v>37</v>
      </c>
      <c r="D42" s="16">
        <f>SUM(D29,D30,D33,D41)</f>
        <v>0</v>
      </c>
      <c r="E42" s="16">
        <f>SUM(E29,E30,E33,E41)</f>
        <v>0</v>
      </c>
      <c r="F42" s="17">
        <f>SUM(F29,F30,F33,F41)</f>
        <v>0</v>
      </c>
      <c r="G42" s="16">
        <f>SUM(G29,G30,G33,G41)</f>
        <v>0</v>
      </c>
      <c r="H42" s="16">
        <f t="shared" ref="H42:BN42" si="12">SUM(H29,H30,H33,H41)</f>
        <v>0</v>
      </c>
      <c r="I42" s="16">
        <f t="shared" si="12"/>
        <v>0</v>
      </c>
      <c r="J42" s="16">
        <f t="shared" si="12"/>
        <v>0</v>
      </c>
      <c r="K42" s="16">
        <f>SUM(K29,K30,K33,K41)</f>
        <v>0</v>
      </c>
      <c r="L42" s="16">
        <f t="shared" si="12"/>
        <v>0</v>
      </c>
      <c r="M42" s="16">
        <f t="shared" si="12"/>
        <v>0</v>
      </c>
      <c r="N42" s="16">
        <f t="shared" si="12"/>
        <v>0</v>
      </c>
      <c r="O42" s="16">
        <f t="shared" si="12"/>
        <v>0</v>
      </c>
      <c r="P42" s="16">
        <f t="shared" si="12"/>
        <v>0</v>
      </c>
      <c r="Q42" s="16">
        <f t="shared" si="12"/>
        <v>0</v>
      </c>
      <c r="R42" s="16">
        <f t="shared" si="12"/>
        <v>0</v>
      </c>
      <c r="S42" s="16">
        <f t="shared" si="12"/>
        <v>0</v>
      </c>
      <c r="T42" s="16">
        <f t="shared" si="12"/>
        <v>0</v>
      </c>
      <c r="U42" s="16">
        <f t="shared" si="12"/>
        <v>0</v>
      </c>
      <c r="V42" s="16">
        <f t="shared" si="12"/>
        <v>0</v>
      </c>
      <c r="W42" s="16">
        <f t="shared" si="12"/>
        <v>0</v>
      </c>
      <c r="X42" s="16">
        <f t="shared" si="12"/>
        <v>0</v>
      </c>
      <c r="Y42" s="16">
        <f t="shared" si="12"/>
        <v>0</v>
      </c>
      <c r="Z42" s="16">
        <f t="shared" si="12"/>
        <v>0</v>
      </c>
      <c r="AA42" s="16">
        <f t="shared" si="12"/>
        <v>0</v>
      </c>
      <c r="AB42" s="16">
        <f t="shared" si="12"/>
        <v>0</v>
      </c>
      <c r="AC42" s="16">
        <f t="shared" si="12"/>
        <v>0</v>
      </c>
      <c r="AD42" s="16">
        <f t="shared" si="12"/>
        <v>0</v>
      </c>
      <c r="AE42" s="16">
        <f t="shared" si="12"/>
        <v>0</v>
      </c>
      <c r="AF42" s="16">
        <f t="shared" si="12"/>
        <v>0</v>
      </c>
      <c r="AG42" s="16">
        <f t="shared" si="12"/>
        <v>0</v>
      </c>
      <c r="AH42" s="16">
        <f t="shared" si="12"/>
        <v>0</v>
      </c>
      <c r="AI42" s="16">
        <f t="shared" si="12"/>
        <v>0</v>
      </c>
      <c r="AJ42" s="16">
        <f t="shared" si="12"/>
        <v>0</v>
      </c>
      <c r="AK42" s="16">
        <f t="shared" si="12"/>
        <v>0</v>
      </c>
      <c r="AL42" s="16">
        <f t="shared" si="12"/>
        <v>0</v>
      </c>
      <c r="AM42" s="16">
        <f t="shared" si="12"/>
        <v>0</v>
      </c>
      <c r="AN42" s="16">
        <f t="shared" si="12"/>
        <v>0</v>
      </c>
      <c r="AO42" s="16">
        <f t="shared" si="12"/>
        <v>0</v>
      </c>
      <c r="AP42" s="16">
        <f t="shared" si="12"/>
        <v>0</v>
      </c>
      <c r="AQ42" s="16">
        <f t="shared" si="12"/>
        <v>0</v>
      </c>
      <c r="AR42" s="16">
        <f t="shared" si="12"/>
        <v>0</v>
      </c>
      <c r="AS42" s="16">
        <f t="shared" si="12"/>
        <v>0</v>
      </c>
      <c r="AT42" s="16">
        <f t="shared" si="12"/>
        <v>0</v>
      </c>
      <c r="AU42" s="16">
        <f t="shared" si="12"/>
        <v>0</v>
      </c>
      <c r="AV42" s="16">
        <f t="shared" si="12"/>
        <v>0</v>
      </c>
      <c r="AW42" s="16">
        <f t="shared" si="12"/>
        <v>0</v>
      </c>
      <c r="AX42" s="16">
        <f t="shared" si="12"/>
        <v>0</v>
      </c>
      <c r="AY42" s="16">
        <f t="shared" si="12"/>
        <v>0</v>
      </c>
      <c r="AZ42" s="16">
        <f t="shared" si="12"/>
        <v>0</v>
      </c>
      <c r="BA42" s="16">
        <f t="shared" si="12"/>
        <v>0</v>
      </c>
      <c r="BB42" s="16">
        <f t="shared" si="12"/>
        <v>0</v>
      </c>
      <c r="BC42" s="16">
        <f t="shared" si="12"/>
        <v>0</v>
      </c>
      <c r="BD42" s="16">
        <f t="shared" si="12"/>
        <v>0</v>
      </c>
      <c r="BE42" s="16">
        <f t="shared" si="12"/>
        <v>0</v>
      </c>
      <c r="BF42" s="16">
        <f t="shared" si="12"/>
        <v>0</v>
      </c>
      <c r="BG42" s="16">
        <f t="shared" si="12"/>
        <v>0</v>
      </c>
      <c r="BH42" s="16">
        <f t="shared" si="12"/>
        <v>0</v>
      </c>
      <c r="BI42" s="16">
        <f t="shared" si="12"/>
        <v>0</v>
      </c>
      <c r="BJ42" s="16">
        <f t="shared" si="12"/>
        <v>0</v>
      </c>
      <c r="BK42" s="16">
        <f t="shared" si="12"/>
        <v>0</v>
      </c>
      <c r="BL42" s="16">
        <f t="shared" si="12"/>
        <v>0</v>
      </c>
      <c r="BM42" s="16">
        <f t="shared" si="12"/>
        <v>0</v>
      </c>
      <c r="BN42" s="16">
        <f t="shared" si="12"/>
        <v>0</v>
      </c>
    </row>
    <row r="43" spans="1:66" ht="14.1" customHeight="1" x14ac:dyDescent="0.25">
      <c r="Q43" s="411"/>
    </row>
    <row r="44" spans="1:66" ht="14.1" customHeight="1" outlineLevel="1" x14ac:dyDescent="0.25">
      <c r="A44" s="10">
        <f>SUM(D44:BN44)</f>
        <v>0</v>
      </c>
      <c r="C44" s="8" t="s">
        <v>5</v>
      </c>
      <c r="D44" s="8">
        <f>D42-D20</f>
        <v>0</v>
      </c>
      <c r="E44" s="8">
        <f>E42-E20</f>
        <v>0</v>
      </c>
      <c r="F44" s="20">
        <f>F42-F20</f>
        <v>0</v>
      </c>
      <c r="G44" s="8">
        <f>G42-G20</f>
        <v>0</v>
      </c>
      <c r="H44" s="8">
        <f t="shared" ref="H44:BN44" si="13">H42-H20</f>
        <v>0</v>
      </c>
      <c r="I44" s="8">
        <f>I42-I20</f>
        <v>0</v>
      </c>
      <c r="J44" s="8">
        <f t="shared" si="13"/>
        <v>0</v>
      </c>
      <c r="K44" s="8">
        <f t="shared" si="13"/>
        <v>0</v>
      </c>
      <c r="L44" s="8">
        <f t="shared" si="13"/>
        <v>0</v>
      </c>
      <c r="M44" s="8">
        <f t="shared" si="13"/>
        <v>0</v>
      </c>
      <c r="N44" s="8">
        <f t="shared" si="13"/>
        <v>0</v>
      </c>
      <c r="O44" s="8">
        <f t="shared" si="13"/>
        <v>0</v>
      </c>
      <c r="P44" s="8">
        <f t="shared" si="13"/>
        <v>0</v>
      </c>
      <c r="Q44" s="8">
        <f t="shared" si="13"/>
        <v>0</v>
      </c>
      <c r="R44" s="8">
        <f t="shared" si="13"/>
        <v>0</v>
      </c>
      <c r="S44" s="8">
        <f t="shared" si="13"/>
        <v>0</v>
      </c>
      <c r="T44" s="8">
        <f t="shared" si="13"/>
        <v>0</v>
      </c>
      <c r="U44" s="8">
        <f t="shared" si="13"/>
        <v>0</v>
      </c>
      <c r="V44" s="8">
        <f t="shared" si="13"/>
        <v>0</v>
      </c>
      <c r="W44" s="8">
        <f t="shared" si="13"/>
        <v>0</v>
      </c>
      <c r="X44" s="8">
        <f t="shared" si="13"/>
        <v>0</v>
      </c>
      <c r="Y44" s="8">
        <f t="shared" si="13"/>
        <v>0</v>
      </c>
      <c r="Z44" s="8">
        <f t="shared" si="13"/>
        <v>0</v>
      </c>
      <c r="AA44" s="8">
        <f t="shared" si="13"/>
        <v>0</v>
      </c>
      <c r="AB44" s="8">
        <f t="shared" si="13"/>
        <v>0</v>
      </c>
      <c r="AC44" s="8">
        <f t="shared" si="13"/>
        <v>0</v>
      </c>
      <c r="AD44" s="8">
        <f t="shared" si="13"/>
        <v>0</v>
      </c>
      <c r="AE44" s="8">
        <f t="shared" si="13"/>
        <v>0</v>
      </c>
      <c r="AF44" s="8">
        <f t="shared" si="13"/>
        <v>0</v>
      </c>
      <c r="AG44" s="8">
        <f t="shared" si="13"/>
        <v>0</v>
      </c>
      <c r="AH44" s="8">
        <f t="shared" si="13"/>
        <v>0</v>
      </c>
      <c r="AI44" s="8">
        <f t="shared" si="13"/>
        <v>0</v>
      </c>
      <c r="AJ44" s="8">
        <f t="shared" si="13"/>
        <v>0</v>
      </c>
      <c r="AK44" s="8">
        <f t="shared" si="13"/>
        <v>0</v>
      </c>
      <c r="AL44" s="8">
        <f t="shared" si="13"/>
        <v>0</v>
      </c>
      <c r="AM44" s="8">
        <f t="shared" si="13"/>
        <v>0</v>
      </c>
      <c r="AN44" s="8">
        <f t="shared" si="13"/>
        <v>0</v>
      </c>
      <c r="AO44" s="8">
        <f t="shared" si="13"/>
        <v>0</v>
      </c>
      <c r="AP44" s="8">
        <f t="shared" si="13"/>
        <v>0</v>
      </c>
      <c r="AQ44" s="8">
        <f t="shared" si="13"/>
        <v>0</v>
      </c>
      <c r="AR44" s="8">
        <f t="shared" si="13"/>
        <v>0</v>
      </c>
      <c r="AS44" s="8">
        <f t="shared" si="13"/>
        <v>0</v>
      </c>
      <c r="AT44" s="8">
        <f t="shared" si="13"/>
        <v>0</v>
      </c>
      <c r="AU44" s="8">
        <f t="shared" si="13"/>
        <v>0</v>
      </c>
      <c r="AV44" s="8">
        <f t="shared" si="13"/>
        <v>0</v>
      </c>
      <c r="AW44" s="8">
        <f t="shared" si="13"/>
        <v>0</v>
      </c>
      <c r="AX44" s="8">
        <f t="shared" si="13"/>
        <v>0</v>
      </c>
      <c r="AY44" s="8">
        <f t="shared" si="13"/>
        <v>0</v>
      </c>
      <c r="AZ44" s="8">
        <f t="shared" si="13"/>
        <v>0</v>
      </c>
      <c r="BA44" s="8">
        <f t="shared" si="13"/>
        <v>0</v>
      </c>
      <c r="BB44" s="8">
        <f t="shared" si="13"/>
        <v>0</v>
      </c>
      <c r="BC44" s="8">
        <f t="shared" si="13"/>
        <v>0</v>
      </c>
      <c r="BD44" s="8">
        <f t="shared" si="13"/>
        <v>0</v>
      </c>
      <c r="BE44" s="8">
        <f t="shared" si="13"/>
        <v>0</v>
      </c>
      <c r="BF44" s="8">
        <f t="shared" si="13"/>
        <v>0</v>
      </c>
      <c r="BG44" s="8">
        <f t="shared" si="13"/>
        <v>0</v>
      </c>
      <c r="BH44" s="8">
        <f t="shared" si="13"/>
        <v>0</v>
      </c>
      <c r="BI44" s="8">
        <f t="shared" si="13"/>
        <v>0</v>
      </c>
      <c r="BJ44" s="8">
        <f t="shared" si="13"/>
        <v>0</v>
      </c>
      <c r="BK44" s="8">
        <f t="shared" si="13"/>
        <v>0</v>
      </c>
      <c r="BL44" s="8">
        <f t="shared" si="13"/>
        <v>0</v>
      </c>
      <c r="BM44" s="8">
        <f t="shared" si="13"/>
        <v>0</v>
      </c>
      <c r="BN44" s="8">
        <f t="shared" si="13"/>
        <v>0</v>
      </c>
    </row>
    <row r="45" spans="1:66" ht="14.1" customHeight="1" outlineLevel="1" x14ac:dyDescent="0.25">
      <c r="A45" s="10">
        <f>SUM(D45:BN45)</f>
        <v>0</v>
      </c>
      <c r="C45" s="8" t="s">
        <v>5</v>
      </c>
      <c r="D45" s="8"/>
      <c r="E45" s="8"/>
      <c r="F45" s="20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  <c r="BM45" s="8"/>
      <c r="BN45" s="8"/>
    </row>
    <row r="46" spans="1:66" ht="14.1" customHeight="1" x14ac:dyDescent="0.25">
      <c r="Q46" s="411"/>
    </row>
    <row r="47" spans="1:66" ht="14.1" customHeight="1" x14ac:dyDescent="0.25">
      <c r="C47" s="406" t="str">
        <f>"Resultatenrekening - "&amp;Historiek!$A$2</f>
        <v>Resultatenrekening - Dossier</v>
      </c>
      <c r="D47" s="407"/>
      <c r="E47" s="407"/>
      <c r="F47" s="13"/>
      <c r="G47" s="407"/>
      <c r="H47" s="407"/>
      <c r="I47" s="407"/>
      <c r="J47" s="3"/>
    </row>
    <row r="48" spans="1:66" ht="14.1" customHeight="1" x14ac:dyDescent="0.25">
      <c r="C48" s="738" t="str">
        <f>C$4</f>
        <v>k€</v>
      </c>
      <c r="D48" s="741" t="str">
        <f t="shared" ref="D48:BN48" si="14">D$4</f>
        <v>FY21</v>
      </c>
      <c r="E48" s="741" t="str">
        <f t="shared" si="14"/>
        <v>FY22</v>
      </c>
      <c r="F48" s="743" t="str">
        <f t="shared" si="14"/>
        <v>FY23</v>
      </c>
      <c r="G48" s="741" t="str">
        <f t="shared" si="14"/>
        <v>Jan'24</v>
      </c>
      <c r="H48" s="741" t="str">
        <f t="shared" si="14"/>
        <v>Feb'24</v>
      </c>
      <c r="I48" s="741" t="str">
        <f t="shared" si="14"/>
        <v>Mrt'24</v>
      </c>
      <c r="J48" s="741" t="str">
        <f t="shared" si="14"/>
        <v>Apr'24</v>
      </c>
      <c r="K48" s="741" t="str">
        <f t="shared" si="14"/>
        <v>Mei'24</v>
      </c>
      <c r="L48" s="741" t="str">
        <f t="shared" si="14"/>
        <v>Jun'24</v>
      </c>
      <c r="M48" s="741" t="str">
        <f t="shared" si="14"/>
        <v>Jul'24</v>
      </c>
      <c r="N48" s="741" t="str">
        <f t="shared" si="14"/>
        <v>Aug'24</v>
      </c>
      <c r="O48" s="741" t="str">
        <f t="shared" si="14"/>
        <v>Sep'24</v>
      </c>
      <c r="P48" s="741" t="str">
        <f t="shared" si="14"/>
        <v>Okt'24</v>
      </c>
      <c r="Q48" s="741" t="str">
        <f t="shared" si="14"/>
        <v>Nov'24</v>
      </c>
      <c r="R48" s="741" t="str">
        <f t="shared" si="14"/>
        <v>Dec'24</v>
      </c>
      <c r="S48" s="741" t="str">
        <f t="shared" si="14"/>
        <v>Jan'25</v>
      </c>
      <c r="T48" s="741" t="str">
        <f t="shared" si="14"/>
        <v>Feb'25</v>
      </c>
      <c r="U48" s="741" t="str">
        <f t="shared" si="14"/>
        <v>Mrt'25</v>
      </c>
      <c r="V48" s="741" t="str">
        <f t="shared" si="14"/>
        <v>Apr'25</v>
      </c>
      <c r="W48" s="741" t="str">
        <f t="shared" si="14"/>
        <v>Mei'25</v>
      </c>
      <c r="X48" s="741" t="str">
        <f t="shared" si="14"/>
        <v>Jun'25</v>
      </c>
      <c r="Y48" s="741" t="str">
        <f t="shared" si="14"/>
        <v>Jul'25</v>
      </c>
      <c r="Z48" s="741" t="str">
        <f t="shared" si="14"/>
        <v>Aug'25</v>
      </c>
      <c r="AA48" s="741" t="str">
        <f t="shared" si="14"/>
        <v>Sep'25</v>
      </c>
      <c r="AB48" s="741" t="str">
        <f t="shared" si="14"/>
        <v>Okt'25</v>
      </c>
      <c r="AC48" s="741" t="str">
        <f t="shared" si="14"/>
        <v>Nov'25</v>
      </c>
      <c r="AD48" s="741" t="str">
        <f t="shared" si="14"/>
        <v>Dec'25</v>
      </c>
      <c r="AE48" s="741" t="str">
        <f t="shared" si="14"/>
        <v>Jan'26</v>
      </c>
      <c r="AF48" s="741" t="str">
        <f t="shared" si="14"/>
        <v>Feb'26</v>
      </c>
      <c r="AG48" s="741" t="str">
        <f t="shared" si="14"/>
        <v>Mrt'26</v>
      </c>
      <c r="AH48" s="741" t="str">
        <f t="shared" si="14"/>
        <v>Apr'26</v>
      </c>
      <c r="AI48" s="741" t="str">
        <f t="shared" si="14"/>
        <v>Mei'26</v>
      </c>
      <c r="AJ48" s="741" t="str">
        <f t="shared" si="14"/>
        <v>Jun'26</v>
      </c>
      <c r="AK48" s="741" t="str">
        <f t="shared" si="14"/>
        <v>Jul'26</v>
      </c>
      <c r="AL48" s="741" t="str">
        <f t="shared" si="14"/>
        <v>Aug'26</v>
      </c>
      <c r="AM48" s="741" t="str">
        <f t="shared" si="14"/>
        <v>Sep'26</v>
      </c>
      <c r="AN48" s="741" t="str">
        <f t="shared" si="14"/>
        <v>Okt'26</v>
      </c>
      <c r="AO48" s="741" t="str">
        <f t="shared" si="14"/>
        <v>Nov'26</v>
      </c>
      <c r="AP48" s="741" t="str">
        <f t="shared" si="14"/>
        <v>Dec'26</v>
      </c>
      <c r="AQ48" s="741" t="str">
        <f t="shared" si="14"/>
        <v>Jan'27</v>
      </c>
      <c r="AR48" s="741" t="str">
        <f t="shared" si="14"/>
        <v>Feb'27</v>
      </c>
      <c r="AS48" s="741" t="str">
        <f t="shared" si="14"/>
        <v>Mrt'27</v>
      </c>
      <c r="AT48" s="741" t="str">
        <f t="shared" si="14"/>
        <v>Apr'27</v>
      </c>
      <c r="AU48" s="741" t="str">
        <f t="shared" si="14"/>
        <v>Mei'27</v>
      </c>
      <c r="AV48" s="741" t="str">
        <f t="shared" si="14"/>
        <v>Jun'27</v>
      </c>
      <c r="AW48" s="741" t="str">
        <f t="shared" si="14"/>
        <v>Jul'27</v>
      </c>
      <c r="AX48" s="741" t="str">
        <f t="shared" si="14"/>
        <v>Aug'27</v>
      </c>
      <c r="AY48" s="741" t="str">
        <f t="shared" si="14"/>
        <v>Sep'27</v>
      </c>
      <c r="AZ48" s="741" t="str">
        <f t="shared" si="14"/>
        <v>Okt'27</v>
      </c>
      <c r="BA48" s="741" t="str">
        <f t="shared" si="14"/>
        <v>Nov'27</v>
      </c>
      <c r="BB48" s="741" t="str">
        <f t="shared" si="14"/>
        <v>Dec'27</v>
      </c>
      <c r="BC48" s="741" t="str">
        <f t="shared" si="14"/>
        <v>Jan'28</v>
      </c>
      <c r="BD48" s="741" t="str">
        <f t="shared" si="14"/>
        <v>Feb'28</v>
      </c>
      <c r="BE48" s="741" t="str">
        <f t="shared" si="14"/>
        <v>Mrt'28</v>
      </c>
      <c r="BF48" s="741" t="str">
        <f t="shared" si="14"/>
        <v>Apr'28</v>
      </c>
      <c r="BG48" s="741" t="str">
        <f t="shared" si="14"/>
        <v>Mei'28</v>
      </c>
      <c r="BH48" s="741" t="str">
        <f t="shared" si="14"/>
        <v>Jun'28</v>
      </c>
      <c r="BI48" s="741" t="str">
        <f t="shared" si="14"/>
        <v>Jul'28</v>
      </c>
      <c r="BJ48" s="741" t="str">
        <f t="shared" si="14"/>
        <v>Aug'28</v>
      </c>
      <c r="BK48" s="741" t="str">
        <f t="shared" si="14"/>
        <v>Sep'28</v>
      </c>
      <c r="BL48" s="741" t="str">
        <f t="shared" si="14"/>
        <v>Okt'28</v>
      </c>
      <c r="BM48" s="741" t="str">
        <f t="shared" si="14"/>
        <v>Nov'28</v>
      </c>
      <c r="BN48" s="741" t="str">
        <f t="shared" si="14"/>
        <v>Dec'28</v>
      </c>
    </row>
    <row r="49" spans="1:88" ht="14.1" customHeight="1" x14ac:dyDescent="0.25">
      <c r="C49" s="414" t="s">
        <v>847</v>
      </c>
      <c r="D49" s="425"/>
      <c r="E49" s="425"/>
      <c r="F49" s="426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</row>
    <row r="50" spans="1:88" ht="14.1" customHeight="1" x14ac:dyDescent="0.25">
      <c r="C50" s="414" t="s">
        <v>848</v>
      </c>
      <c r="D50" s="425"/>
      <c r="E50" s="425"/>
      <c r="F50" s="426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</row>
    <row r="51" spans="1:88" ht="14.1" customHeight="1" x14ac:dyDescent="0.25">
      <c r="C51" s="414" t="s">
        <v>849</v>
      </c>
      <c r="D51" s="425"/>
      <c r="E51" s="425"/>
      <c r="F51" s="426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</row>
    <row r="52" spans="1:88" s="24" customFormat="1" ht="14.1" customHeight="1" x14ac:dyDescent="0.25">
      <c r="A52" s="424"/>
      <c r="C52" s="417" t="s">
        <v>7</v>
      </c>
      <c r="D52" s="420">
        <f>Resultaten!D7</f>
        <v>0</v>
      </c>
      <c r="E52" s="420">
        <f>Resultaten!E7</f>
        <v>0</v>
      </c>
      <c r="F52" s="25">
        <f>Resultaten!F7</f>
        <v>0</v>
      </c>
      <c r="G52" s="420">
        <f t="shared" ref="G52:AL52" si="15">SUM(G49:G51)</f>
        <v>0</v>
      </c>
      <c r="H52" s="420">
        <f t="shared" si="15"/>
        <v>0</v>
      </c>
      <c r="I52" s="420">
        <f t="shared" si="15"/>
        <v>0</v>
      </c>
      <c r="J52" s="420">
        <f t="shared" si="15"/>
        <v>0</v>
      </c>
      <c r="K52" s="420">
        <f t="shared" si="15"/>
        <v>0</v>
      </c>
      <c r="L52" s="420">
        <f t="shared" si="15"/>
        <v>0</v>
      </c>
      <c r="M52" s="420">
        <f t="shared" si="15"/>
        <v>0</v>
      </c>
      <c r="N52" s="420">
        <f t="shared" si="15"/>
        <v>0</v>
      </c>
      <c r="O52" s="420">
        <f t="shared" si="15"/>
        <v>0</v>
      </c>
      <c r="P52" s="420">
        <f t="shared" si="15"/>
        <v>0</v>
      </c>
      <c r="Q52" s="420">
        <f t="shared" si="15"/>
        <v>0</v>
      </c>
      <c r="R52" s="420">
        <f t="shared" si="15"/>
        <v>0</v>
      </c>
      <c r="S52" s="420">
        <f t="shared" si="15"/>
        <v>0</v>
      </c>
      <c r="T52" s="420">
        <f t="shared" si="15"/>
        <v>0</v>
      </c>
      <c r="U52" s="420">
        <f t="shared" si="15"/>
        <v>0</v>
      </c>
      <c r="V52" s="420">
        <f t="shared" si="15"/>
        <v>0</v>
      </c>
      <c r="W52" s="420">
        <f t="shared" si="15"/>
        <v>0</v>
      </c>
      <c r="X52" s="420">
        <f t="shared" si="15"/>
        <v>0</v>
      </c>
      <c r="Y52" s="420">
        <f t="shared" si="15"/>
        <v>0</v>
      </c>
      <c r="Z52" s="420">
        <f t="shared" si="15"/>
        <v>0</v>
      </c>
      <c r="AA52" s="420">
        <f t="shared" si="15"/>
        <v>0</v>
      </c>
      <c r="AB52" s="420">
        <f t="shared" si="15"/>
        <v>0</v>
      </c>
      <c r="AC52" s="420">
        <f t="shared" si="15"/>
        <v>0</v>
      </c>
      <c r="AD52" s="420">
        <f t="shared" si="15"/>
        <v>0</v>
      </c>
      <c r="AE52" s="420">
        <f t="shared" si="15"/>
        <v>0</v>
      </c>
      <c r="AF52" s="420">
        <f t="shared" si="15"/>
        <v>0</v>
      </c>
      <c r="AG52" s="420">
        <f t="shared" si="15"/>
        <v>0</v>
      </c>
      <c r="AH52" s="420">
        <f t="shared" si="15"/>
        <v>0</v>
      </c>
      <c r="AI52" s="420">
        <f t="shared" si="15"/>
        <v>0</v>
      </c>
      <c r="AJ52" s="420">
        <f t="shared" si="15"/>
        <v>0</v>
      </c>
      <c r="AK52" s="420">
        <f t="shared" si="15"/>
        <v>0</v>
      </c>
      <c r="AL52" s="420">
        <f t="shared" si="15"/>
        <v>0</v>
      </c>
      <c r="AM52" s="420">
        <f t="shared" ref="AM52:BN52" si="16">SUM(AM49:AM51)</f>
        <v>0</v>
      </c>
      <c r="AN52" s="420">
        <f t="shared" si="16"/>
        <v>0</v>
      </c>
      <c r="AO52" s="420">
        <f t="shared" si="16"/>
        <v>0</v>
      </c>
      <c r="AP52" s="420">
        <f t="shared" si="16"/>
        <v>0</v>
      </c>
      <c r="AQ52" s="420">
        <f t="shared" si="16"/>
        <v>0</v>
      </c>
      <c r="AR52" s="420">
        <f t="shared" si="16"/>
        <v>0</v>
      </c>
      <c r="AS52" s="420">
        <f t="shared" si="16"/>
        <v>0</v>
      </c>
      <c r="AT52" s="420">
        <f t="shared" si="16"/>
        <v>0</v>
      </c>
      <c r="AU52" s="420">
        <f t="shared" si="16"/>
        <v>0</v>
      </c>
      <c r="AV52" s="420">
        <f t="shared" si="16"/>
        <v>0</v>
      </c>
      <c r="AW52" s="420">
        <f t="shared" si="16"/>
        <v>0</v>
      </c>
      <c r="AX52" s="420">
        <f t="shared" si="16"/>
        <v>0</v>
      </c>
      <c r="AY52" s="420">
        <f t="shared" si="16"/>
        <v>0</v>
      </c>
      <c r="AZ52" s="420">
        <f t="shared" si="16"/>
        <v>0</v>
      </c>
      <c r="BA52" s="420">
        <f t="shared" si="16"/>
        <v>0</v>
      </c>
      <c r="BB52" s="420">
        <f t="shared" si="16"/>
        <v>0</v>
      </c>
      <c r="BC52" s="420">
        <f t="shared" si="16"/>
        <v>0</v>
      </c>
      <c r="BD52" s="420">
        <f t="shared" si="16"/>
        <v>0</v>
      </c>
      <c r="BE52" s="420">
        <f t="shared" si="16"/>
        <v>0</v>
      </c>
      <c r="BF52" s="420">
        <f t="shared" si="16"/>
        <v>0</v>
      </c>
      <c r="BG52" s="420">
        <f t="shared" si="16"/>
        <v>0</v>
      </c>
      <c r="BH52" s="420">
        <f t="shared" si="16"/>
        <v>0</v>
      </c>
      <c r="BI52" s="420">
        <f t="shared" si="16"/>
        <v>0</v>
      </c>
      <c r="BJ52" s="420">
        <f t="shared" si="16"/>
        <v>0</v>
      </c>
      <c r="BK52" s="420">
        <f t="shared" si="16"/>
        <v>0</v>
      </c>
      <c r="BL52" s="420">
        <f t="shared" si="16"/>
        <v>0</v>
      </c>
      <c r="BM52" s="420">
        <f t="shared" si="16"/>
        <v>0</v>
      </c>
      <c r="BN52" s="420">
        <f t="shared" si="16"/>
        <v>0</v>
      </c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</row>
    <row r="53" spans="1:88" ht="14.1" customHeight="1" x14ac:dyDescent="0.25">
      <c r="C53" s="414" t="s">
        <v>8</v>
      </c>
      <c r="D53" s="5">
        <f>Resultaten!D8-Resultaten!D9</f>
        <v>0</v>
      </c>
      <c r="E53" s="5">
        <f>Resultaten!E8-Resultaten!E9</f>
        <v>0</v>
      </c>
      <c r="F53" s="21">
        <f>Resultaten!F8-Resultaten!F9</f>
        <v>0</v>
      </c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</row>
    <row r="54" spans="1:88" ht="14.1" customHeight="1" x14ac:dyDescent="0.25">
      <c r="C54" s="417" t="s">
        <v>9</v>
      </c>
      <c r="D54" s="7">
        <f t="shared" ref="D54:AI54" si="17">SUM(D52:D53)</f>
        <v>0</v>
      </c>
      <c r="E54" s="7">
        <f t="shared" si="17"/>
        <v>0</v>
      </c>
      <c r="F54" s="22">
        <f t="shared" si="17"/>
        <v>0</v>
      </c>
      <c r="G54" s="7">
        <f t="shared" si="17"/>
        <v>0</v>
      </c>
      <c r="H54" s="7">
        <f t="shared" si="17"/>
        <v>0</v>
      </c>
      <c r="I54" s="7">
        <f t="shared" si="17"/>
        <v>0</v>
      </c>
      <c r="J54" s="7">
        <f t="shared" si="17"/>
        <v>0</v>
      </c>
      <c r="K54" s="7">
        <f t="shared" si="17"/>
        <v>0</v>
      </c>
      <c r="L54" s="7">
        <f t="shared" si="17"/>
        <v>0</v>
      </c>
      <c r="M54" s="7">
        <f t="shared" si="17"/>
        <v>0</v>
      </c>
      <c r="N54" s="7">
        <f t="shared" si="17"/>
        <v>0</v>
      </c>
      <c r="O54" s="7">
        <f t="shared" si="17"/>
        <v>0</v>
      </c>
      <c r="P54" s="7">
        <f t="shared" si="17"/>
        <v>0</v>
      </c>
      <c r="Q54" s="7">
        <f t="shared" si="17"/>
        <v>0</v>
      </c>
      <c r="R54" s="7">
        <f t="shared" si="17"/>
        <v>0</v>
      </c>
      <c r="S54" s="7">
        <f t="shared" si="17"/>
        <v>0</v>
      </c>
      <c r="T54" s="7">
        <f t="shared" si="17"/>
        <v>0</v>
      </c>
      <c r="U54" s="7">
        <f t="shared" si="17"/>
        <v>0</v>
      </c>
      <c r="V54" s="7">
        <f t="shared" si="17"/>
        <v>0</v>
      </c>
      <c r="W54" s="7">
        <f t="shared" si="17"/>
        <v>0</v>
      </c>
      <c r="X54" s="7">
        <f t="shared" si="17"/>
        <v>0</v>
      </c>
      <c r="Y54" s="7">
        <f t="shared" si="17"/>
        <v>0</v>
      </c>
      <c r="Z54" s="7">
        <f t="shared" si="17"/>
        <v>0</v>
      </c>
      <c r="AA54" s="7">
        <f t="shared" si="17"/>
        <v>0</v>
      </c>
      <c r="AB54" s="7">
        <f t="shared" si="17"/>
        <v>0</v>
      </c>
      <c r="AC54" s="7">
        <f t="shared" si="17"/>
        <v>0</v>
      </c>
      <c r="AD54" s="7">
        <f t="shared" si="17"/>
        <v>0</v>
      </c>
      <c r="AE54" s="7">
        <f t="shared" si="17"/>
        <v>0</v>
      </c>
      <c r="AF54" s="7">
        <f t="shared" si="17"/>
        <v>0</v>
      </c>
      <c r="AG54" s="7">
        <f t="shared" si="17"/>
        <v>0</v>
      </c>
      <c r="AH54" s="7">
        <f t="shared" si="17"/>
        <v>0</v>
      </c>
      <c r="AI54" s="7">
        <f t="shared" si="17"/>
        <v>0</v>
      </c>
      <c r="AJ54" s="7">
        <f t="shared" ref="AJ54:BN54" si="18">SUM(AJ52:AJ53)</f>
        <v>0</v>
      </c>
      <c r="AK54" s="7">
        <f t="shared" si="18"/>
        <v>0</v>
      </c>
      <c r="AL54" s="7">
        <f t="shared" si="18"/>
        <v>0</v>
      </c>
      <c r="AM54" s="7">
        <f t="shared" si="18"/>
        <v>0</v>
      </c>
      <c r="AN54" s="7">
        <f t="shared" si="18"/>
        <v>0</v>
      </c>
      <c r="AO54" s="7">
        <f t="shared" si="18"/>
        <v>0</v>
      </c>
      <c r="AP54" s="7">
        <f t="shared" si="18"/>
        <v>0</v>
      </c>
      <c r="AQ54" s="7">
        <f t="shared" si="18"/>
        <v>0</v>
      </c>
      <c r="AR54" s="7">
        <f t="shared" si="18"/>
        <v>0</v>
      </c>
      <c r="AS54" s="7">
        <f t="shared" si="18"/>
        <v>0</v>
      </c>
      <c r="AT54" s="7">
        <f t="shared" si="18"/>
        <v>0</v>
      </c>
      <c r="AU54" s="7">
        <f t="shared" si="18"/>
        <v>0</v>
      </c>
      <c r="AV54" s="7">
        <f t="shared" si="18"/>
        <v>0</v>
      </c>
      <c r="AW54" s="7">
        <f t="shared" si="18"/>
        <v>0</v>
      </c>
      <c r="AX54" s="7">
        <f t="shared" si="18"/>
        <v>0</v>
      </c>
      <c r="AY54" s="7">
        <f t="shared" si="18"/>
        <v>0</v>
      </c>
      <c r="AZ54" s="7">
        <f t="shared" si="18"/>
        <v>0</v>
      </c>
      <c r="BA54" s="7">
        <f t="shared" si="18"/>
        <v>0</v>
      </c>
      <c r="BB54" s="7">
        <f t="shared" si="18"/>
        <v>0</v>
      </c>
      <c r="BC54" s="7">
        <f t="shared" si="18"/>
        <v>0</v>
      </c>
      <c r="BD54" s="7">
        <f t="shared" si="18"/>
        <v>0</v>
      </c>
      <c r="BE54" s="7">
        <f t="shared" si="18"/>
        <v>0</v>
      </c>
      <c r="BF54" s="7">
        <f t="shared" si="18"/>
        <v>0</v>
      </c>
      <c r="BG54" s="7">
        <f t="shared" si="18"/>
        <v>0</v>
      </c>
      <c r="BH54" s="7">
        <f t="shared" si="18"/>
        <v>0</v>
      </c>
      <c r="BI54" s="7">
        <f t="shared" si="18"/>
        <v>0</v>
      </c>
      <c r="BJ54" s="7">
        <f t="shared" si="18"/>
        <v>0</v>
      </c>
      <c r="BK54" s="7">
        <f t="shared" si="18"/>
        <v>0</v>
      </c>
      <c r="BL54" s="7">
        <f t="shared" si="18"/>
        <v>0</v>
      </c>
      <c r="BM54" s="7">
        <f t="shared" si="18"/>
        <v>0</v>
      </c>
      <c r="BN54" s="7">
        <f t="shared" si="18"/>
        <v>0</v>
      </c>
    </row>
    <row r="55" spans="1:88" ht="14.1" customHeight="1" x14ac:dyDescent="0.25">
      <c r="C55" s="744" t="s">
        <v>10</v>
      </c>
      <c r="D55" s="745" t="str">
        <f t="shared" ref="D55:AI55" si="19">IFERROR(D54/D52,"n/a")</f>
        <v>n/a</v>
      </c>
      <c r="E55" s="745" t="str">
        <f t="shared" si="19"/>
        <v>n/a</v>
      </c>
      <c r="F55" s="746" t="str">
        <f t="shared" si="19"/>
        <v>n/a</v>
      </c>
      <c r="G55" s="745" t="str">
        <f t="shared" si="19"/>
        <v>n/a</v>
      </c>
      <c r="H55" s="745" t="str">
        <f t="shared" si="19"/>
        <v>n/a</v>
      </c>
      <c r="I55" s="745" t="str">
        <f t="shared" si="19"/>
        <v>n/a</v>
      </c>
      <c r="J55" s="745" t="str">
        <f t="shared" si="19"/>
        <v>n/a</v>
      </c>
      <c r="K55" s="745" t="str">
        <f t="shared" si="19"/>
        <v>n/a</v>
      </c>
      <c r="L55" s="745" t="str">
        <f t="shared" si="19"/>
        <v>n/a</v>
      </c>
      <c r="M55" s="745" t="str">
        <f t="shared" si="19"/>
        <v>n/a</v>
      </c>
      <c r="N55" s="745" t="str">
        <f t="shared" si="19"/>
        <v>n/a</v>
      </c>
      <c r="O55" s="745" t="str">
        <f t="shared" si="19"/>
        <v>n/a</v>
      </c>
      <c r="P55" s="745" t="str">
        <f t="shared" si="19"/>
        <v>n/a</v>
      </c>
      <c r="Q55" s="745" t="str">
        <f t="shared" si="19"/>
        <v>n/a</v>
      </c>
      <c r="R55" s="745" t="str">
        <f t="shared" si="19"/>
        <v>n/a</v>
      </c>
      <c r="S55" s="745" t="str">
        <f t="shared" si="19"/>
        <v>n/a</v>
      </c>
      <c r="T55" s="745" t="str">
        <f t="shared" si="19"/>
        <v>n/a</v>
      </c>
      <c r="U55" s="745" t="str">
        <f t="shared" si="19"/>
        <v>n/a</v>
      </c>
      <c r="V55" s="745" t="str">
        <f t="shared" si="19"/>
        <v>n/a</v>
      </c>
      <c r="W55" s="745" t="str">
        <f t="shared" si="19"/>
        <v>n/a</v>
      </c>
      <c r="X55" s="745" t="str">
        <f t="shared" si="19"/>
        <v>n/a</v>
      </c>
      <c r="Y55" s="745" t="str">
        <f t="shared" si="19"/>
        <v>n/a</v>
      </c>
      <c r="Z55" s="745" t="str">
        <f t="shared" si="19"/>
        <v>n/a</v>
      </c>
      <c r="AA55" s="745" t="str">
        <f t="shared" si="19"/>
        <v>n/a</v>
      </c>
      <c r="AB55" s="745" t="str">
        <f t="shared" si="19"/>
        <v>n/a</v>
      </c>
      <c r="AC55" s="745" t="str">
        <f t="shared" si="19"/>
        <v>n/a</v>
      </c>
      <c r="AD55" s="745" t="str">
        <f t="shared" si="19"/>
        <v>n/a</v>
      </c>
      <c r="AE55" s="745" t="str">
        <f t="shared" si="19"/>
        <v>n/a</v>
      </c>
      <c r="AF55" s="745" t="str">
        <f t="shared" si="19"/>
        <v>n/a</v>
      </c>
      <c r="AG55" s="745" t="str">
        <f t="shared" si="19"/>
        <v>n/a</v>
      </c>
      <c r="AH55" s="745" t="str">
        <f t="shared" si="19"/>
        <v>n/a</v>
      </c>
      <c r="AI55" s="745" t="str">
        <f t="shared" si="19"/>
        <v>n/a</v>
      </c>
      <c r="AJ55" s="745" t="str">
        <f t="shared" ref="AJ55:BN55" si="20">IFERROR(AJ54/AJ52,"n/a")</f>
        <v>n/a</v>
      </c>
      <c r="AK55" s="745" t="str">
        <f t="shared" si="20"/>
        <v>n/a</v>
      </c>
      <c r="AL55" s="745" t="str">
        <f t="shared" si="20"/>
        <v>n/a</v>
      </c>
      <c r="AM55" s="745" t="str">
        <f t="shared" si="20"/>
        <v>n/a</v>
      </c>
      <c r="AN55" s="745" t="str">
        <f t="shared" si="20"/>
        <v>n/a</v>
      </c>
      <c r="AO55" s="745" t="str">
        <f t="shared" si="20"/>
        <v>n/a</v>
      </c>
      <c r="AP55" s="745" t="str">
        <f t="shared" si="20"/>
        <v>n/a</v>
      </c>
      <c r="AQ55" s="745" t="str">
        <f t="shared" si="20"/>
        <v>n/a</v>
      </c>
      <c r="AR55" s="745" t="str">
        <f t="shared" si="20"/>
        <v>n/a</v>
      </c>
      <c r="AS55" s="745" t="str">
        <f t="shared" si="20"/>
        <v>n/a</v>
      </c>
      <c r="AT55" s="745" t="str">
        <f t="shared" si="20"/>
        <v>n/a</v>
      </c>
      <c r="AU55" s="745" t="str">
        <f t="shared" si="20"/>
        <v>n/a</v>
      </c>
      <c r="AV55" s="745" t="str">
        <f t="shared" si="20"/>
        <v>n/a</v>
      </c>
      <c r="AW55" s="745" t="str">
        <f t="shared" si="20"/>
        <v>n/a</v>
      </c>
      <c r="AX55" s="745" t="str">
        <f t="shared" si="20"/>
        <v>n/a</v>
      </c>
      <c r="AY55" s="745" t="str">
        <f t="shared" si="20"/>
        <v>n/a</v>
      </c>
      <c r="AZ55" s="745" t="str">
        <f t="shared" si="20"/>
        <v>n/a</v>
      </c>
      <c r="BA55" s="745" t="str">
        <f t="shared" si="20"/>
        <v>n/a</v>
      </c>
      <c r="BB55" s="745" t="str">
        <f t="shared" si="20"/>
        <v>n/a</v>
      </c>
      <c r="BC55" s="745" t="str">
        <f t="shared" si="20"/>
        <v>n/a</v>
      </c>
      <c r="BD55" s="745" t="str">
        <f t="shared" si="20"/>
        <v>n/a</v>
      </c>
      <c r="BE55" s="745" t="str">
        <f t="shared" si="20"/>
        <v>n/a</v>
      </c>
      <c r="BF55" s="745" t="str">
        <f t="shared" si="20"/>
        <v>n/a</v>
      </c>
      <c r="BG55" s="745" t="str">
        <f t="shared" si="20"/>
        <v>n/a</v>
      </c>
      <c r="BH55" s="745" t="str">
        <f t="shared" si="20"/>
        <v>n/a</v>
      </c>
      <c r="BI55" s="745" t="str">
        <f t="shared" si="20"/>
        <v>n/a</v>
      </c>
      <c r="BJ55" s="745" t="str">
        <f t="shared" si="20"/>
        <v>n/a</v>
      </c>
      <c r="BK55" s="745" t="str">
        <f t="shared" si="20"/>
        <v>n/a</v>
      </c>
      <c r="BL55" s="745" t="str">
        <f t="shared" si="20"/>
        <v>n/a</v>
      </c>
      <c r="BM55" s="745" t="str">
        <f t="shared" si="20"/>
        <v>n/a</v>
      </c>
      <c r="BN55" s="745" t="str">
        <f t="shared" si="20"/>
        <v>n/a</v>
      </c>
    </row>
    <row r="56" spans="1:88" ht="14.1" customHeight="1" x14ac:dyDescent="0.25">
      <c r="C56" s="414" t="s">
        <v>11</v>
      </c>
      <c r="D56" s="5">
        <f>-Resultaten!D14</f>
        <v>0</v>
      </c>
      <c r="E56" s="5">
        <f>-Resultaten!E14</f>
        <v>0</v>
      </c>
      <c r="F56" s="21">
        <f>-Resultaten!F14</f>
        <v>0</v>
      </c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</row>
    <row r="57" spans="1:88" ht="14.1" customHeight="1" x14ac:dyDescent="0.25">
      <c r="C57" s="414" t="s">
        <v>12</v>
      </c>
      <c r="D57" s="5">
        <f>-Resultaten!D21</f>
        <v>0</v>
      </c>
      <c r="E57" s="5">
        <f>-Resultaten!E21</f>
        <v>0</v>
      </c>
      <c r="F57" s="21">
        <f>-Resultaten!F21</f>
        <v>0</v>
      </c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</row>
    <row r="58" spans="1:88" ht="14.1" customHeight="1" x14ac:dyDescent="0.25">
      <c r="C58" s="414" t="s">
        <v>922</v>
      </c>
      <c r="D58" s="5">
        <f>Resultaten!D15</f>
        <v>0</v>
      </c>
      <c r="E58" s="5">
        <f>Resultaten!E15</f>
        <v>0</v>
      </c>
      <c r="F58" s="5">
        <f>Resultaten!F15</f>
        <v>0</v>
      </c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</row>
    <row r="59" spans="1:88" ht="14.1" customHeight="1" x14ac:dyDescent="0.25">
      <c r="C59" s="414" t="s">
        <v>833</v>
      </c>
      <c r="D59" s="5">
        <f>Resultaten!D16</f>
        <v>0</v>
      </c>
      <c r="E59" s="5">
        <f>Resultaten!E16</f>
        <v>0</v>
      </c>
      <c r="F59" s="21">
        <f>Resultaten!F16</f>
        <v>0</v>
      </c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</row>
    <row r="60" spans="1:88" ht="14.1" customHeight="1" x14ac:dyDescent="0.25">
      <c r="C60" s="414" t="s">
        <v>38</v>
      </c>
      <c r="D60" s="5">
        <f>-Resultaten!D22</f>
        <v>0</v>
      </c>
      <c r="E60" s="5">
        <f>-Resultaten!E22</f>
        <v>0</v>
      </c>
      <c r="F60" s="21">
        <f>-Resultaten!F22</f>
        <v>0</v>
      </c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</row>
    <row r="61" spans="1:88" ht="14.1" customHeight="1" x14ac:dyDescent="0.25">
      <c r="C61" s="417" t="s">
        <v>0</v>
      </c>
      <c r="D61" s="7">
        <f>SUM(D54,D56:D60)</f>
        <v>0</v>
      </c>
      <c r="E61" s="7">
        <f>SUM(E54,E56:E60)</f>
        <v>0</v>
      </c>
      <c r="F61" s="22">
        <f>SUM(F54,F56:F60)</f>
        <v>0</v>
      </c>
      <c r="G61" s="7">
        <f>SUM(G54,G56:G60)</f>
        <v>0</v>
      </c>
      <c r="H61" s="7">
        <f t="shared" ref="H61:BN61" si="21">SUM(H54,H56:H60)</f>
        <v>0</v>
      </c>
      <c r="I61" s="7">
        <f>SUM(I54,I56:I60)</f>
        <v>0</v>
      </c>
      <c r="J61" s="7">
        <f t="shared" si="21"/>
        <v>0</v>
      </c>
      <c r="K61" s="7">
        <f t="shared" si="21"/>
        <v>0</v>
      </c>
      <c r="L61" s="7">
        <f t="shared" si="21"/>
        <v>0</v>
      </c>
      <c r="M61" s="7">
        <f t="shared" si="21"/>
        <v>0</v>
      </c>
      <c r="N61" s="7">
        <f t="shared" si="21"/>
        <v>0</v>
      </c>
      <c r="O61" s="7">
        <f t="shared" si="21"/>
        <v>0</v>
      </c>
      <c r="P61" s="7">
        <f t="shared" si="21"/>
        <v>0</v>
      </c>
      <c r="Q61" s="7">
        <f t="shared" si="21"/>
        <v>0</v>
      </c>
      <c r="R61" s="7">
        <f t="shared" si="21"/>
        <v>0</v>
      </c>
      <c r="S61" s="7">
        <f t="shared" si="21"/>
        <v>0</v>
      </c>
      <c r="T61" s="7">
        <f t="shared" si="21"/>
        <v>0</v>
      </c>
      <c r="U61" s="7">
        <f t="shared" si="21"/>
        <v>0</v>
      </c>
      <c r="V61" s="7">
        <f t="shared" si="21"/>
        <v>0</v>
      </c>
      <c r="W61" s="7">
        <f t="shared" si="21"/>
        <v>0</v>
      </c>
      <c r="X61" s="7">
        <f t="shared" si="21"/>
        <v>0</v>
      </c>
      <c r="Y61" s="7">
        <f t="shared" si="21"/>
        <v>0</v>
      </c>
      <c r="Z61" s="7">
        <f t="shared" si="21"/>
        <v>0</v>
      </c>
      <c r="AA61" s="7">
        <f t="shared" si="21"/>
        <v>0</v>
      </c>
      <c r="AB61" s="7">
        <f t="shared" si="21"/>
        <v>0</v>
      </c>
      <c r="AC61" s="7">
        <f t="shared" si="21"/>
        <v>0</v>
      </c>
      <c r="AD61" s="7">
        <f t="shared" si="21"/>
        <v>0</v>
      </c>
      <c r="AE61" s="7">
        <f t="shared" si="21"/>
        <v>0</v>
      </c>
      <c r="AF61" s="7">
        <f t="shared" si="21"/>
        <v>0</v>
      </c>
      <c r="AG61" s="7">
        <f t="shared" si="21"/>
        <v>0</v>
      </c>
      <c r="AH61" s="7">
        <f t="shared" si="21"/>
        <v>0</v>
      </c>
      <c r="AI61" s="7">
        <f t="shared" si="21"/>
        <v>0</v>
      </c>
      <c r="AJ61" s="7">
        <f t="shared" si="21"/>
        <v>0</v>
      </c>
      <c r="AK61" s="7">
        <f t="shared" si="21"/>
        <v>0</v>
      </c>
      <c r="AL61" s="7">
        <f t="shared" si="21"/>
        <v>0</v>
      </c>
      <c r="AM61" s="7">
        <f t="shared" si="21"/>
        <v>0</v>
      </c>
      <c r="AN61" s="7">
        <f t="shared" si="21"/>
        <v>0</v>
      </c>
      <c r="AO61" s="7">
        <f t="shared" si="21"/>
        <v>0</v>
      </c>
      <c r="AP61" s="7">
        <f t="shared" si="21"/>
        <v>0</v>
      </c>
      <c r="AQ61" s="7">
        <f t="shared" si="21"/>
        <v>0</v>
      </c>
      <c r="AR61" s="7">
        <f t="shared" si="21"/>
        <v>0</v>
      </c>
      <c r="AS61" s="7">
        <f t="shared" si="21"/>
        <v>0</v>
      </c>
      <c r="AT61" s="7">
        <f t="shared" si="21"/>
        <v>0</v>
      </c>
      <c r="AU61" s="7">
        <f t="shared" si="21"/>
        <v>0</v>
      </c>
      <c r="AV61" s="7">
        <f t="shared" si="21"/>
        <v>0</v>
      </c>
      <c r="AW61" s="7">
        <f t="shared" si="21"/>
        <v>0</v>
      </c>
      <c r="AX61" s="7">
        <f t="shared" si="21"/>
        <v>0</v>
      </c>
      <c r="AY61" s="7">
        <f t="shared" si="21"/>
        <v>0</v>
      </c>
      <c r="AZ61" s="7">
        <f t="shared" si="21"/>
        <v>0</v>
      </c>
      <c r="BA61" s="7">
        <f t="shared" si="21"/>
        <v>0</v>
      </c>
      <c r="BB61" s="7">
        <f t="shared" si="21"/>
        <v>0</v>
      </c>
      <c r="BC61" s="7">
        <f t="shared" si="21"/>
        <v>0</v>
      </c>
      <c r="BD61" s="7">
        <f t="shared" si="21"/>
        <v>0</v>
      </c>
      <c r="BE61" s="7">
        <f t="shared" si="21"/>
        <v>0</v>
      </c>
      <c r="BF61" s="7">
        <f t="shared" si="21"/>
        <v>0</v>
      </c>
      <c r="BG61" s="7">
        <f t="shared" si="21"/>
        <v>0</v>
      </c>
      <c r="BH61" s="7">
        <f t="shared" si="21"/>
        <v>0</v>
      </c>
      <c r="BI61" s="7">
        <f t="shared" si="21"/>
        <v>0</v>
      </c>
      <c r="BJ61" s="7">
        <f t="shared" si="21"/>
        <v>0</v>
      </c>
      <c r="BK61" s="7">
        <f t="shared" si="21"/>
        <v>0</v>
      </c>
      <c r="BL61" s="7">
        <f t="shared" si="21"/>
        <v>0</v>
      </c>
      <c r="BM61" s="7">
        <f t="shared" si="21"/>
        <v>0</v>
      </c>
      <c r="BN61" s="7">
        <f t="shared" si="21"/>
        <v>0</v>
      </c>
    </row>
    <row r="62" spans="1:88" ht="14.1" customHeight="1" x14ac:dyDescent="0.25">
      <c r="C62" s="744" t="s">
        <v>13</v>
      </c>
      <c r="D62" s="745" t="str">
        <f t="shared" ref="D62:AI62" si="22">IFERROR(D61/D52,"n/a")</f>
        <v>n/a</v>
      </c>
      <c r="E62" s="745" t="str">
        <f t="shared" si="22"/>
        <v>n/a</v>
      </c>
      <c r="F62" s="746" t="str">
        <f t="shared" si="22"/>
        <v>n/a</v>
      </c>
      <c r="G62" s="745" t="str">
        <f t="shared" si="22"/>
        <v>n/a</v>
      </c>
      <c r="H62" s="745" t="str">
        <f t="shared" si="22"/>
        <v>n/a</v>
      </c>
      <c r="I62" s="745" t="str">
        <f t="shared" si="22"/>
        <v>n/a</v>
      </c>
      <c r="J62" s="745" t="str">
        <f t="shared" si="22"/>
        <v>n/a</v>
      </c>
      <c r="K62" s="745" t="str">
        <f t="shared" si="22"/>
        <v>n/a</v>
      </c>
      <c r="L62" s="745" t="str">
        <f t="shared" si="22"/>
        <v>n/a</v>
      </c>
      <c r="M62" s="745" t="str">
        <f t="shared" si="22"/>
        <v>n/a</v>
      </c>
      <c r="N62" s="745" t="str">
        <f t="shared" si="22"/>
        <v>n/a</v>
      </c>
      <c r="O62" s="745" t="str">
        <f t="shared" si="22"/>
        <v>n/a</v>
      </c>
      <c r="P62" s="745" t="str">
        <f t="shared" si="22"/>
        <v>n/a</v>
      </c>
      <c r="Q62" s="745" t="str">
        <f t="shared" si="22"/>
        <v>n/a</v>
      </c>
      <c r="R62" s="745" t="str">
        <f t="shared" si="22"/>
        <v>n/a</v>
      </c>
      <c r="S62" s="745" t="str">
        <f t="shared" si="22"/>
        <v>n/a</v>
      </c>
      <c r="T62" s="745" t="str">
        <f t="shared" si="22"/>
        <v>n/a</v>
      </c>
      <c r="U62" s="745" t="str">
        <f t="shared" si="22"/>
        <v>n/a</v>
      </c>
      <c r="V62" s="745" t="str">
        <f t="shared" si="22"/>
        <v>n/a</v>
      </c>
      <c r="W62" s="745" t="str">
        <f t="shared" si="22"/>
        <v>n/a</v>
      </c>
      <c r="X62" s="745" t="str">
        <f t="shared" si="22"/>
        <v>n/a</v>
      </c>
      <c r="Y62" s="745" t="str">
        <f t="shared" si="22"/>
        <v>n/a</v>
      </c>
      <c r="Z62" s="745" t="str">
        <f t="shared" si="22"/>
        <v>n/a</v>
      </c>
      <c r="AA62" s="745" t="str">
        <f t="shared" si="22"/>
        <v>n/a</v>
      </c>
      <c r="AB62" s="745" t="str">
        <f t="shared" si="22"/>
        <v>n/a</v>
      </c>
      <c r="AC62" s="745" t="str">
        <f t="shared" si="22"/>
        <v>n/a</v>
      </c>
      <c r="AD62" s="745" t="str">
        <f t="shared" si="22"/>
        <v>n/a</v>
      </c>
      <c r="AE62" s="745" t="str">
        <f t="shared" si="22"/>
        <v>n/a</v>
      </c>
      <c r="AF62" s="745" t="str">
        <f t="shared" si="22"/>
        <v>n/a</v>
      </c>
      <c r="AG62" s="745" t="str">
        <f t="shared" si="22"/>
        <v>n/a</v>
      </c>
      <c r="AH62" s="745" t="str">
        <f t="shared" si="22"/>
        <v>n/a</v>
      </c>
      <c r="AI62" s="745" t="str">
        <f t="shared" si="22"/>
        <v>n/a</v>
      </c>
      <c r="AJ62" s="745" t="str">
        <f t="shared" ref="AJ62:BN62" si="23">IFERROR(AJ61/AJ52,"n/a")</f>
        <v>n/a</v>
      </c>
      <c r="AK62" s="745" t="str">
        <f t="shared" si="23"/>
        <v>n/a</v>
      </c>
      <c r="AL62" s="745" t="str">
        <f t="shared" si="23"/>
        <v>n/a</v>
      </c>
      <c r="AM62" s="745" t="str">
        <f t="shared" si="23"/>
        <v>n/a</v>
      </c>
      <c r="AN62" s="745" t="str">
        <f t="shared" si="23"/>
        <v>n/a</v>
      </c>
      <c r="AO62" s="745" t="str">
        <f t="shared" si="23"/>
        <v>n/a</v>
      </c>
      <c r="AP62" s="745" t="str">
        <f t="shared" si="23"/>
        <v>n/a</v>
      </c>
      <c r="AQ62" s="745" t="str">
        <f t="shared" si="23"/>
        <v>n/a</v>
      </c>
      <c r="AR62" s="745" t="str">
        <f t="shared" si="23"/>
        <v>n/a</v>
      </c>
      <c r="AS62" s="745" t="str">
        <f t="shared" si="23"/>
        <v>n/a</v>
      </c>
      <c r="AT62" s="745" t="str">
        <f t="shared" si="23"/>
        <v>n/a</v>
      </c>
      <c r="AU62" s="745" t="str">
        <f t="shared" si="23"/>
        <v>n/a</v>
      </c>
      <c r="AV62" s="745" t="str">
        <f t="shared" si="23"/>
        <v>n/a</v>
      </c>
      <c r="AW62" s="745" t="str">
        <f t="shared" si="23"/>
        <v>n/a</v>
      </c>
      <c r="AX62" s="745" t="str">
        <f t="shared" si="23"/>
        <v>n/a</v>
      </c>
      <c r="AY62" s="745" t="str">
        <f t="shared" si="23"/>
        <v>n/a</v>
      </c>
      <c r="AZ62" s="745" t="str">
        <f t="shared" si="23"/>
        <v>n/a</v>
      </c>
      <c r="BA62" s="745" t="str">
        <f t="shared" si="23"/>
        <v>n/a</v>
      </c>
      <c r="BB62" s="745" t="str">
        <f t="shared" si="23"/>
        <v>n/a</v>
      </c>
      <c r="BC62" s="745" t="str">
        <f t="shared" si="23"/>
        <v>n/a</v>
      </c>
      <c r="BD62" s="745" t="str">
        <f t="shared" si="23"/>
        <v>n/a</v>
      </c>
      <c r="BE62" s="745" t="str">
        <f t="shared" si="23"/>
        <v>n/a</v>
      </c>
      <c r="BF62" s="745" t="str">
        <f t="shared" si="23"/>
        <v>n/a</v>
      </c>
      <c r="BG62" s="745" t="str">
        <f t="shared" si="23"/>
        <v>n/a</v>
      </c>
      <c r="BH62" s="745" t="str">
        <f t="shared" si="23"/>
        <v>n/a</v>
      </c>
      <c r="BI62" s="745" t="str">
        <f t="shared" si="23"/>
        <v>n/a</v>
      </c>
      <c r="BJ62" s="745" t="str">
        <f t="shared" si="23"/>
        <v>n/a</v>
      </c>
      <c r="BK62" s="745" t="str">
        <f t="shared" si="23"/>
        <v>n/a</v>
      </c>
      <c r="BL62" s="745" t="str">
        <f t="shared" si="23"/>
        <v>n/a</v>
      </c>
      <c r="BM62" s="745" t="str">
        <f t="shared" si="23"/>
        <v>n/a</v>
      </c>
      <c r="BN62" s="745" t="str">
        <f t="shared" si="23"/>
        <v>n/a</v>
      </c>
    </row>
    <row r="63" spans="1:88" ht="14.1" customHeight="1" x14ac:dyDescent="0.25">
      <c r="C63" s="414" t="s">
        <v>39</v>
      </c>
      <c r="D63" s="5">
        <f>-Resultaten!D29</f>
        <v>0</v>
      </c>
      <c r="E63" s="5">
        <f>-Resultaten!E29</f>
        <v>0</v>
      </c>
      <c r="F63" s="21">
        <f>-Resultaten!F29</f>
        <v>0</v>
      </c>
      <c r="G63" s="5"/>
      <c r="H63" s="5"/>
      <c r="I63" s="5"/>
      <c r="J63" s="5"/>
      <c r="K63" s="5"/>
      <c r="L63" s="3"/>
    </row>
    <row r="64" spans="1:88" ht="14.1" customHeight="1" x14ac:dyDescent="0.25">
      <c r="C64" s="417" t="s">
        <v>3</v>
      </c>
      <c r="D64" s="7">
        <f>D61+D63</f>
        <v>0</v>
      </c>
      <c r="E64" s="7">
        <f t="shared" ref="E64:G64" si="24">E61+E63</f>
        <v>0</v>
      </c>
      <c r="F64" s="22">
        <f t="shared" si="24"/>
        <v>0</v>
      </c>
      <c r="G64" s="7">
        <f t="shared" si="24"/>
        <v>0</v>
      </c>
      <c r="H64" s="7">
        <f t="shared" ref="H64:BN64" si="25">H61+H63</f>
        <v>0</v>
      </c>
      <c r="I64" s="7">
        <f t="shared" si="25"/>
        <v>0</v>
      </c>
      <c r="J64" s="7">
        <f t="shared" si="25"/>
        <v>0</v>
      </c>
      <c r="K64" s="7">
        <f t="shared" si="25"/>
        <v>0</v>
      </c>
      <c r="L64" s="7">
        <f>L61+L63</f>
        <v>0</v>
      </c>
      <c r="M64" s="7">
        <f t="shared" si="25"/>
        <v>0</v>
      </c>
      <c r="N64" s="7">
        <f t="shared" si="25"/>
        <v>0</v>
      </c>
      <c r="O64" s="7">
        <f t="shared" si="25"/>
        <v>0</v>
      </c>
      <c r="P64" s="7">
        <f t="shared" si="25"/>
        <v>0</v>
      </c>
      <c r="Q64" s="7">
        <f t="shared" si="25"/>
        <v>0</v>
      </c>
      <c r="R64" s="7">
        <f t="shared" si="25"/>
        <v>0</v>
      </c>
      <c r="S64" s="7">
        <f t="shared" si="25"/>
        <v>0</v>
      </c>
      <c r="T64" s="7">
        <f t="shared" si="25"/>
        <v>0</v>
      </c>
      <c r="U64" s="7">
        <f t="shared" si="25"/>
        <v>0</v>
      </c>
      <c r="V64" s="7">
        <f t="shared" si="25"/>
        <v>0</v>
      </c>
      <c r="W64" s="7">
        <f t="shared" si="25"/>
        <v>0</v>
      </c>
      <c r="X64" s="7">
        <f t="shared" si="25"/>
        <v>0</v>
      </c>
      <c r="Y64" s="7">
        <f t="shared" si="25"/>
        <v>0</v>
      </c>
      <c r="Z64" s="7">
        <f t="shared" si="25"/>
        <v>0</v>
      </c>
      <c r="AA64" s="7">
        <f t="shared" si="25"/>
        <v>0</v>
      </c>
      <c r="AB64" s="7">
        <f t="shared" si="25"/>
        <v>0</v>
      </c>
      <c r="AC64" s="7">
        <f t="shared" si="25"/>
        <v>0</v>
      </c>
      <c r="AD64" s="7">
        <f t="shared" si="25"/>
        <v>0</v>
      </c>
      <c r="AE64" s="7">
        <f t="shared" si="25"/>
        <v>0</v>
      </c>
      <c r="AF64" s="7">
        <f t="shared" si="25"/>
        <v>0</v>
      </c>
      <c r="AG64" s="7">
        <f t="shared" si="25"/>
        <v>0</v>
      </c>
      <c r="AH64" s="7">
        <f t="shared" si="25"/>
        <v>0</v>
      </c>
      <c r="AI64" s="7">
        <f t="shared" si="25"/>
        <v>0</v>
      </c>
      <c r="AJ64" s="7">
        <f t="shared" si="25"/>
        <v>0</v>
      </c>
      <c r="AK64" s="7">
        <f t="shared" si="25"/>
        <v>0</v>
      </c>
      <c r="AL64" s="7">
        <f t="shared" si="25"/>
        <v>0</v>
      </c>
      <c r="AM64" s="7">
        <f t="shared" si="25"/>
        <v>0</v>
      </c>
      <c r="AN64" s="7">
        <f t="shared" si="25"/>
        <v>0</v>
      </c>
      <c r="AO64" s="7">
        <f t="shared" si="25"/>
        <v>0</v>
      </c>
      <c r="AP64" s="7">
        <f t="shared" si="25"/>
        <v>0</v>
      </c>
      <c r="AQ64" s="7">
        <f t="shared" si="25"/>
        <v>0</v>
      </c>
      <c r="AR64" s="7">
        <f t="shared" si="25"/>
        <v>0</v>
      </c>
      <c r="AS64" s="7">
        <f t="shared" si="25"/>
        <v>0</v>
      </c>
      <c r="AT64" s="7">
        <f t="shared" si="25"/>
        <v>0</v>
      </c>
      <c r="AU64" s="7">
        <f t="shared" si="25"/>
        <v>0</v>
      </c>
      <c r="AV64" s="7">
        <f t="shared" si="25"/>
        <v>0</v>
      </c>
      <c r="AW64" s="7">
        <f t="shared" si="25"/>
        <v>0</v>
      </c>
      <c r="AX64" s="7">
        <f t="shared" si="25"/>
        <v>0</v>
      </c>
      <c r="AY64" s="7">
        <f t="shared" si="25"/>
        <v>0</v>
      </c>
      <c r="AZ64" s="7">
        <f t="shared" si="25"/>
        <v>0</v>
      </c>
      <c r="BA64" s="7">
        <f t="shared" si="25"/>
        <v>0</v>
      </c>
      <c r="BB64" s="7">
        <f t="shared" si="25"/>
        <v>0</v>
      </c>
      <c r="BC64" s="7">
        <f t="shared" si="25"/>
        <v>0</v>
      </c>
      <c r="BD64" s="7">
        <f t="shared" si="25"/>
        <v>0</v>
      </c>
      <c r="BE64" s="7">
        <f t="shared" si="25"/>
        <v>0</v>
      </c>
      <c r="BF64" s="7">
        <f t="shared" si="25"/>
        <v>0</v>
      </c>
      <c r="BG64" s="7">
        <f t="shared" si="25"/>
        <v>0</v>
      </c>
      <c r="BH64" s="7">
        <f t="shared" si="25"/>
        <v>0</v>
      </c>
      <c r="BI64" s="7">
        <f t="shared" si="25"/>
        <v>0</v>
      </c>
      <c r="BJ64" s="7">
        <f t="shared" si="25"/>
        <v>0</v>
      </c>
      <c r="BK64" s="7">
        <f t="shared" si="25"/>
        <v>0</v>
      </c>
      <c r="BL64" s="7">
        <f t="shared" si="25"/>
        <v>0</v>
      </c>
      <c r="BM64" s="7">
        <f t="shared" si="25"/>
        <v>0</v>
      </c>
      <c r="BN64" s="7">
        <f t="shared" si="25"/>
        <v>0</v>
      </c>
    </row>
    <row r="65" spans="1:66" ht="14.1" customHeight="1" x14ac:dyDescent="0.25">
      <c r="C65" s="744" t="s">
        <v>40</v>
      </c>
      <c r="D65" s="745" t="str">
        <f t="shared" ref="D65:AI65" si="26">IFERROR(D64/D52,"n/a")</f>
        <v>n/a</v>
      </c>
      <c r="E65" s="745" t="str">
        <f t="shared" si="26"/>
        <v>n/a</v>
      </c>
      <c r="F65" s="746" t="str">
        <f t="shared" si="26"/>
        <v>n/a</v>
      </c>
      <c r="G65" s="745" t="str">
        <f t="shared" si="26"/>
        <v>n/a</v>
      </c>
      <c r="H65" s="745" t="str">
        <f t="shared" si="26"/>
        <v>n/a</v>
      </c>
      <c r="I65" s="745" t="str">
        <f t="shared" si="26"/>
        <v>n/a</v>
      </c>
      <c r="J65" s="745" t="str">
        <f t="shared" si="26"/>
        <v>n/a</v>
      </c>
      <c r="K65" s="745" t="str">
        <f t="shared" si="26"/>
        <v>n/a</v>
      </c>
      <c r="L65" s="745" t="str">
        <f t="shared" si="26"/>
        <v>n/a</v>
      </c>
      <c r="M65" s="745" t="str">
        <f t="shared" si="26"/>
        <v>n/a</v>
      </c>
      <c r="N65" s="745" t="str">
        <f t="shared" si="26"/>
        <v>n/a</v>
      </c>
      <c r="O65" s="745" t="str">
        <f t="shared" si="26"/>
        <v>n/a</v>
      </c>
      <c r="P65" s="745" t="str">
        <f t="shared" si="26"/>
        <v>n/a</v>
      </c>
      <c r="Q65" s="745" t="str">
        <f t="shared" si="26"/>
        <v>n/a</v>
      </c>
      <c r="R65" s="745" t="str">
        <f t="shared" si="26"/>
        <v>n/a</v>
      </c>
      <c r="S65" s="745" t="str">
        <f t="shared" si="26"/>
        <v>n/a</v>
      </c>
      <c r="T65" s="745" t="str">
        <f t="shared" si="26"/>
        <v>n/a</v>
      </c>
      <c r="U65" s="745" t="str">
        <f t="shared" si="26"/>
        <v>n/a</v>
      </c>
      <c r="V65" s="745" t="str">
        <f t="shared" si="26"/>
        <v>n/a</v>
      </c>
      <c r="W65" s="745" t="str">
        <f t="shared" si="26"/>
        <v>n/a</v>
      </c>
      <c r="X65" s="745" t="str">
        <f t="shared" si="26"/>
        <v>n/a</v>
      </c>
      <c r="Y65" s="745" t="str">
        <f t="shared" si="26"/>
        <v>n/a</v>
      </c>
      <c r="Z65" s="745" t="str">
        <f t="shared" si="26"/>
        <v>n/a</v>
      </c>
      <c r="AA65" s="745" t="str">
        <f t="shared" si="26"/>
        <v>n/a</v>
      </c>
      <c r="AB65" s="745" t="str">
        <f t="shared" si="26"/>
        <v>n/a</v>
      </c>
      <c r="AC65" s="745" t="str">
        <f t="shared" si="26"/>
        <v>n/a</v>
      </c>
      <c r="AD65" s="745" t="str">
        <f t="shared" si="26"/>
        <v>n/a</v>
      </c>
      <c r="AE65" s="745" t="str">
        <f t="shared" si="26"/>
        <v>n/a</v>
      </c>
      <c r="AF65" s="745" t="str">
        <f t="shared" si="26"/>
        <v>n/a</v>
      </c>
      <c r="AG65" s="745" t="str">
        <f t="shared" si="26"/>
        <v>n/a</v>
      </c>
      <c r="AH65" s="745" t="str">
        <f t="shared" si="26"/>
        <v>n/a</v>
      </c>
      <c r="AI65" s="745" t="str">
        <f t="shared" si="26"/>
        <v>n/a</v>
      </c>
      <c r="AJ65" s="745" t="str">
        <f t="shared" ref="AJ65:BN65" si="27">IFERROR(AJ64/AJ52,"n/a")</f>
        <v>n/a</v>
      </c>
      <c r="AK65" s="745" t="str">
        <f t="shared" si="27"/>
        <v>n/a</v>
      </c>
      <c r="AL65" s="745" t="str">
        <f t="shared" si="27"/>
        <v>n/a</v>
      </c>
      <c r="AM65" s="745" t="str">
        <f t="shared" si="27"/>
        <v>n/a</v>
      </c>
      <c r="AN65" s="745" t="str">
        <f t="shared" si="27"/>
        <v>n/a</v>
      </c>
      <c r="AO65" s="745" t="str">
        <f t="shared" si="27"/>
        <v>n/a</v>
      </c>
      <c r="AP65" s="745" t="str">
        <f t="shared" si="27"/>
        <v>n/a</v>
      </c>
      <c r="AQ65" s="745" t="str">
        <f t="shared" si="27"/>
        <v>n/a</v>
      </c>
      <c r="AR65" s="745" t="str">
        <f t="shared" si="27"/>
        <v>n/a</v>
      </c>
      <c r="AS65" s="745" t="str">
        <f t="shared" si="27"/>
        <v>n/a</v>
      </c>
      <c r="AT65" s="745" t="str">
        <f t="shared" si="27"/>
        <v>n/a</v>
      </c>
      <c r="AU65" s="745" t="str">
        <f t="shared" si="27"/>
        <v>n/a</v>
      </c>
      <c r="AV65" s="745" t="str">
        <f t="shared" si="27"/>
        <v>n/a</v>
      </c>
      <c r="AW65" s="745" t="str">
        <f t="shared" si="27"/>
        <v>n/a</v>
      </c>
      <c r="AX65" s="745" t="str">
        <f t="shared" si="27"/>
        <v>n/a</v>
      </c>
      <c r="AY65" s="745" t="str">
        <f t="shared" si="27"/>
        <v>n/a</v>
      </c>
      <c r="AZ65" s="745" t="str">
        <f t="shared" si="27"/>
        <v>n/a</v>
      </c>
      <c r="BA65" s="745" t="str">
        <f t="shared" si="27"/>
        <v>n/a</v>
      </c>
      <c r="BB65" s="745" t="str">
        <f t="shared" si="27"/>
        <v>n/a</v>
      </c>
      <c r="BC65" s="745" t="str">
        <f t="shared" si="27"/>
        <v>n/a</v>
      </c>
      <c r="BD65" s="745" t="str">
        <f t="shared" si="27"/>
        <v>n/a</v>
      </c>
      <c r="BE65" s="745" t="str">
        <f t="shared" si="27"/>
        <v>n/a</v>
      </c>
      <c r="BF65" s="745" t="str">
        <f t="shared" si="27"/>
        <v>n/a</v>
      </c>
      <c r="BG65" s="745" t="str">
        <f t="shared" si="27"/>
        <v>n/a</v>
      </c>
      <c r="BH65" s="745" t="str">
        <f t="shared" si="27"/>
        <v>n/a</v>
      </c>
      <c r="BI65" s="745" t="str">
        <f t="shared" si="27"/>
        <v>n/a</v>
      </c>
      <c r="BJ65" s="745" t="str">
        <f t="shared" si="27"/>
        <v>n/a</v>
      </c>
      <c r="BK65" s="745" t="str">
        <f t="shared" si="27"/>
        <v>n/a</v>
      </c>
      <c r="BL65" s="745" t="str">
        <f t="shared" si="27"/>
        <v>n/a</v>
      </c>
      <c r="BM65" s="745" t="str">
        <f t="shared" si="27"/>
        <v>n/a</v>
      </c>
      <c r="BN65" s="745" t="str">
        <f t="shared" si="27"/>
        <v>n/a</v>
      </c>
    </row>
    <row r="66" spans="1:66" ht="14.1" customHeight="1" outlineLevel="1" x14ac:dyDescent="0.25">
      <c r="C66" s="432" t="s">
        <v>850</v>
      </c>
      <c r="D66" s="5">
        <f>Historiek!D169/1000</f>
        <v>0</v>
      </c>
      <c r="E66" s="5">
        <f>Historiek!E169/1000</f>
        <v>0</v>
      </c>
      <c r="F66" s="21">
        <f>Historiek!F169/1000</f>
        <v>0</v>
      </c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</row>
    <row r="67" spans="1:66" ht="14.1" customHeight="1" outlineLevel="1" x14ac:dyDescent="0.25">
      <c r="C67" s="432" t="s">
        <v>851</v>
      </c>
      <c r="D67" s="5">
        <f>-Historiek!D174/1000</f>
        <v>0</v>
      </c>
      <c r="E67" s="5">
        <f>-Historiek!E174/1000</f>
        <v>0</v>
      </c>
      <c r="F67" s="5">
        <f>-Historiek!F174/1000</f>
        <v>0</v>
      </c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</row>
    <row r="68" spans="1:66" ht="14.1" customHeight="1" x14ac:dyDescent="0.25">
      <c r="C68" s="414" t="s">
        <v>41</v>
      </c>
      <c r="D68" s="5">
        <f>SUM(D66:D67)</f>
        <v>0</v>
      </c>
      <c r="E68" s="5">
        <f t="shared" ref="E68:BN68" si="28">SUM(E66:E67)</f>
        <v>0</v>
      </c>
      <c r="F68" s="5">
        <f t="shared" si="28"/>
        <v>0</v>
      </c>
      <c r="G68" s="5">
        <f t="shared" si="28"/>
        <v>0</v>
      </c>
      <c r="H68" s="5">
        <f t="shared" si="28"/>
        <v>0</v>
      </c>
      <c r="I68" s="5">
        <f t="shared" si="28"/>
        <v>0</v>
      </c>
      <c r="J68" s="5">
        <f t="shared" si="28"/>
        <v>0</v>
      </c>
      <c r="K68" s="5">
        <f t="shared" si="28"/>
        <v>0</v>
      </c>
      <c r="L68" s="5">
        <f t="shared" si="28"/>
        <v>0</v>
      </c>
      <c r="M68" s="5">
        <f t="shared" si="28"/>
        <v>0</v>
      </c>
      <c r="N68" s="5">
        <f t="shared" si="28"/>
        <v>0</v>
      </c>
      <c r="O68" s="5">
        <f t="shared" si="28"/>
        <v>0</v>
      </c>
      <c r="P68" s="5">
        <f t="shared" si="28"/>
        <v>0</v>
      </c>
      <c r="Q68" s="5">
        <f t="shared" si="28"/>
        <v>0</v>
      </c>
      <c r="R68" s="5">
        <f t="shared" si="28"/>
        <v>0</v>
      </c>
      <c r="S68" s="5">
        <f t="shared" si="28"/>
        <v>0</v>
      </c>
      <c r="T68" s="5">
        <f t="shared" si="28"/>
        <v>0</v>
      </c>
      <c r="U68" s="5">
        <f t="shared" si="28"/>
        <v>0</v>
      </c>
      <c r="V68" s="5">
        <f t="shared" si="28"/>
        <v>0</v>
      </c>
      <c r="W68" s="5">
        <f t="shared" si="28"/>
        <v>0</v>
      </c>
      <c r="X68" s="5">
        <f t="shared" si="28"/>
        <v>0</v>
      </c>
      <c r="Y68" s="5">
        <f t="shared" si="28"/>
        <v>0</v>
      </c>
      <c r="Z68" s="5">
        <f t="shared" si="28"/>
        <v>0</v>
      </c>
      <c r="AA68" s="5">
        <f t="shared" si="28"/>
        <v>0</v>
      </c>
      <c r="AB68" s="5">
        <f t="shared" si="28"/>
        <v>0</v>
      </c>
      <c r="AC68" s="5">
        <f t="shared" si="28"/>
        <v>0</v>
      </c>
      <c r="AD68" s="5">
        <f t="shared" si="28"/>
        <v>0</v>
      </c>
      <c r="AE68" s="5">
        <f t="shared" si="28"/>
        <v>0</v>
      </c>
      <c r="AF68" s="5">
        <f t="shared" si="28"/>
        <v>0</v>
      </c>
      <c r="AG68" s="5">
        <f t="shared" si="28"/>
        <v>0</v>
      </c>
      <c r="AH68" s="5">
        <f t="shared" si="28"/>
        <v>0</v>
      </c>
      <c r="AI68" s="5">
        <f t="shared" si="28"/>
        <v>0</v>
      </c>
      <c r="AJ68" s="5">
        <f t="shared" si="28"/>
        <v>0</v>
      </c>
      <c r="AK68" s="5">
        <f t="shared" si="28"/>
        <v>0</v>
      </c>
      <c r="AL68" s="5">
        <f t="shared" si="28"/>
        <v>0</v>
      </c>
      <c r="AM68" s="5">
        <f t="shared" si="28"/>
        <v>0</v>
      </c>
      <c r="AN68" s="5">
        <f t="shared" si="28"/>
        <v>0</v>
      </c>
      <c r="AO68" s="5">
        <f t="shared" si="28"/>
        <v>0</v>
      </c>
      <c r="AP68" s="5">
        <f t="shared" si="28"/>
        <v>0</v>
      </c>
      <c r="AQ68" s="5">
        <f t="shared" si="28"/>
        <v>0</v>
      </c>
      <c r="AR68" s="5">
        <f t="shared" si="28"/>
        <v>0</v>
      </c>
      <c r="AS68" s="5">
        <f t="shared" si="28"/>
        <v>0</v>
      </c>
      <c r="AT68" s="5">
        <f t="shared" si="28"/>
        <v>0</v>
      </c>
      <c r="AU68" s="5">
        <f t="shared" si="28"/>
        <v>0</v>
      </c>
      <c r="AV68" s="5">
        <f t="shared" si="28"/>
        <v>0</v>
      </c>
      <c r="AW68" s="5">
        <f t="shared" si="28"/>
        <v>0</v>
      </c>
      <c r="AX68" s="5">
        <f t="shared" si="28"/>
        <v>0</v>
      </c>
      <c r="AY68" s="5">
        <f t="shared" si="28"/>
        <v>0</v>
      </c>
      <c r="AZ68" s="5">
        <f t="shared" si="28"/>
        <v>0</v>
      </c>
      <c r="BA68" s="5">
        <f t="shared" si="28"/>
        <v>0</v>
      </c>
      <c r="BB68" s="5">
        <f t="shared" si="28"/>
        <v>0</v>
      </c>
      <c r="BC68" s="5">
        <f t="shared" si="28"/>
        <v>0</v>
      </c>
      <c r="BD68" s="5">
        <f t="shared" si="28"/>
        <v>0</v>
      </c>
      <c r="BE68" s="5">
        <f t="shared" si="28"/>
        <v>0</v>
      </c>
      <c r="BF68" s="5">
        <f t="shared" si="28"/>
        <v>0</v>
      </c>
      <c r="BG68" s="5">
        <f t="shared" si="28"/>
        <v>0</v>
      </c>
      <c r="BH68" s="5">
        <f t="shared" si="28"/>
        <v>0</v>
      </c>
      <c r="BI68" s="5">
        <f t="shared" si="28"/>
        <v>0</v>
      </c>
      <c r="BJ68" s="5">
        <f t="shared" si="28"/>
        <v>0</v>
      </c>
      <c r="BK68" s="5">
        <f t="shared" si="28"/>
        <v>0</v>
      </c>
      <c r="BL68" s="5">
        <f t="shared" si="28"/>
        <v>0</v>
      </c>
      <c r="BM68" s="5">
        <f t="shared" si="28"/>
        <v>0</v>
      </c>
      <c r="BN68" s="5">
        <f t="shared" si="28"/>
        <v>0</v>
      </c>
    </row>
    <row r="69" spans="1:66" ht="14.1" customHeight="1" outlineLevel="1" x14ac:dyDescent="0.25">
      <c r="C69" s="432" t="s">
        <v>852</v>
      </c>
      <c r="D69" s="5">
        <f>Historiek!D181/1000</f>
        <v>0</v>
      </c>
      <c r="E69" s="5">
        <f>Historiek!E181/1000</f>
        <v>0</v>
      </c>
      <c r="F69" s="5">
        <f>Historiek!F181/1000</f>
        <v>0</v>
      </c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</row>
    <row r="70" spans="1:66" ht="14.1" customHeight="1" outlineLevel="1" x14ac:dyDescent="0.25">
      <c r="C70" s="432" t="s">
        <v>853</v>
      </c>
      <c r="D70" s="5">
        <f>-Historiek!D188/1000</f>
        <v>0</v>
      </c>
      <c r="E70" s="5">
        <f>-Historiek!E188/1000</f>
        <v>0</v>
      </c>
      <c r="F70" s="5">
        <f>-Historiek!F188/1000</f>
        <v>0</v>
      </c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</row>
    <row r="71" spans="1:66" ht="14.1" customHeight="1" x14ac:dyDescent="0.25">
      <c r="C71" s="414" t="s">
        <v>42</v>
      </c>
      <c r="D71" s="5">
        <f>SUM(D69:D70)</f>
        <v>0</v>
      </c>
      <c r="E71" s="5">
        <f t="shared" ref="E71:BN71" si="29">SUM(E69:E70)</f>
        <v>0</v>
      </c>
      <c r="F71" s="5">
        <f t="shared" si="29"/>
        <v>0</v>
      </c>
      <c r="G71" s="5">
        <f t="shared" si="29"/>
        <v>0</v>
      </c>
      <c r="H71" s="5">
        <f t="shared" si="29"/>
        <v>0</v>
      </c>
      <c r="I71" s="5">
        <f t="shared" si="29"/>
        <v>0</v>
      </c>
      <c r="J71" s="5">
        <f t="shared" si="29"/>
        <v>0</v>
      </c>
      <c r="K71" s="5">
        <f t="shared" si="29"/>
        <v>0</v>
      </c>
      <c r="L71" s="5">
        <f t="shared" si="29"/>
        <v>0</v>
      </c>
      <c r="M71" s="5">
        <f t="shared" si="29"/>
        <v>0</v>
      </c>
      <c r="N71" s="5">
        <f t="shared" si="29"/>
        <v>0</v>
      </c>
      <c r="O71" s="5">
        <f t="shared" si="29"/>
        <v>0</v>
      </c>
      <c r="P71" s="5">
        <f t="shared" si="29"/>
        <v>0</v>
      </c>
      <c r="Q71" s="5">
        <f t="shared" si="29"/>
        <v>0</v>
      </c>
      <c r="R71" s="5">
        <f t="shared" si="29"/>
        <v>0</v>
      </c>
      <c r="S71" s="5">
        <f t="shared" si="29"/>
        <v>0</v>
      </c>
      <c r="T71" s="5">
        <f t="shared" si="29"/>
        <v>0</v>
      </c>
      <c r="U71" s="5">
        <f t="shared" si="29"/>
        <v>0</v>
      </c>
      <c r="V71" s="5">
        <f t="shared" si="29"/>
        <v>0</v>
      </c>
      <c r="W71" s="5">
        <f t="shared" si="29"/>
        <v>0</v>
      </c>
      <c r="X71" s="5">
        <f t="shared" si="29"/>
        <v>0</v>
      </c>
      <c r="Y71" s="5">
        <f t="shared" si="29"/>
        <v>0</v>
      </c>
      <c r="Z71" s="5">
        <f t="shared" si="29"/>
        <v>0</v>
      </c>
      <c r="AA71" s="5">
        <f t="shared" si="29"/>
        <v>0</v>
      </c>
      <c r="AB71" s="5">
        <f t="shared" si="29"/>
        <v>0</v>
      </c>
      <c r="AC71" s="5">
        <f t="shared" si="29"/>
        <v>0</v>
      </c>
      <c r="AD71" s="5">
        <f t="shared" si="29"/>
        <v>0</v>
      </c>
      <c r="AE71" s="5">
        <f t="shared" si="29"/>
        <v>0</v>
      </c>
      <c r="AF71" s="5">
        <f t="shared" si="29"/>
        <v>0</v>
      </c>
      <c r="AG71" s="5">
        <f t="shared" si="29"/>
        <v>0</v>
      </c>
      <c r="AH71" s="5">
        <f t="shared" si="29"/>
        <v>0</v>
      </c>
      <c r="AI71" s="5">
        <f t="shared" si="29"/>
        <v>0</v>
      </c>
      <c r="AJ71" s="5">
        <f t="shared" si="29"/>
        <v>0</v>
      </c>
      <c r="AK71" s="5">
        <f t="shared" si="29"/>
        <v>0</v>
      </c>
      <c r="AL71" s="5">
        <f t="shared" si="29"/>
        <v>0</v>
      </c>
      <c r="AM71" s="5">
        <f t="shared" si="29"/>
        <v>0</v>
      </c>
      <c r="AN71" s="5">
        <f t="shared" si="29"/>
        <v>0</v>
      </c>
      <c r="AO71" s="5">
        <f t="shared" si="29"/>
        <v>0</v>
      </c>
      <c r="AP71" s="5">
        <f t="shared" si="29"/>
        <v>0</v>
      </c>
      <c r="AQ71" s="5">
        <f t="shared" si="29"/>
        <v>0</v>
      </c>
      <c r="AR71" s="5">
        <f t="shared" si="29"/>
        <v>0</v>
      </c>
      <c r="AS71" s="5">
        <f t="shared" si="29"/>
        <v>0</v>
      </c>
      <c r="AT71" s="5">
        <f t="shared" si="29"/>
        <v>0</v>
      </c>
      <c r="AU71" s="5">
        <f t="shared" si="29"/>
        <v>0</v>
      </c>
      <c r="AV71" s="5">
        <f t="shared" si="29"/>
        <v>0</v>
      </c>
      <c r="AW71" s="5">
        <f t="shared" si="29"/>
        <v>0</v>
      </c>
      <c r="AX71" s="5">
        <f t="shared" si="29"/>
        <v>0</v>
      </c>
      <c r="AY71" s="5">
        <f t="shared" si="29"/>
        <v>0</v>
      </c>
      <c r="AZ71" s="5">
        <f t="shared" si="29"/>
        <v>0</v>
      </c>
      <c r="BA71" s="5">
        <f t="shared" si="29"/>
        <v>0</v>
      </c>
      <c r="BB71" s="5">
        <f t="shared" si="29"/>
        <v>0</v>
      </c>
      <c r="BC71" s="5">
        <f t="shared" si="29"/>
        <v>0</v>
      </c>
      <c r="BD71" s="5">
        <f t="shared" si="29"/>
        <v>0</v>
      </c>
      <c r="BE71" s="5">
        <f t="shared" si="29"/>
        <v>0</v>
      </c>
      <c r="BF71" s="5">
        <f t="shared" si="29"/>
        <v>0</v>
      </c>
      <c r="BG71" s="5">
        <f t="shared" si="29"/>
        <v>0</v>
      </c>
      <c r="BH71" s="5">
        <f t="shared" si="29"/>
        <v>0</v>
      </c>
      <c r="BI71" s="5">
        <f t="shared" si="29"/>
        <v>0</v>
      </c>
      <c r="BJ71" s="5">
        <f t="shared" si="29"/>
        <v>0</v>
      </c>
      <c r="BK71" s="5">
        <f t="shared" si="29"/>
        <v>0</v>
      </c>
      <c r="BL71" s="5">
        <f t="shared" si="29"/>
        <v>0</v>
      </c>
      <c r="BM71" s="5">
        <f t="shared" si="29"/>
        <v>0</v>
      </c>
      <c r="BN71" s="5">
        <f t="shared" si="29"/>
        <v>0</v>
      </c>
    </row>
    <row r="72" spans="1:66" ht="14.1" customHeight="1" x14ac:dyDescent="0.25">
      <c r="C72" s="417" t="s">
        <v>1</v>
      </c>
      <c r="D72" s="7">
        <f>SUM(D64,D68,D71)</f>
        <v>0</v>
      </c>
      <c r="E72" s="7">
        <f t="shared" ref="E72:F72" si="30">SUM(E64,E68,E71)</f>
        <v>0</v>
      </c>
      <c r="F72" s="22">
        <f t="shared" si="30"/>
        <v>0</v>
      </c>
      <c r="G72" s="7">
        <f>SUM(G64,G68,G71)</f>
        <v>0</v>
      </c>
      <c r="H72" s="7">
        <f t="shared" ref="H72:BN72" si="31">SUM(H64,H68,H71)</f>
        <v>0</v>
      </c>
      <c r="I72" s="7">
        <f t="shared" si="31"/>
        <v>0</v>
      </c>
      <c r="J72" s="7">
        <f t="shared" si="31"/>
        <v>0</v>
      </c>
      <c r="K72" s="7">
        <f t="shared" si="31"/>
        <v>0</v>
      </c>
      <c r="L72" s="7">
        <f t="shared" si="31"/>
        <v>0</v>
      </c>
      <c r="M72" s="7">
        <f>SUM(M64,M68,M71)</f>
        <v>0</v>
      </c>
      <c r="N72" s="7">
        <f t="shared" si="31"/>
        <v>0</v>
      </c>
      <c r="O72" s="7">
        <f t="shared" si="31"/>
        <v>0</v>
      </c>
      <c r="P72" s="7">
        <f t="shared" si="31"/>
        <v>0</v>
      </c>
      <c r="Q72" s="7">
        <f t="shared" si="31"/>
        <v>0</v>
      </c>
      <c r="R72" s="7">
        <f t="shared" si="31"/>
        <v>0</v>
      </c>
      <c r="S72" s="7">
        <f t="shared" si="31"/>
        <v>0</v>
      </c>
      <c r="T72" s="7">
        <f t="shared" si="31"/>
        <v>0</v>
      </c>
      <c r="U72" s="7">
        <f t="shared" si="31"/>
        <v>0</v>
      </c>
      <c r="V72" s="7">
        <f t="shared" si="31"/>
        <v>0</v>
      </c>
      <c r="W72" s="7">
        <f t="shared" si="31"/>
        <v>0</v>
      </c>
      <c r="X72" s="7">
        <f t="shared" si="31"/>
        <v>0</v>
      </c>
      <c r="Y72" s="7">
        <f t="shared" si="31"/>
        <v>0</v>
      </c>
      <c r="Z72" s="7">
        <f t="shared" si="31"/>
        <v>0</v>
      </c>
      <c r="AA72" s="7">
        <f t="shared" si="31"/>
        <v>0</v>
      </c>
      <c r="AB72" s="7">
        <f t="shared" si="31"/>
        <v>0</v>
      </c>
      <c r="AC72" s="7">
        <f t="shared" si="31"/>
        <v>0</v>
      </c>
      <c r="AD72" s="7">
        <f t="shared" si="31"/>
        <v>0</v>
      </c>
      <c r="AE72" s="7">
        <f t="shared" si="31"/>
        <v>0</v>
      </c>
      <c r="AF72" s="7">
        <f t="shared" si="31"/>
        <v>0</v>
      </c>
      <c r="AG72" s="7">
        <f t="shared" si="31"/>
        <v>0</v>
      </c>
      <c r="AH72" s="7">
        <f t="shared" si="31"/>
        <v>0</v>
      </c>
      <c r="AI72" s="7">
        <f t="shared" si="31"/>
        <v>0</v>
      </c>
      <c r="AJ72" s="7">
        <f t="shared" si="31"/>
        <v>0</v>
      </c>
      <c r="AK72" s="7">
        <f t="shared" si="31"/>
        <v>0</v>
      </c>
      <c r="AL72" s="7">
        <f t="shared" si="31"/>
        <v>0</v>
      </c>
      <c r="AM72" s="7">
        <f t="shared" si="31"/>
        <v>0</v>
      </c>
      <c r="AN72" s="7">
        <f t="shared" si="31"/>
        <v>0</v>
      </c>
      <c r="AO72" s="7">
        <f t="shared" si="31"/>
        <v>0</v>
      </c>
      <c r="AP72" s="7">
        <f t="shared" si="31"/>
        <v>0</v>
      </c>
      <c r="AQ72" s="7">
        <f t="shared" si="31"/>
        <v>0</v>
      </c>
      <c r="AR72" s="7">
        <f t="shared" si="31"/>
        <v>0</v>
      </c>
      <c r="AS72" s="7">
        <f t="shared" si="31"/>
        <v>0</v>
      </c>
      <c r="AT72" s="7">
        <f t="shared" si="31"/>
        <v>0</v>
      </c>
      <c r="AU72" s="7">
        <f t="shared" si="31"/>
        <v>0</v>
      </c>
      <c r="AV72" s="7">
        <f t="shared" si="31"/>
        <v>0</v>
      </c>
      <c r="AW72" s="7">
        <f t="shared" si="31"/>
        <v>0</v>
      </c>
      <c r="AX72" s="7">
        <f t="shared" si="31"/>
        <v>0</v>
      </c>
      <c r="AY72" s="7">
        <f t="shared" si="31"/>
        <v>0</v>
      </c>
      <c r="AZ72" s="7">
        <f t="shared" si="31"/>
        <v>0</v>
      </c>
      <c r="BA72" s="7">
        <f t="shared" si="31"/>
        <v>0</v>
      </c>
      <c r="BB72" s="7">
        <f t="shared" si="31"/>
        <v>0</v>
      </c>
      <c r="BC72" s="7">
        <f t="shared" si="31"/>
        <v>0</v>
      </c>
      <c r="BD72" s="7">
        <f t="shared" si="31"/>
        <v>0</v>
      </c>
      <c r="BE72" s="7">
        <f t="shared" si="31"/>
        <v>0</v>
      </c>
      <c r="BF72" s="7">
        <f t="shared" si="31"/>
        <v>0</v>
      </c>
      <c r="BG72" s="7">
        <f t="shared" si="31"/>
        <v>0</v>
      </c>
      <c r="BH72" s="7">
        <f t="shared" si="31"/>
        <v>0</v>
      </c>
      <c r="BI72" s="7">
        <f t="shared" si="31"/>
        <v>0</v>
      </c>
      <c r="BJ72" s="7">
        <f t="shared" si="31"/>
        <v>0</v>
      </c>
      <c r="BK72" s="7">
        <f t="shared" si="31"/>
        <v>0</v>
      </c>
      <c r="BL72" s="7">
        <f t="shared" si="31"/>
        <v>0</v>
      </c>
      <c r="BM72" s="7">
        <f t="shared" si="31"/>
        <v>0</v>
      </c>
      <c r="BN72" s="7">
        <f t="shared" si="31"/>
        <v>0</v>
      </c>
    </row>
    <row r="73" spans="1:66" ht="14.1" customHeight="1" x14ac:dyDescent="0.25">
      <c r="C73" s="414" t="s">
        <v>43</v>
      </c>
      <c r="D73" s="5">
        <f>Resultaten!D46</f>
        <v>0</v>
      </c>
      <c r="E73" s="5">
        <f>Resultaten!E46</f>
        <v>0</v>
      </c>
      <c r="F73" s="21">
        <f>Resultaten!F46</f>
        <v>0</v>
      </c>
      <c r="G73" s="5"/>
      <c r="H73" s="5"/>
      <c r="I73" s="5"/>
      <c r="J73" s="5"/>
      <c r="K73" s="5"/>
      <c r="L73" s="3"/>
    </row>
    <row r="74" spans="1:66" ht="14.1" customHeight="1" x14ac:dyDescent="0.25">
      <c r="C74" s="747" t="s">
        <v>44</v>
      </c>
      <c r="D74" s="748">
        <f>SUM(D72:D73)</f>
        <v>0</v>
      </c>
      <c r="E74" s="748">
        <f t="shared" ref="E74:BN74" si="32">SUM(E72:E73)</f>
        <v>0</v>
      </c>
      <c r="F74" s="749">
        <f t="shared" si="32"/>
        <v>0</v>
      </c>
      <c r="G74" s="748">
        <f>SUM(G72:G73)</f>
        <v>0</v>
      </c>
      <c r="H74" s="748">
        <f t="shared" si="32"/>
        <v>0</v>
      </c>
      <c r="I74" s="748">
        <f t="shared" si="32"/>
        <v>0</v>
      </c>
      <c r="J74" s="748">
        <f t="shared" si="32"/>
        <v>0</v>
      </c>
      <c r="K74" s="748">
        <f t="shared" si="32"/>
        <v>0</v>
      </c>
      <c r="L74" s="748">
        <f t="shared" si="32"/>
        <v>0</v>
      </c>
      <c r="M74" s="748">
        <f t="shared" si="32"/>
        <v>0</v>
      </c>
      <c r="N74" s="748">
        <f t="shared" si="32"/>
        <v>0</v>
      </c>
      <c r="O74" s="748">
        <f>SUM(O72:O73)</f>
        <v>0</v>
      </c>
      <c r="P74" s="748">
        <f t="shared" si="32"/>
        <v>0</v>
      </c>
      <c r="Q74" s="748">
        <f t="shared" si="32"/>
        <v>0</v>
      </c>
      <c r="R74" s="748">
        <f t="shared" si="32"/>
        <v>0</v>
      </c>
      <c r="S74" s="748">
        <f t="shared" si="32"/>
        <v>0</v>
      </c>
      <c r="T74" s="748">
        <f t="shared" si="32"/>
        <v>0</v>
      </c>
      <c r="U74" s="748">
        <f t="shared" si="32"/>
        <v>0</v>
      </c>
      <c r="V74" s="748">
        <f t="shared" si="32"/>
        <v>0</v>
      </c>
      <c r="W74" s="748">
        <f t="shared" si="32"/>
        <v>0</v>
      </c>
      <c r="X74" s="748">
        <f t="shared" si="32"/>
        <v>0</v>
      </c>
      <c r="Y74" s="748">
        <f t="shared" si="32"/>
        <v>0</v>
      </c>
      <c r="Z74" s="748">
        <f t="shared" si="32"/>
        <v>0</v>
      </c>
      <c r="AA74" s="748">
        <f t="shared" si="32"/>
        <v>0</v>
      </c>
      <c r="AB74" s="748">
        <f t="shared" si="32"/>
        <v>0</v>
      </c>
      <c r="AC74" s="748">
        <f t="shared" si="32"/>
        <v>0</v>
      </c>
      <c r="AD74" s="748">
        <f t="shared" si="32"/>
        <v>0</v>
      </c>
      <c r="AE74" s="748">
        <f t="shared" si="32"/>
        <v>0</v>
      </c>
      <c r="AF74" s="748">
        <f t="shared" si="32"/>
        <v>0</v>
      </c>
      <c r="AG74" s="748">
        <f t="shared" si="32"/>
        <v>0</v>
      </c>
      <c r="AH74" s="748">
        <f t="shared" si="32"/>
        <v>0</v>
      </c>
      <c r="AI74" s="748">
        <f t="shared" si="32"/>
        <v>0</v>
      </c>
      <c r="AJ74" s="748">
        <f t="shared" si="32"/>
        <v>0</v>
      </c>
      <c r="AK74" s="748">
        <f t="shared" si="32"/>
        <v>0</v>
      </c>
      <c r="AL74" s="748">
        <f t="shared" si="32"/>
        <v>0</v>
      </c>
      <c r="AM74" s="748">
        <f t="shared" si="32"/>
        <v>0</v>
      </c>
      <c r="AN74" s="748">
        <f t="shared" si="32"/>
        <v>0</v>
      </c>
      <c r="AO74" s="748">
        <f t="shared" si="32"/>
        <v>0</v>
      </c>
      <c r="AP74" s="748">
        <f t="shared" si="32"/>
        <v>0</v>
      </c>
      <c r="AQ74" s="748">
        <f t="shared" si="32"/>
        <v>0</v>
      </c>
      <c r="AR74" s="748">
        <f t="shared" si="32"/>
        <v>0</v>
      </c>
      <c r="AS74" s="748">
        <f t="shared" si="32"/>
        <v>0</v>
      </c>
      <c r="AT74" s="748">
        <f t="shared" si="32"/>
        <v>0</v>
      </c>
      <c r="AU74" s="748">
        <f t="shared" si="32"/>
        <v>0</v>
      </c>
      <c r="AV74" s="748">
        <f t="shared" si="32"/>
        <v>0</v>
      </c>
      <c r="AW74" s="748">
        <f t="shared" si="32"/>
        <v>0</v>
      </c>
      <c r="AX74" s="748">
        <f t="shared" si="32"/>
        <v>0</v>
      </c>
      <c r="AY74" s="748">
        <f t="shared" si="32"/>
        <v>0</v>
      </c>
      <c r="AZ74" s="748">
        <f t="shared" si="32"/>
        <v>0</v>
      </c>
      <c r="BA74" s="748">
        <f t="shared" si="32"/>
        <v>0</v>
      </c>
      <c r="BB74" s="748">
        <f t="shared" si="32"/>
        <v>0</v>
      </c>
      <c r="BC74" s="748">
        <f t="shared" si="32"/>
        <v>0</v>
      </c>
      <c r="BD74" s="748">
        <f t="shared" si="32"/>
        <v>0</v>
      </c>
      <c r="BE74" s="748">
        <f t="shared" si="32"/>
        <v>0</v>
      </c>
      <c r="BF74" s="748">
        <f t="shared" si="32"/>
        <v>0</v>
      </c>
      <c r="BG74" s="748">
        <f t="shared" si="32"/>
        <v>0</v>
      </c>
      <c r="BH74" s="748">
        <f t="shared" si="32"/>
        <v>0</v>
      </c>
      <c r="BI74" s="748">
        <f t="shared" si="32"/>
        <v>0</v>
      </c>
      <c r="BJ74" s="748">
        <f t="shared" si="32"/>
        <v>0</v>
      </c>
      <c r="BK74" s="748">
        <f t="shared" si="32"/>
        <v>0</v>
      </c>
      <c r="BL74" s="748">
        <f t="shared" si="32"/>
        <v>0</v>
      </c>
      <c r="BM74" s="748">
        <f t="shared" si="32"/>
        <v>0</v>
      </c>
      <c r="BN74" s="748">
        <f t="shared" si="32"/>
        <v>0</v>
      </c>
    </row>
    <row r="75" spans="1:66" ht="14.1" customHeight="1" x14ac:dyDescent="0.25">
      <c r="C75" s="2" t="s">
        <v>1050</v>
      </c>
      <c r="D75" s="5">
        <f>(Historiek!D225+Historiek!D229+Historiek!D238+Historiek!D240)/1000</f>
        <v>0</v>
      </c>
      <c r="E75" s="5">
        <f>(Historiek!E225+Historiek!E229+Historiek!E238+Historiek!E240)/1000</f>
        <v>0</v>
      </c>
      <c r="F75" s="5">
        <f>(Historiek!F225+Historiek!F229+Historiek!F238+Historiek!F240)/1000</f>
        <v>0</v>
      </c>
      <c r="H75" s="9"/>
      <c r="I75" s="9"/>
      <c r="J75" s="3"/>
      <c r="K75" s="3"/>
      <c r="L75" s="3"/>
    </row>
    <row r="76" spans="1:66" ht="14.1" customHeight="1" x14ac:dyDescent="0.25">
      <c r="C76" s="24" t="s">
        <v>1051</v>
      </c>
      <c r="D76" s="420">
        <f>SUM(D74:D75)</f>
        <v>0</v>
      </c>
      <c r="E76" s="420">
        <f t="shared" ref="E76:F76" si="33">SUM(E74:E75)</f>
        <v>0</v>
      </c>
      <c r="F76" s="420">
        <f t="shared" si="33"/>
        <v>0</v>
      </c>
      <c r="G76" s="420">
        <f t="shared" ref="G76" si="34">SUM(G74:G75)</f>
        <v>0</v>
      </c>
      <c r="H76" s="420">
        <f t="shared" ref="H76" si="35">SUM(H74:H75)</f>
        <v>0</v>
      </c>
      <c r="I76" s="420">
        <f t="shared" ref="I76" si="36">SUM(I74:I75)</f>
        <v>0</v>
      </c>
      <c r="J76" s="420">
        <f t="shared" ref="J76" si="37">SUM(J74:J75)</f>
        <v>0</v>
      </c>
      <c r="K76" s="420">
        <f t="shared" ref="K76" si="38">SUM(K74:K75)</f>
        <v>0</v>
      </c>
      <c r="L76" s="420">
        <f t="shared" ref="L76" si="39">SUM(L74:L75)</f>
        <v>0</v>
      </c>
      <c r="M76" s="420">
        <f t="shared" ref="M76" si="40">SUM(M74:M75)</f>
        <v>0</v>
      </c>
      <c r="N76" s="420">
        <f t="shared" ref="N76" si="41">SUM(N74:N75)</f>
        <v>0</v>
      </c>
      <c r="O76" s="420">
        <f t="shared" ref="O76" si="42">SUM(O74:O75)</f>
        <v>0</v>
      </c>
      <c r="P76" s="420">
        <f t="shared" ref="P76" si="43">SUM(P74:P75)</f>
        <v>0</v>
      </c>
      <c r="Q76" s="420">
        <f t="shared" ref="Q76" si="44">SUM(Q74:Q75)</f>
        <v>0</v>
      </c>
      <c r="R76" s="420">
        <f t="shared" ref="R76" si="45">SUM(R74:R75)</f>
        <v>0</v>
      </c>
      <c r="S76" s="420">
        <f t="shared" ref="S76" si="46">SUM(S74:S75)</f>
        <v>0</v>
      </c>
      <c r="T76" s="420">
        <f t="shared" ref="T76" si="47">SUM(T74:T75)</f>
        <v>0</v>
      </c>
      <c r="U76" s="420">
        <f t="shared" ref="U76" si="48">SUM(U74:U75)</f>
        <v>0</v>
      </c>
      <c r="V76" s="420">
        <f t="shared" ref="V76" si="49">SUM(V74:V75)</f>
        <v>0</v>
      </c>
      <c r="W76" s="420">
        <f t="shared" ref="W76" si="50">SUM(W74:W75)</f>
        <v>0</v>
      </c>
      <c r="X76" s="420">
        <f t="shared" ref="X76" si="51">SUM(X74:X75)</f>
        <v>0</v>
      </c>
      <c r="Y76" s="420">
        <f t="shared" ref="Y76" si="52">SUM(Y74:Y75)</f>
        <v>0</v>
      </c>
      <c r="Z76" s="420">
        <f t="shared" ref="Z76" si="53">SUM(Z74:Z75)</f>
        <v>0</v>
      </c>
      <c r="AA76" s="420">
        <f t="shared" ref="AA76" si="54">SUM(AA74:AA75)</f>
        <v>0</v>
      </c>
      <c r="AB76" s="420">
        <f t="shared" ref="AB76" si="55">SUM(AB74:AB75)</f>
        <v>0</v>
      </c>
      <c r="AC76" s="420">
        <f t="shared" ref="AC76" si="56">SUM(AC74:AC75)</f>
        <v>0</v>
      </c>
      <c r="AD76" s="420">
        <f t="shared" ref="AD76" si="57">SUM(AD74:AD75)</f>
        <v>0</v>
      </c>
      <c r="AE76" s="420">
        <f t="shared" ref="AE76" si="58">SUM(AE74:AE75)</f>
        <v>0</v>
      </c>
      <c r="AF76" s="420">
        <f t="shared" ref="AF76" si="59">SUM(AF74:AF75)</f>
        <v>0</v>
      </c>
      <c r="AG76" s="420">
        <f t="shared" ref="AG76" si="60">SUM(AG74:AG75)</f>
        <v>0</v>
      </c>
      <c r="AH76" s="420">
        <f t="shared" ref="AH76" si="61">SUM(AH74:AH75)</f>
        <v>0</v>
      </c>
      <c r="AI76" s="420">
        <f t="shared" ref="AI76" si="62">SUM(AI74:AI75)</f>
        <v>0</v>
      </c>
      <c r="AJ76" s="420">
        <f t="shared" ref="AJ76" si="63">SUM(AJ74:AJ75)</f>
        <v>0</v>
      </c>
      <c r="AK76" s="420">
        <f t="shared" ref="AK76" si="64">SUM(AK74:AK75)</f>
        <v>0</v>
      </c>
      <c r="AL76" s="420">
        <f t="shared" ref="AL76" si="65">SUM(AL74:AL75)</f>
        <v>0</v>
      </c>
      <c r="AM76" s="420">
        <f t="shared" ref="AM76" si="66">SUM(AM74:AM75)</f>
        <v>0</v>
      </c>
      <c r="AN76" s="420">
        <f t="shared" ref="AN76" si="67">SUM(AN74:AN75)</f>
        <v>0</v>
      </c>
      <c r="AO76" s="420">
        <f t="shared" ref="AO76" si="68">SUM(AO74:AO75)</f>
        <v>0</v>
      </c>
      <c r="AP76" s="420">
        <f t="shared" ref="AP76" si="69">SUM(AP74:AP75)</f>
        <v>0</v>
      </c>
      <c r="AQ76" s="420">
        <f t="shared" ref="AQ76" si="70">SUM(AQ74:AQ75)</f>
        <v>0</v>
      </c>
      <c r="AR76" s="420">
        <f t="shared" ref="AR76" si="71">SUM(AR74:AR75)</f>
        <v>0</v>
      </c>
      <c r="AS76" s="420">
        <f t="shared" ref="AS76" si="72">SUM(AS74:AS75)</f>
        <v>0</v>
      </c>
      <c r="AT76" s="420">
        <f t="shared" ref="AT76" si="73">SUM(AT74:AT75)</f>
        <v>0</v>
      </c>
      <c r="AU76" s="420">
        <f t="shared" ref="AU76" si="74">SUM(AU74:AU75)</f>
        <v>0</v>
      </c>
      <c r="AV76" s="420">
        <f t="shared" ref="AV76" si="75">SUM(AV74:AV75)</f>
        <v>0</v>
      </c>
      <c r="AW76" s="420">
        <f t="shared" ref="AW76" si="76">SUM(AW74:AW75)</f>
        <v>0</v>
      </c>
      <c r="AX76" s="420">
        <f t="shared" ref="AX76" si="77">SUM(AX74:AX75)</f>
        <v>0</v>
      </c>
      <c r="AY76" s="420">
        <f t="shared" ref="AY76" si="78">SUM(AY74:AY75)</f>
        <v>0</v>
      </c>
      <c r="AZ76" s="420">
        <f t="shared" ref="AZ76" si="79">SUM(AZ74:AZ75)</f>
        <v>0</v>
      </c>
      <c r="BA76" s="420">
        <f t="shared" ref="BA76" si="80">SUM(BA74:BA75)</f>
        <v>0</v>
      </c>
      <c r="BB76" s="420">
        <f t="shared" ref="BB76" si="81">SUM(BB74:BB75)</f>
        <v>0</v>
      </c>
      <c r="BC76" s="420">
        <f t="shared" ref="BC76" si="82">SUM(BC74:BC75)</f>
        <v>0</v>
      </c>
      <c r="BD76" s="420">
        <f t="shared" ref="BD76" si="83">SUM(BD74:BD75)</f>
        <v>0</v>
      </c>
      <c r="BE76" s="420">
        <f t="shared" ref="BE76" si="84">SUM(BE74:BE75)</f>
        <v>0</v>
      </c>
      <c r="BF76" s="420">
        <f t="shared" ref="BF76" si="85">SUM(BF74:BF75)</f>
        <v>0</v>
      </c>
      <c r="BG76" s="420">
        <f t="shared" ref="BG76" si="86">SUM(BG74:BG75)</f>
        <v>0</v>
      </c>
      <c r="BH76" s="420">
        <f t="shared" ref="BH76" si="87">SUM(BH74:BH75)</f>
        <v>0</v>
      </c>
      <c r="BI76" s="420">
        <f t="shared" ref="BI76" si="88">SUM(BI74:BI75)</f>
        <v>0</v>
      </c>
      <c r="BJ76" s="420">
        <f t="shared" ref="BJ76" si="89">SUM(BJ74:BJ75)</f>
        <v>0</v>
      </c>
      <c r="BK76" s="420">
        <f t="shared" ref="BK76" si="90">SUM(BK74:BK75)</f>
        <v>0</v>
      </c>
      <c r="BL76" s="420">
        <f t="shared" ref="BL76" si="91">SUM(BL74:BL75)</f>
        <v>0</v>
      </c>
      <c r="BM76" s="420">
        <f t="shared" ref="BM76" si="92">SUM(BM74:BM75)</f>
        <v>0</v>
      </c>
      <c r="BN76" s="420">
        <f t="shared" ref="BN76" si="93">SUM(BN74:BN75)</f>
        <v>0</v>
      </c>
    </row>
    <row r="77" spans="1:66" ht="14.1" customHeight="1" x14ac:dyDescent="0.25">
      <c r="D77" s="9"/>
      <c r="E77" s="9"/>
      <c r="F77" s="23"/>
      <c r="G77" s="9"/>
      <c r="H77" s="9"/>
      <c r="I77" s="9"/>
      <c r="J77" s="3"/>
      <c r="K77" s="3"/>
      <c r="L77" s="3"/>
    </row>
    <row r="78" spans="1:66" ht="14.1" customHeight="1" outlineLevel="1" x14ac:dyDescent="0.25">
      <c r="A78" s="10">
        <f>SUM(D78:BN78)</f>
        <v>0</v>
      </c>
      <c r="C78" s="8" t="s">
        <v>5</v>
      </c>
      <c r="D78" s="8">
        <f>D74-Resultaten!D48</f>
        <v>0</v>
      </c>
      <c r="E78" s="8">
        <f>E74-Resultaten!E48</f>
        <v>0</v>
      </c>
      <c r="F78" s="20">
        <f>F74-Resultaten!F48</f>
        <v>0</v>
      </c>
      <c r="G78" s="8"/>
      <c r="H78" s="8"/>
      <c r="I78" s="8"/>
      <c r="J78" s="3"/>
      <c r="K78" s="3"/>
      <c r="L78" s="3"/>
    </row>
    <row r="79" spans="1:66" ht="14.1" customHeight="1" x14ac:dyDescent="0.25">
      <c r="D79" s="9"/>
      <c r="E79" s="9"/>
      <c r="F79" s="23"/>
      <c r="G79" s="9"/>
      <c r="H79" s="9"/>
      <c r="I79" s="9"/>
      <c r="J79" s="3"/>
      <c r="K79" s="3"/>
      <c r="L79" s="3"/>
    </row>
    <row r="80" spans="1:66" x14ac:dyDescent="0.25">
      <c r="C80" s="406" t="str">
        <f>"Cashflow statement - "&amp;Historiek!$A$2</f>
        <v>Cashflow statement - Dossier</v>
      </c>
      <c r="D80" s="407"/>
      <c r="E80" s="407"/>
      <c r="F80" s="13"/>
      <c r="G80" s="407"/>
      <c r="H80" s="407"/>
      <c r="I80" s="407"/>
    </row>
    <row r="81" spans="3:66" x14ac:dyDescent="0.25">
      <c r="C81" s="738" t="str">
        <f>C$4</f>
        <v>k€</v>
      </c>
      <c r="D81" s="741" t="str">
        <f t="shared" ref="D81:BN81" si="94">D$4</f>
        <v>FY21</v>
      </c>
      <c r="E81" s="741" t="str">
        <f t="shared" si="94"/>
        <v>FY22</v>
      </c>
      <c r="F81" s="743" t="str">
        <f t="shared" si="94"/>
        <v>FY23</v>
      </c>
      <c r="G81" s="741" t="str">
        <f t="shared" si="94"/>
        <v>Jan'24</v>
      </c>
      <c r="H81" s="741" t="str">
        <f t="shared" si="94"/>
        <v>Feb'24</v>
      </c>
      <c r="I81" s="741" t="str">
        <f t="shared" si="94"/>
        <v>Mrt'24</v>
      </c>
      <c r="J81" s="741" t="str">
        <f t="shared" si="94"/>
        <v>Apr'24</v>
      </c>
      <c r="K81" s="741" t="str">
        <f t="shared" si="94"/>
        <v>Mei'24</v>
      </c>
      <c r="L81" s="741" t="str">
        <f t="shared" si="94"/>
        <v>Jun'24</v>
      </c>
      <c r="M81" s="741" t="str">
        <f t="shared" si="94"/>
        <v>Jul'24</v>
      </c>
      <c r="N81" s="741" t="str">
        <f t="shared" si="94"/>
        <v>Aug'24</v>
      </c>
      <c r="O81" s="741" t="str">
        <f t="shared" si="94"/>
        <v>Sep'24</v>
      </c>
      <c r="P81" s="741" t="str">
        <f t="shared" si="94"/>
        <v>Okt'24</v>
      </c>
      <c r="Q81" s="741" t="str">
        <f t="shared" si="94"/>
        <v>Nov'24</v>
      </c>
      <c r="R81" s="741" t="str">
        <f t="shared" si="94"/>
        <v>Dec'24</v>
      </c>
      <c r="S81" s="741" t="str">
        <f t="shared" si="94"/>
        <v>Jan'25</v>
      </c>
      <c r="T81" s="741" t="str">
        <f t="shared" si="94"/>
        <v>Feb'25</v>
      </c>
      <c r="U81" s="741" t="str">
        <f t="shared" si="94"/>
        <v>Mrt'25</v>
      </c>
      <c r="V81" s="741" t="str">
        <f t="shared" si="94"/>
        <v>Apr'25</v>
      </c>
      <c r="W81" s="741" t="str">
        <f t="shared" si="94"/>
        <v>Mei'25</v>
      </c>
      <c r="X81" s="741" t="str">
        <f t="shared" si="94"/>
        <v>Jun'25</v>
      </c>
      <c r="Y81" s="741" t="str">
        <f t="shared" si="94"/>
        <v>Jul'25</v>
      </c>
      <c r="Z81" s="741" t="str">
        <f t="shared" si="94"/>
        <v>Aug'25</v>
      </c>
      <c r="AA81" s="741" t="str">
        <f t="shared" si="94"/>
        <v>Sep'25</v>
      </c>
      <c r="AB81" s="741" t="str">
        <f t="shared" si="94"/>
        <v>Okt'25</v>
      </c>
      <c r="AC81" s="741" t="str">
        <f t="shared" si="94"/>
        <v>Nov'25</v>
      </c>
      <c r="AD81" s="741" t="str">
        <f t="shared" si="94"/>
        <v>Dec'25</v>
      </c>
      <c r="AE81" s="741" t="str">
        <f t="shared" si="94"/>
        <v>Jan'26</v>
      </c>
      <c r="AF81" s="741" t="str">
        <f t="shared" si="94"/>
        <v>Feb'26</v>
      </c>
      <c r="AG81" s="741" t="str">
        <f t="shared" si="94"/>
        <v>Mrt'26</v>
      </c>
      <c r="AH81" s="741" t="str">
        <f t="shared" si="94"/>
        <v>Apr'26</v>
      </c>
      <c r="AI81" s="741" t="str">
        <f t="shared" si="94"/>
        <v>Mei'26</v>
      </c>
      <c r="AJ81" s="741" t="str">
        <f t="shared" si="94"/>
        <v>Jun'26</v>
      </c>
      <c r="AK81" s="741" t="str">
        <f t="shared" si="94"/>
        <v>Jul'26</v>
      </c>
      <c r="AL81" s="741" t="str">
        <f t="shared" si="94"/>
        <v>Aug'26</v>
      </c>
      <c r="AM81" s="741" t="str">
        <f t="shared" si="94"/>
        <v>Sep'26</v>
      </c>
      <c r="AN81" s="741" t="str">
        <f t="shared" si="94"/>
        <v>Okt'26</v>
      </c>
      <c r="AO81" s="741" t="str">
        <f t="shared" si="94"/>
        <v>Nov'26</v>
      </c>
      <c r="AP81" s="741" t="str">
        <f t="shared" si="94"/>
        <v>Dec'26</v>
      </c>
      <c r="AQ81" s="741" t="str">
        <f t="shared" si="94"/>
        <v>Jan'27</v>
      </c>
      <c r="AR81" s="741" t="str">
        <f t="shared" si="94"/>
        <v>Feb'27</v>
      </c>
      <c r="AS81" s="741" t="str">
        <f t="shared" si="94"/>
        <v>Mrt'27</v>
      </c>
      <c r="AT81" s="741" t="str">
        <f t="shared" si="94"/>
        <v>Apr'27</v>
      </c>
      <c r="AU81" s="741" t="str">
        <f t="shared" si="94"/>
        <v>Mei'27</v>
      </c>
      <c r="AV81" s="741" t="str">
        <f t="shared" si="94"/>
        <v>Jun'27</v>
      </c>
      <c r="AW81" s="741" t="str">
        <f t="shared" si="94"/>
        <v>Jul'27</v>
      </c>
      <c r="AX81" s="741" t="str">
        <f t="shared" si="94"/>
        <v>Aug'27</v>
      </c>
      <c r="AY81" s="741" t="str">
        <f t="shared" si="94"/>
        <v>Sep'27</v>
      </c>
      <c r="AZ81" s="741" t="str">
        <f t="shared" si="94"/>
        <v>Okt'27</v>
      </c>
      <c r="BA81" s="741" t="str">
        <f t="shared" si="94"/>
        <v>Nov'27</v>
      </c>
      <c r="BB81" s="741" t="str">
        <f t="shared" si="94"/>
        <v>Dec'27</v>
      </c>
      <c r="BC81" s="741" t="str">
        <f t="shared" si="94"/>
        <v>Jan'28</v>
      </c>
      <c r="BD81" s="741" t="str">
        <f t="shared" si="94"/>
        <v>Feb'28</v>
      </c>
      <c r="BE81" s="741" t="str">
        <f t="shared" si="94"/>
        <v>Mrt'28</v>
      </c>
      <c r="BF81" s="741" t="str">
        <f t="shared" si="94"/>
        <v>Apr'28</v>
      </c>
      <c r="BG81" s="741" t="str">
        <f t="shared" si="94"/>
        <v>Mei'28</v>
      </c>
      <c r="BH81" s="741" t="str">
        <f t="shared" si="94"/>
        <v>Jun'28</v>
      </c>
      <c r="BI81" s="741" t="str">
        <f t="shared" si="94"/>
        <v>Jul'28</v>
      </c>
      <c r="BJ81" s="741" t="str">
        <f t="shared" si="94"/>
        <v>Aug'28</v>
      </c>
      <c r="BK81" s="741" t="str">
        <f t="shared" si="94"/>
        <v>Sep'28</v>
      </c>
      <c r="BL81" s="741" t="str">
        <f t="shared" si="94"/>
        <v>Okt'28</v>
      </c>
      <c r="BM81" s="741" t="str">
        <f t="shared" si="94"/>
        <v>Nov'28</v>
      </c>
      <c r="BN81" s="741" t="str">
        <f t="shared" si="94"/>
        <v>Dec'28</v>
      </c>
    </row>
    <row r="82" spans="3:66" x14ac:dyDescent="0.25">
      <c r="C82" s="16" t="s">
        <v>44</v>
      </c>
      <c r="D82" s="16"/>
      <c r="E82" s="16">
        <f>E74</f>
        <v>0</v>
      </c>
      <c r="F82" s="17">
        <f>F74</f>
        <v>0</v>
      </c>
      <c r="G82" s="16">
        <f>G74</f>
        <v>0</v>
      </c>
      <c r="H82" s="16">
        <f t="shared" ref="H82:BN82" si="95">H74</f>
        <v>0</v>
      </c>
      <c r="I82" s="16">
        <f t="shared" si="95"/>
        <v>0</v>
      </c>
      <c r="J82" s="16">
        <f t="shared" si="95"/>
        <v>0</v>
      </c>
      <c r="K82" s="16">
        <f t="shared" si="95"/>
        <v>0</v>
      </c>
      <c r="L82" s="16">
        <f t="shared" si="95"/>
        <v>0</v>
      </c>
      <c r="M82" s="16">
        <f t="shared" si="95"/>
        <v>0</v>
      </c>
      <c r="N82" s="16">
        <f t="shared" si="95"/>
        <v>0</v>
      </c>
      <c r="O82" s="16">
        <f t="shared" si="95"/>
        <v>0</v>
      </c>
      <c r="P82" s="16">
        <f t="shared" si="95"/>
        <v>0</v>
      </c>
      <c r="Q82" s="16">
        <f t="shared" si="95"/>
        <v>0</v>
      </c>
      <c r="R82" s="16">
        <f t="shared" si="95"/>
        <v>0</v>
      </c>
      <c r="S82" s="16">
        <f t="shared" si="95"/>
        <v>0</v>
      </c>
      <c r="T82" s="16">
        <f t="shared" si="95"/>
        <v>0</v>
      </c>
      <c r="U82" s="16">
        <f t="shared" si="95"/>
        <v>0</v>
      </c>
      <c r="V82" s="16">
        <f t="shared" si="95"/>
        <v>0</v>
      </c>
      <c r="W82" s="16">
        <f t="shared" si="95"/>
        <v>0</v>
      </c>
      <c r="X82" s="16">
        <f t="shared" si="95"/>
        <v>0</v>
      </c>
      <c r="Y82" s="16">
        <f t="shared" si="95"/>
        <v>0</v>
      </c>
      <c r="Z82" s="16">
        <f t="shared" si="95"/>
        <v>0</v>
      </c>
      <c r="AA82" s="16">
        <f t="shared" si="95"/>
        <v>0</v>
      </c>
      <c r="AB82" s="16">
        <f t="shared" si="95"/>
        <v>0</v>
      </c>
      <c r="AC82" s="16">
        <f t="shared" si="95"/>
        <v>0</v>
      </c>
      <c r="AD82" s="16">
        <f t="shared" si="95"/>
        <v>0</v>
      </c>
      <c r="AE82" s="16">
        <f t="shared" si="95"/>
        <v>0</v>
      </c>
      <c r="AF82" s="16">
        <f t="shared" si="95"/>
        <v>0</v>
      </c>
      <c r="AG82" s="16">
        <f t="shared" si="95"/>
        <v>0</v>
      </c>
      <c r="AH82" s="16">
        <f t="shared" si="95"/>
        <v>0</v>
      </c>
      <c r="AI82" s="16">
        <f t="shared" si="95"/>
        <v>0</v>
      </c>
      <c r="AJ82" s="16">
        <f t="shared" si="95"/>
        <v>0</v>
      </c>
      <c r="AK82" s="16">
        <f t="shared" si="95"/>
        <v>0</v>
      </c>
      <c r="AL82" s="16">
        <f t="shared" si="95"/>
        <v>0</v>
      </c>
      <c r="AM82" s="16">
        <f t="shared" si="95"/>
        <v>0</v>
      </c>
      <c r="AN82" s="16">
        <f t="shared" si="95"/>
        <v>0</v>
      </c>
      <c r="AO82" s="16">
        <f t="shared" si="95"/>
        <v>0</v>
      </c>
      <c r="AP82" s="16">
        <f t="shared" si="95"/>
        <v>0</v>
      </c>
      <c r="AQ82" s="16">
        <f t="shared" si="95"/>
        <v>0</v>
      </c>
      <c r="AR82" s="16">
        <f t="shared" si="95"/>
        <v>0</v>
      </c>
      <c r="AS82" s="16">
        <f t="shared" si="95"/>
        <v>0</v>
      </c>
      <c r="AT82" s="16">
        <f t="shared" si="95"/>
        <v>0</v>
      </c>
      <c r="AU82" s="16">
        <f t="shared" si="95"/>
        <v>0</v>
      </c>
      <c r="AV82" s="16">
        <f t="shared" si="95"/>
        <v>0</v>
      </c>
      <c r="AW82" s="16">
        <f t="shared" si="95"/>
        <v>0</v>
      </c>
      <c r="AX82" s="16">
        <f t="shared" si="95"/>
        <v>0</v>
      </c>
      <c r="AY82" s="16">
        <f t="shared" si="95"/>
        <v>0</v>
      </c>
      <c r="AZ82" s="16">
        <f t="shared" si="95"/>
        <v>0</v>
      </c>
      <c r="BA82" s="16">
        <f t="shared" si="95"/>
        <v>0</v>
      </c>
      <c r="BB82" s="16">
        <f t="shared" si="95"/>
        <v>0</v>
      </c>
      <c r="BC82" s="16">
        <f t="shared" si="95"/>
        <v>0</v>
      </c>
      <c r="BD82" s="16">
        <f t="shared" si="95"/>
        <v>0</v>
      </c>
      <c r="BE82" s="16">
        <f t="shared" si="95"/>
        <v>0</v>
      </c>
      <c r="BF82" s="16">
        <f t="shared" si="95"/>
        <v>0</v>
      </c>
      <c r="BG82" s="16">
        <f t="shared" si="95"/>
        <v>0</v>
      </c>
      <c r="BH82" s="16">
        <f t="shared" si="95"/>
        <v>0</v>
      </c>
      <c r="BI82" s="16">
        <f t="shared" si="95"/>
        <v>0</v>
      </c>
      <c r="BJ82" s="16">
        <f t="shared" si="95"/>
        <v>0</v>
      </c>
      <c r="BK82" s="16">
        <f t="shared" si="95"/>
        <v>0</v>
      </c>
      <c r="BL82" s="16">
        <f t="shared" si="95"/>
        <v>0</v>
      </c>
      <c r="BM82" s="16">
        <f t="shared" si="95"/>
        <v>0</v>
      </c>
      <c r="BN82" s="16">
        <f t="shared" si="95"/>
        <v>0</v>
      </c>
    </row>
    <row r="83" spans="3:66" x14ac:dyDescent="0.25">
      <c r="C83" s="418" t="s">
        <v>45</v>
      </c>
      <c r="D83" s="4"/>
      <c r="E83" s="4">
        <f>-E63</f>
        <v>0</v>
      </c>
      <c r="F83" s="14">
        <f>-F63</f>
        <v>0</v>
      </c>
      <c r="G83" s="14">
        <f t="shared" ref="G83:BN83" si="96">-G63</f>
        <v>0</v>
      </c>
      <c r="H83" s="14">
        <f t="shared" si="96"/>
        <v>0</v>
      </c>
      <c r="I83" s="14">
        <f t="shared" si="96"/>
        <v>0</v>
      </c>
      <c r="J83" s="14">
        <f t="shared" si="96"/>
        <v>0</v>
      </c>
      <c r="K83" s="14">
        <f t="shared" si="96"/>
        <v>0</v>
      </c>
      <c r="L83" s="14">
        <f t="shared" si="96"/>
        <v>0</v>
      </c>
      <c r="M83" s="14">
        <f t="shared" si="96"/>
        <v>0</v>
      </c>
      <c r="N83" s="14">
        <f t="shared" si="96"/>
        <v>0</v>
      </c>
      <c r="O83" s="14">
        <f t="shared" si="96"/>
        <v>0</v>
      </c>
      <c r="P83" s="14">
        <f t="shared" si="96"/>
        <v>0</v>
      </c>
      <c r="Q83" s="14">
        <f t="shared" si="96"/>
        <v>0</v>
      </c>
      <c r="R83" s="14">
        <f t="shared" si="96"/>
        <v>0</v>
      </c>
      <c r="S83" s="14">
        <f t="shared" si="96"/>
        <v>0</v>
      </c>
      <c r="T83" s="14">
        <f t="shared" si="96"/>
        <v>0</v>
      </c>
      <c r="U83" s="14">
        <f t="shared" si="96"/>
        <v>0</v>
      </c>
      <c r="V83" s="14">
        <f t="shared" si="96"/>
        <v>0</v>
      </c>
      <c r="W83" s="14">
        <f t="shared" si="96"/>
        <v>0</v>
      </c>
      <c r="X83" s="14">
        <f t="shared" si="96"/>
        <v>0</v>
      </c>
      <c r="Y83" s="14">
        <f t="shared" si="96"/>
        <v>0</v>
      </c>
      <c r="Z83" s="14">
        <f t="shared" si="96"/>
        <v>0</v>
      </c>
      <c r="AA83" s="14">
        <f t="shared" si="96"/>
        <v>0</v>
      </c>
      <c r="AB83" s="14">
        <f t="shared" si="96"/>
        <v>0</v>
      </c>
      <c r="AC83" s="14">
        <f t="shared" si="96"/>
        <v>0</v>
      </c>
      <c r="AD83" s="14">
        <f t="shared" si="96"/>
        <v>0</v>
      </c>
      <c r="AE83" s="14">
        <f t="shared" si="96"/>
        <v>0</v>
      </c>
      <c r="AF83" s="14">
        <f t="shared" si="96"/>
        <v>0</v>
      </c>
      <c r="AG83" s="14">
        <f t="shared" si="96"/>
        <v>0</v>
      </c>
      <c r="AH83" s="14">
        <f t="shared" si="96"/>
        <v>0</v>
      </c>
      <c r="AI83" s="14">
        <f t="shared" si="96"/>
        <v>0</v>
      </c>
      <c r="AJ83" s="14">
        <f t="shared" si="96"/>
        <v>0</v>
      </c>
      <c r="AK83" s="14">
        <f t="shared" si="96"/>
        <v>0</v>
      </c>
      <c r="AL83" s="14">
        <f t="shared" si="96"/>
        <v>0</v>
      </c>
      <c r="AM83" s="14">
        <f t="shared" si="96"/>
        <v>0</v>
      </c>
      <c r="AN83" s="14">
        <f t="shared" si="96"/>
        <v>0</v>
      </c>
      <c r="AO83" s="14">
        <f t="shared" si="96"/>
        <v>0</v>
      </c>
      <c r="AP83" s="14">
        <f t="shared" si="96"/>
        <v>0</v>
      </c>
      <c r="AQ83" s="14">
        <f t="shared" si="96"/>
        <v>0</v>
      </c>
      <c r="AR83" s="14">
        <f t="shared" si="96"/>
        <v>0</v>
      </c>
      <c r="AS83" s="14">
        <f t="shared" si="96"/>
        <v>0</v>
      </c>
      <c r="AT83" s="14">
        <f t="shared" si="96"/>
        <v>0</v>
      </c>
      <c r="AU83" s="14">
        <f t="shared" si="96"/>
        <v>0</v>
      </c>
      <c r="AV83" s="14">
        <f t="shared" si="96"/>
        <v>0</v>
      </c>
      <c r="AW83" s="14">
        <f t="shared" si="96"/>
        <v>0</v>
      </c>
      <c r="AX83" s="14">
        <f t="shared" si="96"/>
        <v>0</v>
      </c>
      <c r="AY83" s="14">
        <f t="shared" si="96"/>
        <v>0</v>
      </c>
      <c r="AZ83" s="14">
        <f t="shared" si="96"/>
        <v>0</v>
      </c>
      <c r="BA83" s="14">
        <f t="shared" si="96"/>
        <v>0</v>
      </c>
      <c r="BB83" s="14">
        <f t="shared" si="96"/>
        <v>0</v>
      </c>
      <c r="BC83" s="14">
        <f t="shared" si="96"/>
        <v>0</v>
      </c>
      <c r="BD83" s="14">
        <f t="shared" si="96"/>
        <v>0</v>
      </c>
      <c r="BE83" s="14">
        <f t="shared" si="96"/>
        <v>0</v>
      </c>
      <c r="BF83" s="14">
        <f t="shared" si="96"/>
        <v>0</v>
      </c>
      <c r="BG83" s="14">
        <f t="shared" si="96"/>
        <v>0</v>
      </c>
      <c r="BH83" s="14">
        <f t="shared" si="96"/>
        <v>0</v>
      </c>
      <c r="BI83" s="14">
        <f t="shared" si="96"/>
        <v>0</v>
      </c>
      <c r="BJ83" s="14">
        <f t="shared" si="96"/>
        <v>0</v>
      </c>
      <c r="BK83" s="14">
        <f t="shared" si="96"/>
        <v>0</v>
      </c>
      <c r="BL83" s="14">
        <f t="shared" si="96"/>
        <v>0</v>
      </c>
      <c r="BM83" s="14">
        <f t="shared" si="96"/>
        <v>0</v>
      </c>
      <c r="BN83" s="14">
        <f t="shared" si="96"/>
        <v>0</v>
      </c>
    </row>
    <row r="84" spans="3:66" x14ac:dyDescent="0.25">
      <c r="C84" s="419" t="s">
        <v>46</v>
      </c>
      <c r="D84" s="4"/>
      <c r="E84" s="4">
        <f>E113</f>
        <v>0</v>
      </c>
      <c r="F84" s="4">
        <f t="shared" ref="F84:BN84" si="97">F113</f>
        <v>0</v>
      </c>
      <c r="G84" s="4">
        <f t="shared" si="97"/>
        <v>0</v>
      </c>
      <c r="H84" s="4">
        <f t="shared" si="97"/>
        <v>0</v>
      </c>
      <c r="I84" s="4">
        <f t="shared" si="97"/>
        <v>0</v>
      </c>
      <c r="J84" s="4">
        <f t="shared" si="97"/>
        <v>0</v>
      </c>
      <c r="K84" s="4">
        <f t="shared" si="97"/>
        <v>0</v>
      </c>
      <c r="L84" s="4">
        <f t="shared" si="97"/>
        <v>0</v>
      </c>
      <c r="M84" s="4">
        <f t="shared" si="97"/>
        <v>0</v>
      </c>
      <c r="N84" s="4">
        <f t="shared" si="97"/>
        <v>0</v>
      </c>
      <c r="O84" s="4">
        <f t="shared" si="97"/>
        <v>0</v>
      </c>
      <c r="P84" s="4">
        <f t="shared" si="97"/>
        <v>0</v>
      </c>
      <c r="Q84" s="4">
        <f t="shared" si="97"/>
        <v>0</v>
      </c>
      <c r="R84" s="4">
        <f t="shared" si="97"/>
        <v>0</v>
      </c>
      <c r="S84" s="4">
        <f t="shared" si="97"/>
        <v>0</v>
      </c>
      <c r="T84" s="4">
        <f t="shared" si="97"/>
        <v>0</v>
      </c>
      <c r="U84" s="4">
        <f t="shared" si="97"/>
        <v>0</v>
      </c>
      <c r="V84" s="4">
        <f t="shared" si="97"/>
        <v>0</v>
      </c>
      <c r="W84" s="4">
        <f t="shared" si="97"/>
        <v>0</v>
      </c>
      <c r="X84" s="4">
        <f t="shared" si="97"/>
        <v>0</v>
      </c>
      <c r="Y84" s="4">
        <f t="shared" si="97"/>
        <v>0</v>
      </c>
      <c r="Z84" s="4">
        <f t="shared" si="97"/>
        <v>0</v>
      </c>
      <c r="AA84" s="4">
        <f t="shared" si="97"/>
        <v>0</v>
      </c>
      <c r="AB84" s="4">
        <f t="shared" si="97"/>
        <v>0</v>
      </c>
      <c r="AC84" s="4">
        <f t="shared" si="97"/>
        <v>0</v>
      </c>
      <c r="AD84" s="4">
        <f t="shared" si="97"/>
        <v>0</v>
      </c>
      <c r="AE84" s="4">
        <f t="shared" si="97"/>
        <v>0</v>
      </c>
      <c r="AF84" s="4">
        <f t="shared" si="97"/>
        <v>0</v>
      </c>
      <c r="AG84" s="4">
        <f t="shared" si="97"/>
        <v>0</v>
      </c>
      <c r="AH84" s="4">
        <f t="shared" si="97"/>
        <v>0</v>
      </c>
      <c r="AI84" s="4">
        <f t="shared" si="97"/>
        <v>0</v>
      </c>
      <c r="AJ84" s="4">
        <f t="shared" si="97"/>
        <v>0</v>
      </c>
      <c r="AK84" s="4">
        <f t="shared" si="97"/>
        <v>0</v>
      </c>
      <c r="AL84" s="4">
        <f t="shared" si="97"/>
        <v>0</v>
      </c>
      <c r="AM84" s="4">
        <f t="shared" si="97"/>
        <v>0</v>
      </c>
      <c r="AN84" s="4">
        <f t="shared" si="97"/>
        <v>0</v>
      </c>
      <c r="AO84" s="4">
        <f t="shared" si="97"/>
        <v>0</v>
      </c>
      <c r="AP84" s="4">
        <f t="shared" si="97"/>
        <v>0</v>
      </c>
      <c r="AQ84" s="4">
        <f t="shared" si="97"/>
        <v>0</v>
      </c>
      <c r="AR84" s="4">
        <f t="shared" si="97"/>
        <v>0</v>
      </c>
      <c r="AS84" s="4">
        <f t="shared" si="97"/>
        <v>0</v>
      </c>
      <c r="AT84" s="4">
        <f t="shared" si="97"/>
        <v>0</v>
      </c>
      <c r="AU84" s="4">
        <f t="shared" si="97"/>
        <v>0</v>
      </c>
      <c r="AV84" s="4">
        <f t="shared" si="97"/>
        <v>0</v>
      </c>
      <c r="AW84" s="4">
        <f t="shared" si="97"/>
        <v>0</v>
      </c>
      <c r="AX84" s="4">
        <f t="shared" si="97"/>
        <v>0</v>
      </c>
      <c r="AY84" s="4">
        <f t="shared" si="97"/>
        <v>0</v>
      </c>
      <c r="AZ84" s="4">
        <f t="shared" si="97"/>
        <v>0</v>
      </c>
      <c r="BA84" s="4">
        <f t="shared" si="97"/>
        <v>0</v>
      </c>
      <c r="BB84" s="4">
        <f t="shared" si="97"/>
        <v>0</v>
      </c>
      <c r="BC84" s="4">
        <f t="shared" si="97"/>
        <v>0</v>
      </c>
      <c r="BD84" s="4">
        <f t="shared" si="97"/>
        <v>0</v>
      </c>
      <c r="BE84" s="4">
        <f t="shared" si="97"/>
        <v>0</v>
      </c>
      <c r="BF84" s="4">
        <f t="shared" si="97"/>
        <v>0</v>
      </c>
      <c r="BG84" s="4">
        <f t="shared" si="97"/>
        <v>0</v>
      </c>
      <c r="BH84" s="4">
        <f t="shared" si="97"/>
        <v>0</v>
      </c>
      <c r="BI84" s="4">
        <f t="shared" si="97"/>
        <v>0</v>
      </c>
      <c r="BJ84" s="4">
        <f t="shared" si="97"/>
        <v>0</v>
      </c>
      <c r="BK84" s="4">
        <f t="shared" si="97"/>
        <v>0</v>
      </c>
      <c r="BL84" s="4">
        <f t="shared" si="97"/>
        <v>0</v>
      </c>
      <c r="BM84" s="4">
        <f t="shared" si="97"/>
        <v>0</v>
      </c>
      <c r="BN84" s="4">
        <f t="shared" si="97"/>
        <v>0</v>
      </c>
    </row>
    <row r="85" spans="3:66" x14ac:dyDescent="0.25">
      <c r="C85" s="410" t="s">
        <v>47</v>
      </c>
      <c r="D85" s="410"/>
      <c r="E85" s="410">
        <f>SUM(E82:E84)</f>
        <v>0</v>
      </c>
      <c r="F85" s="410">
        <f t="shared" ref="F85:BN85" si="98">SUM(F82:F84)</f>
        <v>0</v>
      </c>
      <c r="G85" s="410">
        <f t="shared" si="98"/>
        <v>0</v>
      </c>
      <c r="H85" s="410">
        <f t="shared" si="98"/>
        <v>0</v>
      </c>
      <c r="I85" s="410">
        <f t="shared" si="98"/>
        <v>0</v>
      </c>
      <c r="J85" s="410">
        <f t="shared" si="98"/>
        <v>0</v>
      </c>
      <c r="K85" s="410">
        <f t="shared" si="98"/>
        <v>0</v>
      </c>
      <c r="L85" s="410">
        <f t="shared" si="98"/>
        <v>0</v>
      </c>
      <c r="M85" s="410">
        <f t="shared" si="98"/>
        <v>0</v>
      </c>
      <c r="N85" s="410">
        <f t="shared" si="98"/>
        <v>0</v>
      </c>
      <c r="O85" s="410">
        <f t="shared" si="98"/>
        <v>0</v>
      </c>
      <c r="P85" s="410">
        <f t="shared" si="98"/>
        <v>0</v>
      </c>
      <c r="Q85" s="410">
        <f t="shared" si="98"/>
        <v>0</v>
      </c>
      <c r="R85" s="410">
        <f t="shared" si="98"/>
        <v>0</v>
      </c>
      <c r="S85" s="410">
        <f t="shared" si="98"/>
        <v>0</v>
      </c>
      <c r="T85" s="410">
        <f t="shared" si="98"/>
        <v>0</v>
      </c>
      <c r="U85" s="410">
        <f t="shared" si="98"/>
        <v>0</v>
      </c>
      <c r="V85" s="410">
        <f t="shared" si="98"/>
        <v>0</v>
      </c>
      <c r="W85" s="410">
        <f t="shared" si="98"/>
        <v>0</v>
      </c>
      <c r="X85" s="410">
        <f t="shared" si="98"/>
        <v>0</v>
      </c>
      <c r="Y85" s="410">
        <f t="shared" si="98"/>
        <v>0</v>
      </c>
      <c r="Z85" s="410">
        <f t="shared" si="98"/>
        <v>0</v>
      </c>
      <c r="AA85" s="410">
        <f t="shared" si="98"/>
        <v>0</v>
      </c>
      <c r="AB85" s="410">
        <f t="shared" si="98"/>
        <v>0</v>
      </c>
      <c r="AC85" s="410">
        <f t="shared" si="98"/>
        <v>0</v>
      </c>
      <c r="AD85" s="410">
        <f t="shared" si="98"/>
        <v>0</v>
      </c>
      <c r="AE85" s="410">
        <f t="shared" si="98"/>
        <v>0</v>
      </c>
      <c r="AF85" s="410">
        <f t="shared" si="98"/>
        <v>0</v>
      </c>
      <c r="AG85" s="410">
        <f t="shared" si="98"/>
        <v>0</v>
      </c>
      <c r="AH85" s="410">
        <f t="shared" si="98"/>
        <v>0</v>
      </c>
      <c r="AI85" s="410">
        <f t="shared" si="98"/>
        <v>0</v>
      </c>
      <c r="AJ85" s="410">
        <f t="shared" si="98"/>
        <v>0</v>
      </c>
      <c r="AK85" s="410">
        <f t="shared" si="98"/>
        <v>0</v>
      </c>
      <c r="AL85" s="410">
        <f t="shared" si="98"/>
        <v>0</v>
      </c>
      <c r="AM85" s="410">
        <f t="shared" si="98"/>
        <v>0</v>
      </c>
      <c r="AN85" s="410">
        <f t="shared" si="98"/>
        <v>0</v>
      </c>
      <c r="AO85" s="410">
        <f t="shared" si="98"/>
        <v>0</v>
      </c>
      <c r="AP85" s="410">
        <f t="shared" si="98"/>
        <v>0</v>
      </c>
      <c r="AQ85" s="410">
        <f t="shared" si="98"/>
        <v>0</v>
      </c>
      <c r="AR85" s="410">
        <f t="shared" si="98"/>
        <v>0</v>
      </c>
      <c r="AS85" s="410">
        <f t="shared" si="98"/>
        <v>0</v>
      </c>
      <c r="AT85" s="410">
        <f t="shared" si="98"/>
        <v>0</v>
      </c>
      <c r="AU85" s="410">
        <f t="shared" si="98"/>
        <v>0</v>
      </c>
      <c r="AV85" s="410">
        <f t="shared" si="98"/>
        <v>0</v>
      </c>
      <c r="AW85" s="410">
        <f t="shared" si="98"/>
        <v>0</v>
      </c>
      <c r="AX85" s="410">
        <f t="shared" si="98"/>
        <v>0</v>
      </c>
      <c r="AY85" s="410">
        <f t="shared" si="98"/>
        <v>0</v>
      </c>
      <c r="AZ85" s="410">
        <f t="shared" si="98"/>
        <v>0</v>
      </c>
      <c r="BA85" s="410">
        <f t="shared" si="98"/>
        <v>0</v>
      </c>
      <c r="BB85" s="410">
        <f t="shared" si="98"/>
        <v>0</v>
      </c>
      <c r="BC85" s="410">
        <f t="shared" si="98"/>
        <v>0</v>
      </c>
      <c r="BD85" s="410">
        <f t="shared" si="98"/>
        <v>0</v>
      </c>
      <c r="BE85" s="410">
        <f t="shared" si="98"/>
        <v>0</v>
      </c>
      <c r="BF85" s="410">
        <f t="shared" si="98"/>
        <v>0</v>
      </c>
      <c r="BG85" s="410">
        <f t="shared" si="98"/>
        <v>0</v>
      </c>
      <c r="BH85" s="410">
        <f t="shared" si="98"/>
        <v>0</v>
      </c>
      <c r="BI85" s="410">
        <f t="shared" si="98"/>
        <v>0</v>
      </c>
      <c r="BJ85" s="410">
        <f t="shared" si="98"/>
        <v>0</v>
      </c>
      <c r="BK85" s="410">
        <f t="shared" si="98"/>
        <v>0</v>
      </c>
      <c r="BL85" s="410">
        <f t="shared" si="98"/>
        <v>0</v>
      </c>
      <c r="BM85" s="410">
        <f t="shared" si="98"/>
        <v>0</v>
      </c>
      <c r="BN85" s="410">
        <f t="shared" si="98"/>
        <v>0</v>
      </c>
    </row>
    <row r="86" spans="3:66" x14ac:dyDescent="0.25">
      <c r="C86" s="6" t="s">
        <v>4</v>
      </c>
      <c r="D86" s="4"/>
      <c r="E86" s="413">
        <f>D13-E13-E83</f>
        <v>0</v>
      </c>
      <c r="F86" s="19">
        <f>E13-F13-F83</f>
        <v>0</v>
      </c>
      <c r="G86" s="413"/>
      <c r="H86" s="413"/>
      <c r="I86" s="413"/>
      <c r="J86" s="413"/>
      <c r="K86" s="413"/>
      <c r="L86" s="413"/>
      <c r="M86" s="413"/>
      <c r="N86" s="413"/>
      <c r="O86" s="413"/>
      <c r="P86" s="413"/>
      <c r="Q86" s="413"/>
      <c r="R86" s="413"/>
      <c r="S86" s="413"/>
      <c r="T86" s="413"/>
      <c r="U86" s="413"/>
      <c r="V86" s="413"/>
      <c r="W86" s="413"/>
      <c r="X86" s="413"/>
      <c r="Y86" s="413"/>
      <c r="Z86" s="413"/>
      <c r="AA86" s="413"/>
      <c r="AB86" s="413"/>
      <c r="AC86" s="413"/>
      <c r="AD86" s="413"/>
      <c r="AE86" s="413"/>
      <c r="AF86" s="413"/>
      <c r="AG86" s="413"/>
      <c r="AH86" s="413"/>
      <c r="AI86" s="413"/>
      <c r="AJ86" s="413"/>
      <c r="AK86" s="413"/>
      <c r="AL86" s="413"/>
      <c r="AM86" s="413"/>
      <c r="AN86" s="413"/>
      <c r="AO86" s="413"/>
      <c r="AP86" s="413"/>
      <c r="AQ86" s="413"/>
      <c r="AR86" s="413"/>
      <c r="AS86" s="413"/>
      <c r="AT86" s="413"/>
      <c r="AU86" s="413"/>
      <c r="AV86" s="413"/>
      <c r="AW86" s="413"/>
      <c r="AX86" s="413"/>
      <c r="AY86" s="413"/>
      <c r="AZ86" s="413"/>
      <c r="BA86" s="413"/>
      <c r="BB86" s="413"/>
      <c r="BC86" s="413"/>
      <c r="BD86" s="413"/>
      <c r="BE86" s="413"/>
      <c r="BF86" s="413"/>
      <c r="BG86" s="413"/>
      <c r="BH86" s="413"/>
      <c r="BI86" s="413"/>
      <c r="BJ86" s="413"/>
      <c r="BK86" s="413"/>
      <c r="BL86" s="413"/>
      <c r="BM86" s="413"/>
      <c r="BN86" s="413"/>
    </row>
    <row r="87" spans="3:66" x14ac:dyDescent="0.25">
      <c r="C87" s="410" t="s">
        <v>48</v>
      </c>
      <c r="D87" s="410"/>
      <c r="E87" s="410">
        <f t="shared" ref="E87:G87" si="99">E86</f>
        <v>0</v>
      </c>
      <c r="F87" s="15">
        <f t="shared" si="99"/>
        <v>0</v>
      </c>
      <c r="G87" s="410">
        <f t="shared" si="99"/>
        <v>0</v>
      </c>
      <c r="H87" s="410">
        <f t="shared" ref="H87:BN87" si="100">H86</f>
        <v>0</v>
      </c>
      <c r="I87" s="410">
        <f t="shared" si="100"/>
        <v>0</v>
      </c>
      <c r="J87" s="410">
        <f t="shared" si="100"/>
        <v>0</v>
      </c>
      <c r="K87" s="410">
        <f t="shared" si="100"/>
        <v>0</v>
      </c>
      <c r="L87" s="410">
        <f t="shared" si="100"/>
        <v>0</v>
      </c>
      <c r="M87" s="410">
        <f t="shared" si="100"/>
        <v>0</v>
      </c>
      <c r="N87" s="410">
        <f t="shared" si="100"/>
        <v>0</v>
      </c>
      <c r="O87" s="410">
        <f t="shared" si="100"/>
        <v>0</v>
      </c>
      <c r="P87" s="410">
        <f t="shared" si="100"/>
        <v>0</v>
      </c>
      <c r="Q87" s="410">
        <f t="shared" si="100"/>
        <v>0</v>
      </c>
      <c r="R87" s="410">
        <f t="shared" si="100"/>
        <v>0</v>
      </c>
      <c r="S87" s="410">
        <f t="shared" si="100"/>
        <v>0</v>
      </c>
      <c r="T87" s="410">
        <f t="shared" si="100"/>
        <v>0</v>
      </c>
      <c r="U87" s="410">
        <f t="shared" si="100"/>
        <v>0</v>
      </c>
      <c r="V87" s="410">
        <f t="shared" si="100"/>
        <v>0</v>
      </c>
      <c r="W87" s="410">
        <f t="shared" si="100"/>
        <v>0</v>
      </c>
      <c r="X87" s="410">
        <f t="shared" si="100"/>
        <v>0</v>
      </c>
      <c r="Y87" s="410">
        <f t="shared" si="100"/>
        <v>0</v>
      </c>
      <c r="Z87" s="410">
        <f t="shared" si="100"/>
        <v>0</v>
      </c>
      <c r="AA87" s="410">
        <f t="shared" si="100"/>
        <v>0</v>
      </c>
      <c r="AB87" s="410">
        <f t="shared" si="100"/>
        <v>0</v>
      </c>
      <c r="AC87" s="410">
        <f t="shared" si="100"/>
        <v>0</v>
      </c>
      <c r="AD87" s="410">
        <f t="shared" si="100"/>
        <v>0</v>
      </c>
      <c r="AE87" s="410">
        <f t="shared" si="100"/>
        <v>0</v>
      </c>
      <c r="AF87" s="410">
        <f t="shared" si="100"/>
        <v>0</v>
      </c>
      <c r="AG87" s="410">
        <f t="shared" si="100"/>
        <v>0</v>
      </c>
      <c r="AH87" s="410">
        <f t="shared" si="100"/>
        <v>0</v>
      </c>
      <c r="AI87" s="410">
        <f t="shared" si="100"/>
        <v>0</v>
      </c>
      <c r="AJ87" s="410">
        <f t="shared" si="100"/>
        <v>0</v>
      </c>
      <c r="AK87" s="410">
        <f t="shared" si="100"/>
        <v>0</v>
      </c>
      <c r="AL87" s="410">
        <f t="shared" si="100"/>
        <v>0</v>
      </c>
      <c r="AM87" s="410">
        <f t="shared" si="100"/>
        <v>0</v>
      </c>
      <c r="AN87" s="410">
        <f t="shared" si="100"/>
        <v>0</v>
      </c>
      <c r="AO87" s="410">
        <f t="shared" si="100"/>
        <v>0</v>
      </c>
      <c r="AP87" s="410">
        <f t="shared" si="100"/>
        <v>0</v>
      </c>
      <c r="AQ87" s="410">
        <f t="shared" si="100"/>
        <v>0</v>
      </c>
      <c r="AR87" s="410">
        <f t="shared" si="100"/>
        <v>0</v>
      </c>
      <c r="AS87" s="410">
        <f t="shared" si="100"/>
        <v>0</v>
      </c>
      <c r="AT87" s="410">
        <f t="shared" si="100"/>
        <v>0</v>
      </c>
      <c r="AU87" s="410">
        <f t="shared" si="100"/>
        <v>0</v>
      </c>
      <c r="AV87" s="410">
        <f t="shared" si="100"/>
        <v>0</v>
      </c>
      <c r="AW87" s="410">
        <f t="shared" si="100"/>
        <v>0</v>
      </c>
      <c r="AX87" s="410">
        <f t="shared" si="100"/>
        <v>0</v>
      </c>
      <c r="AY87" s="410">
        <f t="shared" si="100"/>
        <v>0</v>
      </c>
      <c r="AZ87" s="410">
        <f t="shared" si="100"/>
        <v>0</v>
      </c>
      <c r="BA87" s="410">
        <f t="shared" si="100"/>
        <v>0</v>
      </c>
      <c r="BB87" s="410">
        <f t="shared" si="100"/>
        <v>0</v>
      </c>
      <c r="BC87" s="410">
        <f t="shared" si="100"/>
        <v>0</v>
      </c>
      <c r="BD87" s="410">
        <f t="shared" si="100"/>
        <v>0</v>
      </c>
      <c r="BE87" s="410">
        <f t="shared" si="100"/>
        <v>0</v>
      </c>
      <c r="BF87" s="410">
        <f t="shared" si="100"/>
        <v>0</v>
      </c>
      <c r="BG87" s="410">
        <f t="shared" si="100"/>
        <v>0</v>
      </c>
      <c r="BH87" s="410">
        <f t="shared" si="100"/>
        <v>0</v>
      </c>
      <c r="BI87" s="410">
        <f t="shared" si="100"/>
        <v>0</v>
      </c>
      <c r="BJ87" s="410">
        <f t="shared" si="100"/>
        <v>0</v>
      </c>
      <c r="BK87" s="410">
        <f t="shared" si="100"/>
        <v>0</v>
      </c>
      <c r="BL87" s="410">
        <f t="shared" si="100"/>
        <v>0</v>
      </c>
      <c r="BM87" s="410">
        <f t="shared" si="100"/>
        <v>0</v>
      </c>
      <c r="BN87" s="410">
        <f t="shared" si="100"/>
        <v>0</v>
      </c>
    </row>
    <row r="88" spans="3:66" x14ac:dyDescent="0.25">
      <c r="C88" s="414" t="s">
        <v>1053</v>
      </c>
      <c r="D88" s="4"/>
      <c r="E88" s="4">
        <f>Historiek!E240/1000</f>
        <v>0</v>
      </c>
      <c r="F88" s="4">
        <f>Historiek!F240/1000</f>
        <v>0</v>
      </c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</row>
    <row r="89" spans="3:66" x14ac:dyDescent="0.25">
      <c r="C89" s="414" t="s">
        <v>49</v>
      </c>
      <c r="D89" s="4"/>
      <c r="E89" s="4">
        <f t="shared" ref="E89:AJ89" si="101">D30-E30</f>
        <v>0</v>
      </c>
      <c r="F89" s="4">
        <f t="shared" si="101"/>
        <v>0</v>
      </c>
      <c r="G89" s="4">
        <f t="shared" si="101"/>
        <v>0</v>
      </c>
      <c r="H89" s="4">
        <f t="shared" si="101"/>
        <v>0</v>
      </c>
      <c r="I89" s="4">
        <f t="shared" si="101"/>
        <v>0</v>
      </c>
      <c r="J89" s="4">
        <f t="shared" si="101"/>
        <v>0</v>
      </c>
      <c r="K89" s="4">
        <f t="shared" si="101"/>
        <v>0</v>
      </c>
      <c r="L89" s="4">
        <f t="shared" si="101"/>
        <v>0</v>
      </c>
      <c r="M89" s="4">
        <f t="shared" si="101"/>
        <v>0</v>
      </c>
      <c r="N89" s="4">
        <f t="shared" si="101"/>
        <v>0</v>
      </c>
      <c r="O89" s="4">
        <f t="shared" si="101"/>
        <v>0</v>
      </c>
      <c r="P89" s="4">
        <f t="shared" si="101"/>
        <v>0</v>
      </c>
      <c r="Q89" s="4">
        <f t="shared" si="101"/>
        <v>0</v>
      </c>
      <c r="R89" s="4">
        <f t="shared" si="101"/>
        <v>0</v>
      </c>
      <c r="S89" s="4">
        <f t="shared" si="101"/>
        <v>0</v>
      </c>
      <c r="T89" s="4">
        <f t="shared" si="101"/>
        <v>0</v>
      </c>
      <c r="U89" s="4">
        <f t="shared" si="101"/>
        <v>0</v>
      </c>
      <c r="V89" s="4">
        <f t="shared" si="101"/>
        <v>0</v>
      </c>
      <c r="W89" s="4">
        <f t="shared" si="101"/>
        <v>0</v>
      </c>
      <c r="X89" s="4">
        <f t="shared" si="101"/>
        <v>0</v>
      </c>
      <c r="Y89" s="4">
        <f t="shared" si="101"/>
        <v>0</v>
      </c>
      <c r="Z89" s="4">
        <f t="shared" si="101"/>
        <v>0</v>
      </c>
      <c r="AA89" s="4">
        <f t="shared" si="101"/>
        <v>0</v>
      </c>
      <c r="AB89" s="4">
        <f t="shared" si="101"/>
        <v>0</v>
      </c>
      <c r="AC89" s="4">
        <f t="shared" si="101"/>
        <v>0</v>
      </c>
      <c r="AD89" s="4">
        <f t="shared" si="101"/>
        <v>0</v>
      </c>
      <c r="AE89" s="4">
        <f t="shared" si="101"/>
        <v>0</v>
      </c>
      <c r="AF89" s="4">
        <f t="shared" si="101"/>
        <v>0</v>
      </c>
      <c r="AG89" s="4">
        <f t="shared" si="101"/>
        <v>0</v>
      </c>
      <c r="AH89" s="4">
        <f t="shared" si="101"/>
        <v>0</v>
      </c>
      <c r="AI89" s="4">
        <f t="shared" si="101"/>
        <v>0</v>
      </c>
      <c r="AJ89" s="4">
        <f t="shared" si="101"/>
        <v>0</v>
      </c>
      <c r="AK89" s="4">
        <f t="shared" ref="AK89:BN89" si="102">AJ30-AK30</f>
        <v>0</v>
      </c>
      <c r="AL89" s="4">
        <f t="shared" si="102"/>
        <v>0</v>
      </c>
      <c r="AM89" s="4">
        <f t="shared" si="102"/>
        <v>0</v>
      </c>
      <c r="AN89" s="4">
        <f t="shared" si="102"/>
        <v>0</v>
      </c>
      <c r="AO89" s="4">
        <f t="shared" si="102"/>
        <v>0</v>
      </c>
      <c r="AP89" s="4">
        <f t="shared" si="102"/>
        <v>0</v>
      </c>
      <c r="AQ89" s="4">
        <f t="shared" si="102"/>
        <v>0</v>
      </c>
      <c r="AR89" s="4">
        <f t="shared" si="102"/>
        <v>0</v>
      </c>
      <c r="AS89" s="4">
        <f t="shared" si="102"/>
        <v>0</v>
      </c>
      <c r="AT89" s="4">
        <f t="shared" si="102"/>
        <v>0</v>
      </c>
      <c r="AU89" s="4">
        <f t="shared" si="102"/>
        <v>0</v>
      </c>
      <c r="AV89" s="4">
        <f t="shared" si="102"/>
        <v>0</v>
      </c>
      <c r="AW89" s="4">
        <f t="shared" si="102"/>
        <v>0</v>
      </c>
      <c r="AX89" s="4">
        <f t="shared" si="102"/>
        <v>0</v>
      </c>
      <c r="AY89" s="4">
        <f t="shared" si="102"/>
        <v>0</v>
      </c>
      <c r="AZ89" s="4">
        <f t="shared" si="102"/>
        <v>0</v>
      </c>
      <c r="BA89" s="4">
        <f t="shared" si="102"/>
        <v>0</v>
      </c>
      <c r="BB89" s="4">
        <f t="shared" si="102"/>
        <v>0</v>
      </c>
      <c r="BC89" s="4">
        <f t="shared" si="102"/>
        <v>0</v>
      </c>
      <c r="BD89" s="4">
        <f t="shared" si="102"/>
        <v>0</v>
      </c>
      <c r="BE89" s="4">
        <f t="shared" si="102"/>
        <v>0</v>
      </c>
      <c r="BF89" s="4">
        <f t="shared" si="102"/>
        <v>0</v>
      </c>
      <c r="BG89" s="4">
        <f t="shared" si="102"/>
        <v>0</v>
      </c>
      <c r="BH89" s="4">
        <f t="shared" si="102"/>
        <v>0</v>
      </c>
      <c r="BI89" s="4">
        <f t="shared" si="102"/>
        <v>0</v>
      </c>
      <c r="BJ89" s="4">
        <f t="shared" si="102"/>
        <v>0</v>
      </c>
      <c r="BK89" s="4">
        <f t="shared" si="102"/>
        <v>0</v>
      </c>
      <c r="BL89" s="4">
        <f t="shared" si="102"/>
        <v>0</v>
      </c>
      <c r="BM89" s="4">
        <f t="shared" si="102"/>
        <v>0</v>
      </c>
      <c r="BN89" s="4">
        <f t="shared" si="102"/>
        <v>0</v>
      </c>
    </row>
    <row r="90" spans="3:66" x14ac:dyDescent="0.25">
      <c r="C90" s="414" t="s">
        <v>50</v>
      </c>
      <c r="D90" s="4"/>
      <c r="E90" s="4">
        <f t="shared" ref="E90:AJ90" si="103">E33-D33</f>
        <v>0</v>
      </c>
      <c r="F90" s="4">
        <f t="shared" si="103"/>
        <v>0</v>
      </c>
      <c r="G90" s="4">
        <f t="shared" si="103"/>
        <v>0</v>
      </c>
      <c r="H90" s="4">
        <f t="shared" si="103"/>
        <v>0</v>
      </c>
      <c r="I90" s="4">
        <f t="shared" si="103"/>
        <v>0</v>
      </c>
      <c r="J90" s="4">
        <f t="shared" si="103"/>
        <v>0</v>
      </c>
      <c r="K90" s="4">
        <f t="shared" si="103"/>
        <v>0</v>
      </c>
      <c r="L90" s="4">
        <f t="shared" si="103"/>
        <v>0</v>
      </c>
      <c r="M90" s="4">
        <f t="shared" si="103"/>
        <v>0</v>
      </c>
      <c r="N90" s="4">
        <f t="shared" si="103"/>
        <v>0</v>
      </c>
      <c r="O90" s="4">
        <f t="shared" si="103"/>
        <v>0</v>
      </c>
      <c r="P90" s="4">
        <f t="shared" si="103"/>
        <v>0</v>
      </c>
      <c r="Q90" s="4">
        <f t="shared" si="103"/>
        <v>0</v>
      </c>
      <c r="R90" s="4">
        <f t="shared" si="103"/>
        <v>0</v>
      </c>
      <c r="S90" s="4">
        <f t="shared" si="103"/>
        <v>0</v>
      </c>
      <c r="T90" s="4">
        <f t="shared" si="103"/>
        <v>0</v>
      </c>
      <c r="U90" s="4">
        <f t="shared" si="103"/>
        <v>0</v>
      </c>
      <c r="V90" s="4">
        <f t="shared" si="103"/>
        <v>0</v>
      </c>
      <c r="W90" s="4">
        <f t="shared" si="103"/>
        <v>0</v>
      </c>
      <c r="X90" s="4">
        <f t="shared" si="103"/>
        <v>0</v>
      </c>
      <c r="Y90" s="4">
        <f t="shared" si="103"/>
        <v>0</v>
      </c>
      <c r="Z90" s="4">
        <f t="shared" si="103"/>
        <v>0</v>
      </c>
      <c r="AA90" s="4">
        <f t="shared" si="103"/>
        <v>0</v>
      </c>
      <c r="AB90" s="4">
        <f t="shared" si="103"/>
        <v>0</v>
      </c>
      <c r="AC90" s="4">
        <f t="shared" si="103"/>
        <v>0</v>
      </c>
      <c r="AD90" s="4">
        <f t="shared" si="103"/>
        <v>0</v>
      </c>
      <c r="AE90" s="4">
        <f t="shared" si="103"/>
        <v>0</v>
      </c>
      <c r="AF90" s="4">
        <f t="shared" si="103"/>
        <v>0</v>
      </c>
      <c r="AG90" s="4">
        <f t="shared" si="103"/>
        <v>0</v>
      </c>
      <c r="AH90" s="4">
        <f t="shared" si="103"/>
        <v>0</v>
      </c>
      <c r="AI90" s="4">
        <f t="shared" si="103"/>
        <v>0</v>
      </c>
      <c r="AJ90" s="4">
        <f t="shared" si="103"/>
        <v>0</v>
      </c>
      <c r="AK90" s="4">
        <f t="shared" ref="AK90:BN90" si="104">AK33-AJ33</f>
        <v>0</v>
      </c>
      <c r="AL90" s="4">
        <f t="shared" si="104"/>
        <v>0</v>
      </c>
      <c r="AM90" s="4">
        <f t="shared" si="104"/>
        <v>0</v>
      </c>
      <c r="AN90" s="4">
        <f t="shared" si="104"/>
        <v>0</v>
      </c>
      <c r="AO90" s="4">
        <f t="shared" si="104"/>
        <v>0</v>
      </c>
      <c r="AP90" s="4">
        <f t="shared" si="104"/>
        <v>0</v>
      </c>
      <c r="AQ90" s="4">
        <f t="shared" si="104"/>
        <v>0</v>
      </c>
      <c r="AR90" s="4">
        <f t="shared" si="104"/>
        <v>0</v>
      </c>
      <c r="AS90" s="4">
        <f t="shared" si="104"/>
        <v>0</v>
      </c>
      <c r="AT90" s="4">
        <f t="shared" si="104"/>
        <v>0</v>
      </c>
      <c r="AU90" s="4">
        <f t="shared" si="104"/>
        <v>0</v>
      </c>
      <c r="AV90" s="4">
        <f t="shared" si="104"/>
        <v>0</v>
      </c>
      <c r="AW90" s="4">
        <f t="shared" si="104"/>
        <v>0</v>
      </c>
      <c r="AX90" s="4">
        <f t="shared" si="104"/>
        <v>0</v>
      </c>
      <c r="AY90" s="4">
        <f t="shared" si="104"/>
        <v>0</v>
      </c>
      <c r="AZ90" s="4">
        <f t="shared" si="104"/>
        <v>0</v>
      </c>
      <c r="BA90" s="4">
        <f t="shared" si="104"/>
        <v>0</v>
      </c>
      <c r="BB90" s="4">
        <f t="shared" si="104"/>
        <v>0</v>
      </c>
      <c r="BC90" s="4">
        <f t="shared" si="104"/>
        <v>0</v>
      </c>
      <c r="BD90" s="4">
        <f t="shared" si="104"/>
        <v>0</v>
      </c>
      <c r="BE90" s="4">
        <f t="shared" si="104"/>
        <v>0</v>
      </c>
      <c r="BF90" s="4">
        <f t="shared" si="104"/>
        <v>0</v>
      </c>
      <c r="BG90" s="4">
        <f t="shared" si="104"/>
        <v>0</v>
      </c>
      <c r="BH90" s="4">
        <f t="shared" si="104"/>
        <v>0</v>
      </c>
      <c r="BI90" s="4">
        <f t="shared" si="104"/>
        <v>0</v>
      </c>
      <c r="BJ90" s="4">
        <f t="shared" si="104"/>
        <v>0</v>
      </c>
      <c r="BK90" s="4">
        <f t="shared" si="104"/>
        <v>0</v>
      </c>
      <c r="BL90" s="4">
        <f t="shared" si="104"/>
        <v>0</v>
      </c>
      <c r="BM90" s="4">
        <f t="shared" si="104"/>
        <v>0</v>
      </c>
      <c r="BN90" s="4">
        <f t="shared" si="104"/>
        <v>0</v>
      </c>
    </row>
    <row r="91" spans="3:66" x14ac:dyDescent="0.25">
      <c r="C91" s="414" t="s">
        <v>51</v>
      </c>
      <c r="D91" s="4"/>
      <c r="E91" s="4">
        <f t="shared" ref="E91:AJ91" si="105">E34-D34</f>
        <v>0</v>
      </c>
      <c r="F91" s="4">
        <f t="shared" si="105"/>
        <v>0</v>
      </c>
      <c r="G91" s="4">
        <f t="shared" si="105"/>
        <v>0</v>
      </c>
      <c r="H91" s="4">
        <f t="shared" si="105"/>
        <v>0</v>
      </c>
      <c r="I91" s="4">
        <f t="shared" si="105"/>
        <v>0</v>
      </c>
      <c r="J91" s="4">
        <f t="shared" si="105"/>
        <v>0</v>
      </c>
      <c r="K91" s="4">
        <f t="shared" si="105"/>
        <v>0</v>
      </c>
      <c r="L91" s="4">
        <f t="shared" si="105"/>
        <v>0</v>
      </c>
      <c r="M91" s="4">
        <f t="shared" si="105"/>
        <v>0</v>
      </c>
      <c r="N91" s="4">
        <f t="shared" si="105"/>
        <v>0</v>
      </c>
      <c r="O91" s="4">
        <f t="shared" si="105"/>
        <v>0</v>
      </c>
      <c r="P91" s="4">
        <f t="shared" si="105"/>
        <v>0</v>
      </c>
      <c r="Q91" s="4">
        <f t="shared" si="105"/>
        <v>0</v>
      </c>
      <c r="R91" s="4">
        <f t="shared" si="105"/>
        <v>0</v>
      </c>
      <c r="S91" s="4">
        <f t="shared" si="105"/>
        <v>0</v>
      </c>
      <c r="T91" s="4">
        <f t="shared" si="105"/>
        <v>0</v>
      </c>
      <c r="U91" s="4">
        <f t="shared" si="105"/>
        <v>0</v>
      </c>
      <c r="V91" s="4">
        <f t="shared" si="105"/>
        <v>0</v>
      </c>
      <c r="W91" s="4">
        <f t="shared" si="105"/>
        <v>0</v>
      </c>
      <c r="X91" s="4">
        <f t="shared" si="105"/>
        <v>0</v>
      </c>
      <c r="Y91" s="4">
        <f t="shared" si="105"/>
        <v>0</v>
      </c>
      <c r="Z91" s="4">
        <f t="shared" si="105"/>
        <v>0</v>
      </c>
      <c r="AA91" s="4">
        <f t="shared" si="105"/>
        <v>0</v>
      </c>
      <c r="AB91" s="4">
        <f t="shared" si="105"/>
        <v>0</v>
      </c>
      <c r="AC91" s="4">
        <f t="shared" si="105"/>
        <v>0</v>
      </c>
      <c r="AD91" s="4">
        <f t="shared" si="105"/>
        <v>0</v>
      </c>
      <c r="AE91" s="4">
        <f t="shared" si="105"/>
        <v>0</v>
      </c>
      <c r="AF91" s="4">
        <f t="shared" si="105"/>
        <v>0</v>
      </c>
      <c r="AG91" s="4">
        <f t="shared" si="105"/>
        <v>0</v>
      </c>
      <c r="AH91" s="4">
        <f t="shared" si="105"/>
        <v>0</v>
      </c>
      <c r="AI91" s="4">
        <f t="shared" si="105"/>
        <v>0</v>
      </c>
      <c r="AJ91" s="4">
        <f t="shared" si="105"/>
        <v>0</v>
      </c>
      <c r="AK91" s="4">
        <f t="shared" ref="AK91:BN91" si="106">AK34-AJ34</f>
        <v>0</v>
      </c>
      <c r="AL91" s="4">
        <f t="shared" si="106"/>
        <v>0</v>
      </c>
      <c r="AM91" s="4">
        <f t="shared" si="106"/>
        <v>0</v>
      </c>
      <c r="AN91" s="4">
        <f t="shared" si="106"/>
        <v>0</v>
      </c>
      <c r="AO91" s="4">
        <f t="shared" si="106"/>
        <v>0</v>
      </c>
      <c r="AP91" s="4">
        <f t="shared" si="106"/>
        <v>0</v>
      </c>
      <c r="AQ91" s="4">
        <f t="shared" si="106"/>
        <v>0</v>
      </c>
      <c r="AR91" s="4">
        <f t="shared" si="106"/>
        <v>0</v>
      </c>
      <c r="AS91" s="4">
        <f t="shared" si="106"/>
        <v>0</v>
      </c>
      <c r="AT91" s="4">
        <f t="shared" si="106"/>
        <v>0</v>
      </c>
      <c r="AU91" s="4">
        <f t="shared" si="106"/>
        <v>0</v>
      </c>
      <c r="AV91" s="4">
        <f t="shared" si="106"/>
        <v>0</v>
      </c>
      <c r="AW91" s="4">
        <f t="shared" si="106"/>
        <v>0</v>
      </c>
      <c r="AX91" s="4">
        <f t="shared" si="106"/>
        <v>0</v>
      </c>
      <c r="AY91" s="4">
        <f t="shared" si="106"/>
        <v>0</v>
      </c>
      <c r="AZ91" s="4">
        <f t="shared" si="106"/>
        <v>0</v>
      </c>
      <c r="BA91" s="4">
        <f t="shared" si="106"/>
        <v>0</v>
      </c>
      <c r="BB91" s="4">
        <f t="shared" si="106"/>
        <v>0</v>
      </c>
      <c r="BC91" s="4">
        <f t="shared" si="106"/>
        <v>0</v>
      </c>
      <c r="BD91" s="4">
        <f t="shared" si="106"/>
        <v>0</v>
      </c>
      <c r="BE91" s="4">
        <f t="shared" si="106"/>
        <v>0</v>
      </c>
      <c r="BF91" s="4">
        <f t="shared" si="106"/>
        <v>0</v>
      </c>
      <c r="BG91" s="4">
        <f t="shared" si="106"/>
        <v>0</v>
      </c>
      <c r="BH91" s="4">
        <f t="shared" si="106"/>
        <v>0</v>
      </c>
      <c r="BI91" s="4">
        <f t="shared" si="106"/>
        <v>0</v>
      </c>
      <c r="BJ91" s="4">
        <f t="shared" si="106"/>
        <v>0</v>
      </c>
      <c r="BK91" s="4">
        <f t="shared" si="106"/>
        <v>0</v>
      </c>
      <c r="BL91" s="4">
        <f t="shared" si="106"/>
        <v>0</v>
      </c>
      <c r="BM91" s="4">
        <f t="shared" si="106"/>
        <v>0</v>
      </c>
      <c r="BN91" s="4">
        <f t="shared" si="106"/>
        <v>0</v>
      </c>
    </row>
    <row r="92" spans="3:66" x14ac:dyDescent="0.25">
      <c r="C92" s="414" t="s">
        <v>52</v>
      </c>
      <c r="D92" s="4"/>
      <c r="E92" s="4">
        <f t="shared" ref="E92:AJ92" si="107">E35-D35</f>
        <v>0</v>
      </c>
      <c r="F92" s="4">
        <f t="shared" si="107"/>
        <v>0</v>
      </c>
      <c r="G92" s="4">
        <f t="shared" si="107"/>
        <v>0</v>
      </c>
      <c r="H92" s="4">
        <f t="shared" si="107"/>
        <v>0</v>
      </c>
      <c r="I92" s="4">
        <f t="shared" si="107"/>
        <v>0</v>
      </c>
      <c r="J92" s="4">
        <f t="shared" si="107"/>
        <v>0</v>
      </c>
      <c r="K92" s="4">
        <f t="shared" si="107"/>
        <v>0</v>
      </c>
      <c r="L92" s="4">
        <f t="shared" si="107"/>
        <v>0</v>
      </c>
      <c r="M92" s="4">
        <f t="shared" si="107"/>
        <v>0</v>
      </c>
      <c r="N92" s="4">
        <f t="shared" si="107"/>
        <v>0</v>
      </c>
      <c r="O92" s="4">
        <f t="shared" si="107"/>
        <v>0</v>
      </c>
      <c r="P92" s="4">
        <f t="shared" si="107"/>
        <v>0</v>
      </c>
      <c r="Q92" s="4">
        <f t="shared" si="107"/>
        <v>0</v>
      </c>
      <c r="R92" s="4">
        <f t="shared" si="107"/>
        <v>0</v>
      </c>
      <c r="S92" s="4">
        <f t="shared" si="107"/>
        <v>0</v>
      </c>
      <c r="T92" s="4">
        <f t="shared" si="107"/>
        <v>0</v>
      </c>
      <c r="U92" s="4">
        <f t="shared" si="107"/>
        <v>0</v>
      </c>
      <c r="V92" s="4">
        <f t="shared" si="107"/>
        <v>0</v>
      </c>
      <c r="W92" s="4">
        <f t="shared" si="107"/>
        <v>0</v>
      </c>
      <c r="X92" s="4">
        <f t="shared" si="107"/>
        <v>0</v>
      </c>
      <c r="Y92" s="4">
        <f t="shared" si="107"/>
        <v>0</v>
      </c>
      <c r="Z92" s="4">
        <f t="shared" si="107"/>
        <v>0</v>
      </c>
      <c r="AA92" s="4">
        <f t="shared" si="107"/>
        <v>0</v>
      </c>
      <c r="AB92" s="4">
        <f t="shared" si="107"/>
        <v>0</v>
      </c>
      <c r="AC92" s="4">
        <f t="shared" si="107"/>
        <v>0</v>
      </c>
      <c r="AD92" s="4">
        <f t="shared" si="107"/>
        <v>0</v>
      </c>
      <c r="AE92" s="4">
        <f t="shared" si="107"/>
        <v>0</v>
      </c>
      <c r="AF92" s="4">
        <f t="shared" si="107"/>
        <v>0</v>
      </c>
      <c r="AG92" s="4">
        <f t="shared" si="107"/>
        <v>0</v>
      </c>
      <c r="AH92" s="4">
        <f t="shared" si="107"/>
        <v>0</v>
      </c>
      <c r="AI92" s="4">
        <f t="shared" si="107"/>
        <v>0</v>
      </c>
      <c r="AJ92" s="4">
        <f t="shared" si="107"/>
        <v>0</v>
      </c>
      <c r="AK92" s="4">
        <f t="shared" ref="AK92:BN92" si="108">AK35-AJ35</f>
        <v>0</v>
      </c>
      <c r="AL92" s="4">
        <f t="shared" si="108"/>
        <v>0</v>
      </c>
      <c r="AM92" s="4">
        <f t="shared" si="108"/>
        <v>0</v>
      </c>
      <c r="AN92" s="4">
        <f t="shared" si="108"/>
        <v>0</v>
      </c>
      <c r="AO92" s="4">
        <f t="shared" si="108"/>
        <v>0</v>
      </c>
      <c r="AP92" s="4">
        <f t="shared" si="108"/>
        <v>0</v>
      </c>
      <c r="AQ92" s="4">
        <f t="shared" si="108"/>
        <v>0</v>
      </c>
      <c r="AR92" s="4">
        <f t="shared" si="108"/>
        <v>0</v>
      </c>
      <c r="AS92" s="4">
        <f t="shared" si="108"/>
        <v>0</v>
      </c>
      <c r="AT92" s="4">
        <f t="shared" si="108"/>
        <v>0</v>
      </c>
      <c r="AU92" s="4">
        <f t="shared" si="108"/>
        <v>0</v>
      </c>
      <c r="AV92" s="4">
        <f t="shared" si="108"/>
        <v>0</v>
      </c>
      <c r="AW92" s="4">
        <f t="shared" si="108"/>
        <v>0</v>
      </c>
      <c r="AX92" s="4">
        <f t="shared" si="108"/>
        <v>0</v>
      </c>
      <c r="AY92" s="4">
        <f t="shared" si="108"/>
        <v>0</v>
      </c>
      <c r="AZ92" s="4">
        <f t="shared" si="108"/>
        <v>0</v>
      </c>
      <c r="BA92" s="4">
        <f t="shared" si="108"/>
        <v>0</v>
      </c>
      <c r="BB92" s="4">
        <f t="shared" si="108"/>
        <v>0</v>
      </c>
      <c r="BC92" s="4">
        <f t="shared" si="108"/>
        <v>0</v>
      </c>
      <c r="BD92" s="4">
        <f t="shared" si="108"/>
        <v>0</v>
      </c>
      <c r="BE92" s="4">
        <f t="shared" si="108"/>
        <v>0</v>
      </c>
      <c r="BF92" s="4">
        <f t="shared" si="108"/>
        <v>0</v>
      </c>
      <c r="BG92" s="4">
        <f t="shared" si="108"/>
        <v>0</v>
      </c>
      <c r="BH92" s="4">
        <f t="shared" si="108"/>
        <v>0</v>
      </c>
      <c r="BI92" s="4">
        <f t="shared" si="108"/>
        <v>0</v>
      </c>
      <c r="BJ92" s="4">
        <f t="shared" si="108"/>
        <v>0</v>
      </c>
      <c r="BK92" s="4">
        <f t="shared" si="108"/>
        <v>0</v>
      </c>
      <c r="BL92" s="4">
        <f t="shared" si="108"/>
        <v>0</v>
      </c>
      <c r="BM92" s="4">
        <f t="shared" si="108"/>
        <v>0</v>
      </c>
      <c r="BN92" s="4">
        <f t="shared" si="108"/>
        <v>0</v>
      </c>
    </row>
    <row r="93" spans="3:66" x14ac:dyDescent="0.25">
      <c r="C93" s="417" t="s">
        <v>53</v>
      </c>
      <c r="D93" s="410"/>
      <c r="E93" s="410">
        <f t="shared" ref="E93:AJ93" si="109">SUM(E88:E92)</f>
        <v>0</v>
      </c>
      <c r="F93" s="410">
        <f t="shared" si="109"/>
        <v>0</v>
      </c>
      <c r="G93" s="410">
        <f t="shared" si="109"/>
        <v>0</v>
      </c>
      <c r="H93" s="410">
        <f t="shared" si="109"/>
        <v>0</v>
      </c>
      <c r="I93" s="410">
        <f t="shared" si="109"/>
        <v>0</v>
      </c>
      <c r="J93" s="410">
        <f t="shared" si="109"/>
        <v>0</v>
      </c>
      <c r="K93" s="410">
        <f t="shared" si="109"/>
        <v>0</v>
      </c>
      <c r="L93" s="410">
        <f t="shared" si="109"/>
        <v>0</v>
      </c>
      <c r="M93" s="410">
        <f t="shared" si="109"/>
        <v>0</v>
      </c>
      <c r="N93" s="410">
        <f t="shared" si="109"/>
        <v>0</v>
      </c>
      <c r="O93" s="410">
        <f t="shared" si="109"/>
        <v>0</v>
      </c>
      <c r="P93" s="410">
        <f t="shared" si="109"/>
        <v>0</v>
      </c>
      <c r="Q93" s="410">
        <f t="shared" si="109"/>
        <v>0</v>
      </c>
      <c r="R93" s="410">
        <f t="shared" si="109"/>
        <v>0</v>
      </c>
      <c r="S93" s="410">
        <f t="shared" si="109"/>
        <v>0</v>
      </c>
      <c r="T93" s="410">
        <f t="shared" si="109"/>
        <v>0</v>
      </c>
      <c r="U93" s="410">
        <f t="shared" si="109"/>
        <v>0</v>
      </c>
      <c r="V93" s="410">
        <f t="shared" si="109"/>
        <v>0</v>
      </c>
      <c r="W93" s="410">
        <f t="shared" si="109"/>
        <v>0</v>
      </c>
      <c r="X93" s="410">
        <f t="shared" si="109"/>
        <v>0</v>
      </c>
      <c r="Y93" s="410">
        <f t="shared" si="109"/>
        <v>0</v>
      </c>
      <c r="Z93" s="410">
        <f t="shared" si="109"/>
        <v>0</v>
      </c>
      <c r="AA93" s="410">
        <f t="shared" si="109"/>
        <v>0</v>
      </c>
      <c r="AB93" s="410">
        <f t="shared" si="109"/>
        <v>0</v>
      </c>
      <c r="AC93" s="410">
        <f t="shared" si="109"/>
        <v>0</v>
      </c>
      <c r="AD93" s="410">
        <f t="shared" si="109"/>
        <v>0</v>
      </c>
      <c r="AE93" s="410">
        <f t="shared" si="109"/>
        <v>0</v>
      </c>
      <c r="AF93" s="410">
        <f t="shared" si="109"/>
        <v>0</v>
      </c>
      <c r="AG93" s="410">
        <f t="shared" si="109"/>
        <v>0</v>
      </c>
      <c r="AH93" s="410">
        <f t="shared" si="109"/>
        <v>0</v>
      </c>
      <c r="AI93" s="410">
        <f t="shared" si="109"/>
        <v>0</v>
      </c>
      <c r="AJ93" s="410">
        <f t="shared" si="109"/>
        <v>0</v>
      </c>
      <c r="AK93" s="410">
        <f t="shared" ref="AK93:BN93" si="110">SUM(AK88:AK92)</f>
        <v>0</v>
      </c>
      <c r="AL93" s="410">
        <f t="shared" si="110"/>
        <v>0</v>
      </c>
      <c r="AM93" s="410">
        <f t="shared" si="110"/>
        <v>0</v>
      </c>
      <c r="AN93" s="410">
        <f t="shared" si="110"/>
        <v>0</v>
      </c>
      <c r="AO93" s="410">
        <f t="shared" si="110"/>
        <v>0</v>
      </c>
      <c r="AP93" s="410">
        <f t="shared" si="110"/>
        <v>0</v>
      </c>
      <c r="AQ93" s="410">
        <f t="shared" si="110"/>
        <v>0</v>
      </c>
      <c r="AR93" s="410">
        <f t="shared" si="110"/>
        <v>0</v>
      </c>
      <c r="AS93" s="410">
        <f t="shared" si="110"/>
        <v>0</v>
      </c>
      <c r="AT93" s="410">
        <f t="shared" si="110"/>
        <v>0</v>
      </c>
      <c r="AU93" s="410">
        <f t="shared" si="110"/>
        <v>0</v>
      </c>
      <c r="AV93" s="410">
        <f t="shared" si="110"/>
        <v>0</v>
      </c>
      <c r="AW93" s="410">
        <f t="shared" si="110"/>
        <v>0</v>
      </c>
      <c r="AX93" s="410">
        <f t="shared" si="110"/>
        <v>0</v>
      </c>
      <c r="AY93" s="410">
        <f t="shared" si="110"/>
        <v>0</v>
      </c>
      <c r="AZ93" s="410">
        <f t="shared" si="110"/>
        <v>0</v>
      </c>
      <c r="BA93" s="410">
        <f t="shared" si="110"/>
        <v>0</v>
      </c>
      <c r="BB93" s="410">
        <f t="shared" si="110"/>
        <v>0</v>
      </c>
      <c r="BC93" s="410">
        <f t="shared" si="110"/>
        <v>0</v>
      </c>
      <c r="BD93" s="410">
        <f t="shared" si="110"/>
        <v>0</v>
      </c>
      <c r="BE93" s="410">
        <f t="shared" si="110"/>
        <v>0</v>
      </c>
      <c r="BF93" s="410">
        <f t="shared" si="110"/>
        <v>0</v>
      </c>
      <c r="BG93" s="410">
        <f t="shared" si="110"/>
        <v>0</v>
      </c>
      <c r="BH93" s="410">
        <f t="shared" si="110"/>
        <v>0</v>
      </c>
      <c r="BI93" s="410">
        <f t="shared" si="110"/>
        <v>0</v>
      </c>
      <c r="BJ93" s="410">
        <f t="shared" si="110"/>
        <v>0</v>
      </c>
      <c r="BK93" s="410">
        <f t="shared" si="110"/>
        <v>0</v>
      </c>
      <c r="BL93" s="410">
        <f t="shared" si="110"/>
        <v>0</v>
      </c>
      <c r="BM93" s="410">
        <f t="shared" si="110"/>
        <v>0</v>
      </c>
      <c r="BN93" s="410">
        <f t="shared" si="110"/>
        <v>0</v>
      </c>
    </row>
    <row r="94" spans="3:66" x14ac:dyDescent="0.25">
      <c r="C94" s="750" t="s">
        <v>54</v>
      </c>
      <c r="D94" s="748"/>
      <c r="E94" s="748">
        <f t="shared" ref="E94:AJ94" si="111">SUM(E85,E87,E93)</f>
        <v>0</v>
      </c>
      <c r="F94" s="749">
        <f t="shared" si="111"/>
        <v>0</v>
      </c>
      <c r="G94" s="748">
        <f t="shared" si="111"/>
        <v>0</v>
      </c>
      <c r="H94" s="748">
        <f t="shared" si="111"/>
        <v>0</v>
      </c>
      <c r="I94" s="748">
        <f t="shared" si="111"/>
        <v>0</v>
      </c>
      <c r="J94" s="748">
        <f t="shared" si="111"/>
        <v>0</v>
      </c>
      <c r="K94" s="748">
        <f t="shared" si="111"/>
        <v>0</v>
      </c>
      <c r="L94" s="748">
        <f t="shared" si="111"/>
        <v>0</v>
      </c>
      <c r="M94" s="748">
        <f t="shared" si="111"/>
        <v>0</v>
      </c>
      <c r="N94" s="748">
        <f t="shared" si="111"/>
        <v>0</v>
      </c>
      <c r="O94" s="748">
        <f t="shared" si="111"/>
        <v>0</v>
      </c>
      <c r="P94" s="748">
        <f t="shared" si="111"/>
        <v>0</v>
      </c>
      <c r="Q94" s="748">
        <f t="shared" si="111"/>
        <v>0</v>
      </c>
      <c r="R94" s="748">
        <f t="shared" si="111"/>
        <v>0</v>
      </c>
      <c r="S94" s="748">
        <f t="shared" si="111"/>
        <v>0</v>
      </c>
      <c r="T94" s="748">
        <f t="shared" si="111"/>
        <v>0</v>
      </c>
      <c r="U94" s="748">
        <f t="shared" si="111"/>
        <v>0</v>
      </c>
      <c r="V94" s="748">
        <f t="shared" si="111"/>
        <v>0</v>
      </c>
      <c r="W94" s="748">
        <f t="shared" si="111"/>
        <v>0</v>
      </c>
      <c r="X94" s="748">
        <f t="shared" si="111"/>
        <v>0</v>
      </c>
      <c r="Y94" s="748">
        <f t="shared" si="111"/>
        <v>0</v>
      </c>
      <c r="Z94" s="748">
        <f t="shared" si="111"/>
        <v>0</v>
      </c>
      <c r="AA94" s="748">
        <f t="shared" si="111"/>
        <v>0</v>
      </c>
      <c r="AB94" s="748">
        <f t="shared" si="111"/>
        <v>0</v>
      </c>
      <c r="AC94" s="748">
        <f t="shared" si="111"/>
        <v>0</v>
      </c>
      <c r="AD94" s="748">
        <f t="shared" si="111"/>
        <v>0</v>
      </c>
      <c r="AE94" s="748">
        <f t="shared" si="111"/>
        <v>0</v>
      </c>
      <c r="AF94" s="748">
        <f t="shared" si="111"/>
        <v>0</v>
      </c>
      <c r="AG94" s="748">
        <f t="shared" si="111"/>
        <v>0</v>
      </c>
      <c r="AH94" s="748">
        <f t="shared" si="111"/>
        <v>0</v>
      </c>
      <c r="AI94" s="748">
        <f t="shared" si="111"/>
        <v>0</v>
      </c>
      <c r="AJ94" s="748">
        <f t="shared" si="111"/>
        <v>0</v>
      </c>
      <c r="AK94" s="748">
        <f t="shared" ref="AK94:BN94" si="112">SUM(AK85,AK87,AK93)</f>
        <v>0</v>
      </c>
      <c r="AL94" s="748">
        <f t="shared" si="112"/>
        <v>0</v>
      </c>
      <c r="AM94" s="748">
        <f t="shared" si="112"/>
        <v>0</v>
      </c>
      <c r="AN94" s="748">
        <f t="shared" si="112"/>
        <v>0</v>
      </c>
      <c r="AO94" s="748">
        <f t="shared" si="112"/>
        <v>0</v>
      </c>
      <c r="AP94" s="748">
        <f t="shared" si="112"/>
        <v>0</v>
      </c>
      <c r="AQ94" s="748">
        <f t="shared" si="112"/>
        <v>0</v>
      </c>
      <c r="AR94" s="748">
        <f t="shared" si="112"/>
        <v>0</v>
      </c>
      <c r="AS94" s="748">
        <f t="shared" si="112"/>
        <v>0</v>
      </c>
      <c r="AT94" s="748">
        <f t="shared" si="112"/>
        <v>0</v>
      </c>
      <c r="AU94" s="748">
        <f t="shared" si="112"/>
        <v>0</v>
      </c>
      <c r="AV94" s="748">
        <f t="shared" si="112"/>
        <v>0</v>
      </c>
      <c r="AW94" s="748">
        <f t="shared" si="112"/>
        <v>0</v>
      </c>
      <c r="AX94" s="748">
        <f t="shared" si="112"/>
        <v>0</v>
      </c>
      <c r="AY94" s="748">
        <f t="shared" si="112"/>
        <v>0</v>
      </c>
      <c r="AZ94" s="748">
        <f t="shared" si="112"/>
        <v>0</v>
      </c>
      <c r="BA94" s="748">
        <f t="shared" si="112"/>
        <v>0</v>
      </c>
      <c r="BB94" s="748">
        <f t="shared" si="112"/>
        <v>0</v>
      </c>
      <c r="BC94" s="748">
        <f t="shared" si="112"/>
        <v>0</v>
      </c>
      <c r="BD94" s="748">
        <f t="shared" si="112"/>
        <v>0</v>
      </c>
      <c r="BE94" s="748">
        <f t="shared" si="112"/>
        <v>0</v>
      </c>
      <c r="BF94" s="748">
        <f t="shared" si="112"/>
        <v>0</v>
      </c>
      <c r="BG94" s="748">
        <f t="shared" si="112"/>
        <v>0</v>
      </c>
      <c r="BH94" s="748">
        <f t="shared" si="112"/>
        <v>0</v>
      </c>
      <c r="BI94" s="748">
        <f t="shared" si="112"/>
        <v>0</v>
      </c>
      <c r="BJ94" s="748">
        <f t="shared" si="112"/>
        <v>0</v>
      </c>
      <c r="BK94" s="748">
        <f t="shared" si="112"/>
        <v>0</v>
      </c>
      <c r="BL94" s="748">
        <f t="shared" si="112"/>
        <v>0</v>
      </c>
      <c r="BM94" s="748">
        <f t="shared" si="112"/>
        <v>0</v>
      </c>
      <c r="BN94" s="748">
        <f t="shared" si="112"/>
        <v>0</v>
      </c>
    </row>
    <row r="95" spans="3:66" x14ac:dyDescent="0.25">
      <c r="J95" s="5"/>
    </row>
    <row r="96" spans="3:66" x14ac:dyDescent="0.25">
      <c r="C96" s="24" t="s">
        <v>55</v>
      </c>
      <c r="D96" s="420"/>
      <c r="E96" s="420">
        <f>D98</f>
        <v>0</v>
      </c>
      <c r="F96" s="25">
        <f>E98</f>
        <v>0</v>
      </c>
      <c r="G96" s="420">
        <f>F98</f>
        <v>0</v>
      </c>
      <c r="H96" s="420">
        <f>G98</f>
        <v>0</v>
      </c>
      <c r="I96" s="420">
        <f>H98</f>
        <v>0</v>
      </c>
      <c r="J96" s="420">
        <f t="shared" ref="J96:BN96" si="113">I98</f>
        <v>0</v>
      </c>
      <c r="K96" s="420">
        <f t="shared" si="113"/>
        <v>0</v>
      </c>
      <c r="L96" s="420">
        <f t="shared" si="113"/>
        <v>0</v>
      </c>
      <c r="M96" s="420">
        <f t="shared" si="113"/>
        <v>0</v>
      </c>
      <c r="N96" s="420">
        <f t="shared" si="113"/>
        <v>0</v>
      </c>
      <c r="O96" s="420">
        <f t="shared" si="113"/>
        <v>0</v>
      </c>
      <c r="P96" s="420">
        <f t="shared" si="113"/>
        <v>0</v>
      </c>
      <c r="Q96" s="420">
        <f t="shared" si="113"/>
        <v>0</v>
      </c>
      <c r="R96" s="420">
        <f t="shared" si="113"/>
        <v>0</v>
      </c>
      <c r="S96" s="420">
        <f t="shared" si="113"/>
        <v>0</v>
      </c>
      <c r="T96" s="420">
        <f t="shared" si="113"/>
        <v>0</v>
      </c>
      <c r="U96" s="420">
        <f t="shared" si="113"/>
        <v>0</v>
      </c>
      <c r="V96" s="420">
        <f t="shared" si="113"/>
        <v>0</v>
      </c>
      <c r="W96" s="420">
        <f t="shared" si="113"/>
        <v>0</v>
      </c>
      <c r="X96" s="420">
        <f t="shared" si="113"/>
        <v>0</v>
      </c>
      <c r="Y96" s="420">
        <f t="shared" si="113"/>
        <v>0</v>
      </c>
      <c r="Z96" s="420">
        <f t="shared" si="113"/>
        <v>0</v>
      </c>
      <c r="AA96" s="420">
        <f t="shared" si="113"/>
        <v>0</v>
      </c>
      <c r="AB96" s="420">
        <f t="shared" si="113"/>
        <v>0</v>
      </c>
      <c r="AC96" s="420">
        <f t="shared" si="113"/>
        <v>0</v>
      </c>
      <c r="AD96" s="420">
        <f t="shared" si="113"/>
        <v>0</v>
      </c>
      <c r="AE96" s="420">
        <f t="shared" si="113"/>
        <v>0</v>
      </c>
      <c r="AF96" s="420">
        <f t="shared" si="113"/>
        <v>0</v>
      </c>
      <c r="AG96" s="420">
        <f t="shared" si="113"/>
        <v>0</v>
      </c>
      <c r="AH96" s="420">
        <f t="shared" si="113"/>
        <v>0</v>
      </c>
      <c r="AI96" s="420">
        <f t="shared" si="113"/>
        <v>0</v>
      </c>
      <c r="AJ96" s="420">
        <f t="shared" si="113"/>
        <v>0</v>
      </c>
      <c r="AK96" s="420">
        <f t="shared" si="113"/>
        <v>0</v>
      </c>
      <c r="AL96" s="420">
        <f t="shared" si="113"/>
        <v>0</v>
      </c>
      <c r="AM96" s="420">
        <f t="shared" si="113"/>
        <v>0</v>
      </c>
      <c r="AN96" s="420">
        <f t="shared" si="113"/>
        <v>0</v>
      </c>
      <c r="AO96" s="420">
        <f t="shared" si="113"/>
        <v>0</v>
      </c>
      <c r="AP96" s="420">
        <f t="shared" si="113"/>
        <v>0</v>
      </c>
      <c r="AQ96" s="420">
        <f t="shared" si="113"/>
        <v>0</v>
      </c>
      <c r="AR96" s="420">
        <f t="shared" si="113"/>
        <v>0</v>
      </c>
      <c r="AS96" s="420">
        <f t="shared" si="113"/>
        <v>0</v>
      </c>
      <c r="AT96" s="420">
        <f t="shared" si="113"/>
        <v>0</v>
      </c>
      <c r="AU96" s="420">
        <f t="shared" si="113"/>
        <v>0</v>
      </c>
      <c r="AV96" s="420">
        <f t="shared" si="113"/>
        <v>0</v>
      </c>
      <c r="AW96" s="420">
        <f t="shared" si="113"/>
        <v>0</v>
      </c>
      <c r="AX96" s="420">
        <f t="shared" si="113"/>
        <v>0</v>
      </c>
      <c r="AY96" s="420">
        <f t="shared" si="113"/>
        <v>0</v>
      </c>
      <c r="AZ96" s="420">
        <f t="shared" si="113"/>
        <v>0</v>
      </c>
      <c r="BA96" s="420">
        <f t="shared" si="113"/>
        <v>0</v>
      </c>
      <c r="BB96" s="420">
        <f t="shared" si="113"/>
        <v>0</v>
      </c>
      <c r="BC96" s="420">
        <f t="shared" si="113"/>
        <v>0</v>
      </c>
      <c r="BD96" s="420">
        <f t="shared" si="113"/>
        <v>0</v>
      </c>
      <c r="BE96" s="420">
        <f t="shared" si="113"/>
        <v>0</v>
      </c>
      <c r="BF96" s="420">
        <f t="shared" si="113"/>
        <v>0</v>
      </c>
      <c r="BG96" s="420">
        <f t="shared" si="113"/>
        <v>0</v>
      </c>
      <c r="BH96" s="420">
        <f t="shared" si="113"/>
        <v>0</v>
      </c>
      <c r="BI96" s="420">
        <f t="shared" si="113"/>
        <v>0</v>
      </c>
      <c r="BJ96" s="420">
        <f t="shared" si="113"/>
        <v>0</v>
      </c>
      <c r="BK96" s="420">
        <f t="shared" si="113"/>
        <v>0</v>
      </c>
      <c r="BL96" s="420">
        <f t="shared" si="113"/>
        <v>0</v>
      </c>
      <c r="BM96" s="420">
        <f t="shared" si="113"/>
        <v>0</v>
      </c>
      <c r="BN96" s="420">
        <f t="shared" si="113"/>
        <v>0</v>
      </c>
    </row>
    <row r="97" spans="1:66" x14ac:dyDescent="0.25">
      <c r="C97" s="2" t="s">
        <v>56</v>
      </c>
      <c r="D97" s="5"/>
      <c r="E97" s="5">
        <f>E94</f>
        <v>0</v>
      </c>
      <c r="F97" s="21">
        <f>F94</f>
        <v>0</v>
      </c>
      <c r="G97" s="5">
        <f>G94</f>
        <v>0</v>
      </c>
      <c r="H97" s="5">
        <f>H94</f>
        <v>0</v>
      </c>
      <c r="I97" s="5">
        <f>I94</f>
        <v>0</v>
      </c>
      <c r="J97" s="5">
        <f t="shared" ref="J97:BN97" si="114">J94</f>
        <v>0</v>
      </c>
      <c r="K97" s="5">
        <f t="shared" si="114"/>
        <v>0</v>
      </c>
      <c r="L97" s="5">
        <f t="shared" si="114"/>
        <v>0</v>
      </c>
      <c r="M97" s="5">
        <f t="shared" si="114"/>
        <v>0</v>
      </c>
      <c r="N97" s="5">
        <f t="shared" si="114"/>
        <v>0</v>
      </c>
      <c r="O97" s="5">
        <f t="shared" si="114"/>
        <v>0</v>
      </c>
      <c r="P97" s="5">
        <f t="shared" si="114"/>
        <v>0</v>
      </c>
      <c r="Q97" s="5">
        <f t="shared" si="114"/>
        <v>0</v>
      </c>
      <c r="R97" s="5">
        <f t="shared" si="114"/>
        <v>0</v>
      </c>
      <c r="S97" s="5">
        <f t="shared" si="114"/>
        <v>0</v>
      </c>
      <c r="T97" s="5">
        <f t="shared" si="114"/>
        <v>0</v>
      </c>
      <c r="U97" s="5">
        <f t="shared" si="114"/>
        <v>0</v>
      </c>
      <c r="V97" s="5">
        <f t="shared" si="114"/>
        <v>0</v>
      </c>
      <c r="W97" s="5">
        <f t="shared" si="114"/>
        <v>0</v>
      </c>
      <c r="X97" s="5">
        <f t="shared" si="114"/>
        <v>0</v>
      </c>
      <c r="Y97" s="5">
        <f t="shared" si="114"/>
        <v>0</v>
      </c>
      <c r="Z97" s="5">
        <f t="shared" si="114"/>
        <v>0</v>
      </c>
      <c r="AA97" s="5">
        <f t="shared" si="114"/>
        <v>0</v>
      </c>
      <c r="AB97" s="5">
        <f t="shared" si="114"/>
        <v>0</v>
      </c>
      <c r="AC97" s="5">
        <f t="shared" si="114"/>
        <v>0</v>
      </c>
      <c r="AD97" s="5">
        <f t="shared" si="114"/>
        <v>0</v>
      </c>
      <c r="AE97" s="5">
        <f t="shared" si="114"/>
        <v>0</v>
      </c>
      <c r="AF97" s="5">
        <f t="shared" si="114"/>
        <v>0</v>
      </c>
      <c r="AG97" s="5">
        <f t="shared" si="114"/>
        <v>0</v>
      </c>
      <c r="AH97" s="5">
        <f t="shared" si="114"/>
        <v>0</v>
      </c>
      <c r="AI97" s="5">
        <f t="shared" si="114"/>
        <v>0</v>
      </c>
      <c r="AJ97" s="5">
        <f t="shared" si="114"/>
        <v>0</v>
      </c>
      <c r="AK97" s="5">
        <f t="shared" si="114"/>
        <v>0</v>
      </c>
      <c r="AL97" s="5">
        <f t="shared" si="114"/>
        <v>0</v>
      </c>
      <c r="AM97" s="5">
        <f t="shared" si="114"/>
        <v>0</v>
      </c>
      <c r="AN97" s="5">
        <f t="shared" si="114"/>
        <v>0</v>
      </c>
      <c r="AO97" s="5">
        <f t="shared" si="114"/>
        <v>0</v>
      </c>
      <c r="AP97" s="5">
        <f t="shared" si="114"/>
        <v>0</v>
      </c>
      <c r="AQ97" s="5">
        <f t="shared" si="114"/>
        <v>0</v>
      </c>
      <c r="AR97" s="5">
        <f t="shared" si="114"/>
        <v>0</v>
      </c>
      <c r="AS97" s="5">
        <f t="shared" si="114"/>
        <v>0</v>
      </c>
      <c r="AT97" s="5">
        <f t="shared" si="114"/>
        <v>0</v>
      </c>
      <c r="AU97" s="5">
        <f t="shared" si="114"/>
        <v>0</v>
      </c>
      <c r="AV97" s="5">
        <f t="shared" si="114"/>
        <v>0</v>
      </c>
      <c r="AW97" s="5">
        <f t="shared" si="114"/>
        <v>0</v>
      </c>
      <c r="AX97" s="5">
        <f t="shared" si="114"/>
        <v>0</v>
      </c>
      <c r="AY97" s="5">
        <f t="shared" si="114"/>
        <v>0</v>
      </c>
      <c r="AZ97" s="5">
        <f t="shared" si="114"/>
        <v>0</v>
      </c>
      <c r="BA97" s="5">
        <f t="shared" si="114"/>
        <v>0</v>
      </c>
      <c r="BB97" s="5">
        <f t="shared" si="114"/>
        <v>0</v>
      </c>
      <c r="BC97" s="5">
        <f t="shared" si="114"/>
        <v>0</v>
      </c>
      <c r="BD97" s="5">
        <f t="shared" si="114"/>
        <v>0</v>
      </c>
      <c r="BE97" s="5">
        <f t="shared" si="114"/>
        <v>0</v>
      </c>
      <c r="BF97" s="5">
        <f t="shared" si="114"/>
        <v>0</v>
      </c>
      <c r="BG97" s="5">
        <f t="shared" si="114"/>
        <v>0</v>
      </c>
      <c r="BH97" s="5">
        <f t="shared" si="114"/>
        <v>0</v>
      </c>
      <c r="BI97" s="5">
        <f t="shared" si="114"/>
        <v>0</v>
      </c>
      <c r="BJ97" s="5">
        <f t="shared" si="114"/>
        <v>0</v>
      </c>
      <c r="BK97" s="5">
        <f t="shared" si="114"/>
        <v>0</v>
      </c>
      <c r="BL97" s="5">
        <f t="shared" si="114"/>
        <v>0</v>
      </c>
      <c r="BM97" s="5">
        <f t="shared" si="114"/>
        <v>0</v>
      </c>
      <c r="BN97" s="5">
        <f t="shared" si="114"/>
        <v>0</v>
      </c>
    </row>
    <row r="98" spans="1:66" x14ac:dyDescent="0.25">
      <c r="C98" s="24" t="s">
        <v>57</v>
      </c>
      <c r="D98" s="420">
        <f>D17</f>
        <v>0</v>
      </c>
      <c r="E98" s="420">
        <f>SUM(E96:E97)</f>
        <v>0</v>
      </c>
      <c r="F98" s="25">
        <f>SUM(F96:F97)</f>
        <v>0</v>
      </c>
      <c r="G98" s="420">
        <f>SUM(G96:G97)</f>
        <v>0</v>
      </c>
      <c r="H98" s="420">
        <f>SUM(H96:H97)</f>
        <v>0</v>
      </c>
      <c r="I98" s="420">
        <f>SUM(I96:I97)</f>
        <v>0</v>
      </c>
      <c r="J98" s="420">
        <f t="shared" ref="J98:BN98" si="115">SUM(J96:J97)</f>
        <v>0</v>
      </c>
      <c r="K98" s="420">
        <f t="shared" si="115"/>
        <v>0</v>
      </c>
      <c r="L98" s="420">
        <f t="shared" si="115"/>
        <v>0</v>
      </c>
      <c r="M98" s="420">
        <f t="shared" si="115"/>
        <v>0</v>
      </c>
      <c r="N98" s="420">
        <f t="shared" si="115"/>
        <v>0</v>
      </c>
      <c r="O98" s="420">
        <f t="shared" si="115"/>
        <v>0</v>
      </c>
      <c r="P98" s="420">
        <f t="shared" si="115"/>
        <v>0</v>
      </c>
      <c r="Q98" s="420">
        <f t="shared" si="115"/>
        <v>0</v>
      </c>
      <c r="R98" s="420">
        <f t="shared" si="115"/>
        <v>0</v>
      </c>
      <c r="S98" s="420">
        <f t="shared" si="115"/>
        <v>0</v>
      </c>
      <c r="T98" s="420">
        <f t="shared" si="115"/>
        <v>0</v>
      </c>
      <c r="U98" s="420">
        <f t="shared" si="115"/>
        <v>0</v>
      </c>
      <c r="V98" s="420">
        <f t="shared" si="115"/>
        <v>0</v>
      </c>
      <c r="W98" s="420">
        <f t="shared" si="115"/>
        <v>0</v>
      </c>
      <c r="X98" s="420">
        <f t="shared" si="115"/>
        <v>0</v>
      </c>
      <c r="Y98" s="420">
        <f t="shared" si="115"/>
        <v>0</v>
      </c>
      <c r="Z98" s="420">
        <f t="shared" si="115"/>
        <v>0</v>
      </c>
      <c r="AA98" s="420">
        <f t="shared" si="115"/>
        <v>0</v>
      </c>
      <c r="AB98" s="420">
        <f t="shared" si="115"/>
        <v>0</v>
      </c>
      <c r="AC98" s="420">
        <f t="shared" si="115"/>
        <v>0</v>
      </c>
      <c r="AD98" s="420">
        <f t="shared" si="115"/>
        <v>0</v>
      </c>
      <c r="AE98" s="420">
        <f t="shared" si="115"/>
        <v>0</v>
      </c>
      <c r="AF98" s="420">
        <f t="shared" si="115"/>
        <v>0</v>
      </c>
      <c r="AG98" s="420">
        <f t="shared" si="115"/>
        <v>0</v>
      </c>
      <c r="AH98" s="420">
        <f t="shared" si="115"/>
        <v>0</v>
      </c>
      <c r="AI98" s="420">
        <f t="shared" si="115"/>
        <v>0</v>
      </c>
      <c r="AJ98" s="420">
        <f t="shared" si="115"/>
        <v>0</v>
      </c>
      <c r="AK98" s="420">
        <f t="shared" si="115"/>
        <v>0</v>
      </c>
      <c r="AL98" s="420">
        <f t="shared" si="115"/>
        <v>0</v>
      </c>
      <c r="AM98" s="420">
        <f t="shared" si="115"/>
        <v>0</v>
      </c>
      <c r="AN98" s="420">
        <f t="shared" si="115"/>
        <v>0</v>
      </c>
      <c r="AO98" s="420">
        <f t="shared" si="115"/>
        <v>0</v>
      </c>
      <c r="AP98" s="420">
        <f t="shared" si="115"/>
        <v>0</v>
      </c>
      <c r="AQ98" s="420">
        <f t="shared" si="115"/>
        <v>0</v>
      </c>
      <c r="AR98" s="420">
        <f t="shared" si="115"/>
        <v>0</v>
      </c>
      <c r="AS98" s="420">
        <f t="shared" si="115"/>
        <v>0</v>
      </c>
      <c r="AT98" s="420">
        <f t="shared" si="115"/>
        <v>0</v>
      </c>
      <c r="AU98" s="420">
        <f t="shared" si="115"/>
        <v>0</v>
      </c>
      <c r="AV98" s="420">
        <f t="shared" si="115"/>
        <v>0</v>
      </c>
      <c r="AW98" s="420">
        <f t="shared" si="115"/>
        <v>0</v>
      </c>
      <c r="AX98" s="420">
        <f t="shared" si="115"/>
        <v>0</v>
      </c>
      <c r="AY98" s="420">
        <f t="shared" si="115"/>
        <v>0</v>
      </c>
      <c r="AZ98" s="420">
        <f t="shared" si="115"/>
        <v>0</v>
      </c>
      <c r="BA98" s="420">
        <f t="shared" si="115"/>
        <v>0</v>
      </c>
      <c r="BB98" s="420">
        <f t="shared" si="115"/>
        <v>0</v>
      </c>
      <c r="BC98" s="420">
        <f t="shared" si="115"/>
        <v>0</v>
      </c>
      <c r="BD98" s="420">
        <f t="shared" si="115"/>
        <v>0</v>
      </c>
      <c r="BE98" s="420">
        <f t="shared" si="115"/>
        <v>0</v>
      </c>
      <c r="BF98" s="420">
        <f t="shared" si="115"/>
        <v>0</v>
      </c>
      <c r="BG98" s="420">
        <f t="shared" si="115"/>
        <v>0</v>
      </c>
      <c r="BH98" s="420">
        <f t="shared" si="115"/>
        <v>0</v>
      </c>
      <c r="BI98" s="420">
        <f t="shared" si="115"/>
        <v>0</v>
      </c>
      <c r="BJ98" s="420">
        <f t="shared" si="115"/>
        <v>0</v>
      </c>
      <c r="BK98" s="420">
        <f t="shared" si="115"/>
        <v>0</v>
      </c>
      <c r="BL98" s="420">
        <f t="shared" si="115"/>
        <v>0</v>
      </c>
      <c r="BM98" s="420">
        <f t="shared" si="115"/>
        <v>0</v>
      </c>
      <c r="BN98" s="420">
        <f t="shared" si="115"/>
        <v>0</v>
      </c>
    </row>
    <row r="99" spans="1:66" x14ac:dyDescent="0.25">
      <c r="D99" s="5"/>
      <c r="E99" s="5"/>
    </row>
    <row r="100" spans="1:66" outlineLevel="1" x14ac:dyDescent="0.25">
      <c r="A100" s="10">
        <f>SUM(D100:BN100)</f>
        <v>0</v>
      </c>
      <c r="C100" s="8" t="s">
        <v>5</v>
      </c>
      <c r="D100" s="8">
        <f>D98-D17</f>
        <v>0</v>
      </c>
      <c r="E100" s="8">
        <f>E98-E17</f>
        <v>0</v>
      </c>
      <c r="F100" s="20">
        <f>F98-F17</f>
        <v>0</v>
      </c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  <c r="BB100" s="8"/>
      <c r="BC100" s="8"/>
      <c r="BD100" s="8"/>
      <c r="BE100" s="8"/>
      <c r="BF100" s="8"/>
      <c r="BG100" s="8"/>
      <c r="BH100" s="8"/>
      <c r="BI100" s="8"/>
      <c r="BJ100" s="8"/>
      <c r="BK100" s="8"/>
      <c r="BL100" s="8"/>
      <c r="BM100" s="8"/>
      <c r="BN100" s="8"/>
    </row>
    <row r="102" spans="1:66" x14ac:dyDescent="0.25">
      <c r="C102" s="406" t="str">
        <f>"NWK evolutie - "&amp;Historiek!$A$2</f>
        <v>NWK evolutie - Dossier</v>
      </c>
      <c r="D102" s="407"/>
      <c r="E102" s="407"/>
      <c r="F102" s="407"/>
      <c r="G102" s="407"/>
      <c r="H102" s="407"/>
      <c r="I102" s="407"/>
    </row>
    <row r="103" spans="1:66" x14ac:dyDescent="0.25">
      <c r="C103" s="738" t="str">
        <f>C$4</f>
        <v>k€</v>
      </c>
      <c r="D103" s="741" t="str">
        <f t="shared" ref="D103:BN103" si="116">D$4</f>
        <v>FY21</v>
      </c>
      <c r="E103" s="741" t="str">
        <f t="shared" si="116"/>
        <v>FY22</v>
      </c>
      <c r="F103" s="743" t="str">
        <f t="shared" si="116"/>
        <v>FY23</v>
      </c>
      <c r="G103" s="741" t="str">
        <f t="shared" si="116"/>
        <v>Jan'24</v>
      </c>
      <c r="H103" s="741" t="str">
        <f t="shared" si="116"/>
        <v>Feb'24</v>
      </c>
      <c r="I103" s="741" t="str">
        <f t="shared" si="116"/>
        <v>Mrt'24</v>
      </c>
      <c r="J103" s="741" t="str">
        <f t="shared" si="116"/>
        <v>Apr'24</v>
      </c>
      <c r="K103" s="741" t="str">
        <f t="shared" si="116"/>
        <v>Mei'24</v>
      </c>
      <c r="L103" s="741" t="str">
        <f t="shared" si="116"/>
        <v>Jun'24</v>
      </c>
      <c r="M103" s="741" t="str">
        <f t="shared" si="116"/>
        <v>Jul'24</v>
      </c>
      <c r="N103" s="741" t="str">
        <f t="shared" si="116"/>
        <v>Aug'24</v>
      </c>
      <c r="O103" s="741" t="str">
        <f t="shared" si="116"/>
        <v>Sep'24</v>
      </c>
      <c r="P103" s="741" t="str">
        <f t="shared" si="116"/>
        <v>Okt'24</v>
      </c>
      <c r="Q103" s="741" t="str">
        <f t="shared" si="116"/>
        <v>Nov'24</v>
      </c>
      <c r="R103" s="741" t="str">
        <f t="shared" si="116"/>
        <v>Dec'24</v>
      </c>
      <c r="S103" s="741" t="str">
        <f t="shared" si="116"/>
        <v>Jan'25</v>
      </c>
      <c r="T103" s="741" t="str">
        <f t="shared" si="116"/>
        <v>Feb'25</v>
      </c>
      <c r="U103" s="741" t="str">
        <f t="shared" si="116"/>
        <v>Mrt'25</v>
      </c>
      <c r="V103" s="741" t="str">
        <f t="shared" si="116"/>
        <v>Apr'25</v>
      </c>
      <c r="W103" s="741" t="str">
        <f t="shared" si="116"/>
        <v>Mei'25</v>
      </c>
      <c r="X103" s="741" t="str">
        <f t="shared" si="116"/>
        <v>Jun'25</v>
      </c>
      <c r="Y103" s="741" t="str">
        <f t="shared" si="116"/>
        <v>Jul'25</v>
      </c>
      <c r="Z103" s="741" t="str">
        <f t="shared" si="116"/>
        <v>Aug'25</v>
      </c>
      <c r="AA103" s="741" t="str">
        <f t="shared" si="116"/>
        <v>Sep'25</v>
      </c>
      <c r="AB103" s="741" t="str">
        <f t="shared" si="116"/>
        <v>Okt'25</v>
      </c>
      <c r="AC103" s="741" t="str">
        <f t="shared" si="116"/>
        <v>Nov'25</v>
      </c>
      <c r="AD103" s="741" t="str">
        <f t="shared" si="116"/>
        <v>Dec'25</v>
      </c>
      <c r="AE103" s="741" t="str">
        <f t="shared" si="116"/>
        <v>Jan'26</v>
      </c>
      <c r="AF103" s="741" t="str">
        <f t="shared" si="116"/>
        <v>Feb'26</v>
      </c>
      <c r="AG103" s="741" t="str">
        <f t="shared" si="116"/>
        <v>Mrt'26</v>
      </c>
      <c r="AH103" s="741" t="str">
        <f t="shared" si="116"/>
        <v>Apr'26</v>
      </c>
      <c r="AI103" s="741" t="str">
        <f t="shared" si="116"/>
        <v>Mei'26</v>
      </c>
      <c r="AJ103" s="741" t="str">
        <f t="shared" si="116"/>
        <v>Jun'26</v>
      </c>
      <c r="AK103" s="741" t="str">
        <f t="shared" si="116"/>
        <v>Jul'26</v>
      </c>
      <c r="AL103" s="741" t="str">
        <f t="shared" si="116"/>
        <v>Aug'26</v>
      </c>
      <c r="AM103" s="741" t="str">
        <f t="shared" si="116"/>
        <v>Sep'26</v>
      </c>
      <c r="AN103" s="741" t="str">
        <f t="shared" si="116"/>
        <v>Okt'26</v>
      </c>
      <c r="AO103" s="741" t="str">
        <f t="shared" si="116"/>
        <v>Nov'26</v>
      </c>
      <c r="AP103" s="741" t="str">
        <f t="shared" si="116"/>
        <v>Dec'26</v>
      </c>
      <c r="AQ103" s="741" t="str">
        <f t="shared" si="116"/>
        <v>Jan'27</v>
      </c>
      <c r="AR103" s="741" t="str">
        <f t="shared" si="116"/>
        <v>Feb'27</v>
      </c>
      <c r="AS103" s="741" t="str">
        <f t="shared" si="116"/>
        <v>Mrt'27</v>
      </c>
      <c r="AT103" s="741" t="str">
        <f t="shared" si="116"/>
        <v>Apr'27</v>
      </c>
      <c r="AU103" s="741" t="str">
        <f t="shared" si="116"/>
        <v>Mei'27</v>
      </c>
      <c r="AV103" s="741" t="str">
        <f t="shared" si="116"/>
        <v>Jun'27</v>
      </c>
      <c r="AW103" s="741" t="str">
        <f t="shared" si="116"/>
        <v>Jul'27</v>
      </c>
      <c r="AX103" s="741" t="str">
        <f t="shared" si="116"/>
        <v>Aug'27</v>
      </c>
      <c r="AY103" s="741" t="str">
        <f t="shared" si="116"/>
        <v>Sep'27</v>
      </c>
      <c r="AZ103" s="741" t="str">
        <f t="shared" si="116"/>
        <v>Okt'27</v>
      </c>
      <c r="BA103" s="741" t="str">
        <f t="shared" si="116"/>
        <v>Nov'27</v>
      </c>
      <c r="BB103" s="741" t="str">
        <f t="shared" si="116"/>
        <v>Dec'27</v>
      </c>
      <c r="BC103" s="741" t="str">
        <f t="shared" si="116"/>
        <v>Jan'28</v>
      </c>
      <c r="BD103" s="741" t="str">
        <f t="shared" si="116"/>
        <v>Feb'28</v>
      </c>
      <c r="BE103" s="741" t="str">
        <f t="shared" si="116"/>
        <v>Mrt'28</v>
      </c>
      <c r="BF103" s="741" t="str">
        <f t="shared" si="116"/>
        <v>Apr'28</v>
      </c>
      <c r="BG103" s="741" t="str">
        <f t="shared" si="116"/>
        <v>Mei'28</v>
      </c>
      <c r="BH103" s="741" t="str">
        <f t="shared" si="116"/>
        <v>Jun'28</v>
      </c>
      <c r="BI103" s="741" t="str">
        <f t="shared" si="116"/>
        <v>Jul'28</v>
      </c>
      <c r="BJ103" s="741" t="str">
        <f t="shared" si="116"/>
        <v>Aug'28</v>
      </c>
      <c r="BK103" s="741" t="str">
        <f t="shared" si="116"/>
        <v>Sep'28</v>
      </c>
      <c r="BL103" s="741" t="str">
        <f t="shared" si="116"/>
        <v>Okt'28</v>
      </c>
      <c r="BM103" s="741" t="str">
        <f t="shared" si="116"/>
        <v>Nov'28</v>
      </c>
      <c r="BN103" s="741" t="str">
        <f t="shared" si="116"/>
        <v>Dec'28</v>
      </c>
    </row>
    <row r="104" spans="1:66" x14ac:dyDescent="0.25">
      <c r="C104" s="418" t="s">
        <v>58</v>
      </c>
      <c r="D104" s="5"/>
      <c r="E104" s="5">
        <f>D118-E118</f>
        <v>0</v>
      </c>
      <c r="F104" s="5">
        <f t="shared" ref="F104:F107" si="117">E118-F118</f>
        <v>0</v>
      </c>
      <c r="G104" s="5">
        <f t="shared" ref="G104:G107" si="118">F118-G118</f>
        <v>0</v>
      </c>
      <c r="H104" s="5">
        <f t="shared" ref="H104:H107" si="119">G118-H118</f>
        <v>0</v>
      </c>
      <c r="I104" s="5">
        <f t="shared" ref="I104:I107" si="120">H118-I118</f>
        <v>0</v>
      </c>
      <c r="J104" s="5">
        <f t="shared" ref="J104:J107" si="121">I118-J118</f>
        <v>0</v>
      </c>
      <c r="K104" s="5">
        <f t="shared" ref="K104:K107" si="122">J118-K118</f>
        <v>0</v>
      </c>
      <c r="L104" s="5">
        <f t="shared" ref="L104:L107" si="123">K118-L118</f>
        <v>0</v>
      </c>
      <c r="M104" s="5">
        <f t="shared" ref="M104:M107" si="124">L118-M118</f>
        <v>0</v>
      </c>
      <c r="N104" s="5">
        <f t="shared" ref="N104:N107" si="125">M118-N118</f>
        <v>0</v>
      </c>
      <c r="O104" s="5">
        <f t="shared" ref="O104:O107" si="126">N118-O118</f>
        <v>0</v>
      </c>
      <c r="P104" s="5">
        <f t="shared" ref="P104:P107" si="127">O118-P118</f>
        <v>0</v>
      </c>
      <c r="Q104" s="5">
        <f t="shared" ref="Q104:Q107" si="128">P118-Q118</f>
        <v>0</v>
      </c>
      <c r="R104" s="5">
        <f t="shared" ref="R104:R107" si="129">Q118-R118</f>
        <v>0</v>
      </c>
      <c r="S104" s="5">
        <f t="shared" ref="S104:S107" si="130">R118-S118</f>
        <v>0</v>
      </c>
      <c r="T104" s="5">
        <f t="shared" ref="T104:T107" si="131">S118-T118</f>
        <v>0</v>
      </c>
      <c r="U104" s="5">
        <f t="shared" ref="U104:U107" si="132">T118-U118</f>
        <v>0</v>
      </c>
      <c r="V104" s="5">
        <f t="shared" ref="V104:V107" si="133">U118-V118</f>
        <v>0</v>
      </c>
      <c r="W104" s="5">
        <f t="shared" ref="W104:W107" si="134">V118-W118</f>
        <v>0</v>
      </c>
      <c r="X104" s="5">
        <f t="shared" ref="X104:X107" si="135">W118-X118</f>
        <v>0</v>
      </c>
      <c r="Y104" s="5">
        <f t="shared" ref="Y104:Y107" si="136">X118-Y118</f>
        <v>0</v>
      </c>
      <c r="Z104" s="5">
        <f t="shared" ref="Z104:Z107" si="137">Y118-Z118</f>
        <v>0</v>
      </c>
      <c r="AA104" s="5">
        <f t="shared" ref="AA104:AA107" si="138">Z118-AA118</f>
        <v>0</v>
      </c>
      <c r="AB104" s="5">
        <f t="shared" ref="AB104:AB107" si="139">AA118-AB118</f>
        <v>0</v>
      </c>
      <c r="AC104" s="5">
        <f t="shared" ref="AC104:AC107" si="140">AB118-AC118</f>
        <v>0</v>
      </c>
      <c r="AD104" s="5">
        <f t="shared" ref="AD104:AD107" si="141">AC118-AD118</f>
        <v>0</v>
      </c>
      <c r="AE104" s="5">
        <f t="shared" ref="AE104:AE107" si="142">AD118-AE118</f>
        <v>0</v>
      </c>
      <c r="AF104" s="5">
        <f t="shared" ref="AF104:AF107" si="143">AE118-AF118</f>
        <v>0</v>
      </c>
      <c r="AG104" s="5">
        <f t="shared" ref="AG104:AG107" si="144">AF118-AG118</f>
        <v>0</v>
      </c>
      <c r="AH104" s="5">
        <f t="shared" ref="AH104:AH107" si="145">AG118-AH118</f>
        <v>0</v>
      </c>
      <c r="AI104" s="5">
        <f t="shared" ref="AI104:AI107" si="146">AH118-AI118</f>
        <v>0</v>
      </c>
      <c r="AJ104" s="5">
        <f t="shared" ref="AJ104:AJ107" si="147">AI118-AJ118</f>
        <v>0</v>
      </c>
      <c r="AK104" s="5">
        <f t="shared" ref="AK104:AK107" si="148">AJ118-AK118</f>
        <v>0</v>
      </c>
      <c r="AL104" s="5">
        <f t="shared" ref="AL104:AL107" si="149">AK118-AL118</f>
        <v>0</v>
      </c>
      <c r="AM104" s="5">
        <f t="shared" ref="AM104:AM107" si="150">AL118-AM118</f>
        <v>0</v>
      </c>
      <c r="AN104" s="5">
        <f t="shared" ref="AN104:AN107" si="151">AM118-AN118</f>
        <v>0</v>
      </c>
      <c r="AO104" s="5">
        <f t="shared" ref="AO104:AO107" si="152">AN118-AO118</f>
        <v>0</v>
      </c>
      <c r="AP104" s="5">
        <f t="shared" ref="AP104:AP107" si="153">AO118-AP118</f>
        <v>0</v>
      </c>
      <c r="AQ104" s="5">
        <f t="shared" ref="AQ104:AQ107" si="154">AP118-AQ118</f>
        <v>0</v>
      </c>
      <c r="AR104" s="5">
        <f t="shared" ref="AR104:AR107" si="155">AQ118-AR118</f>
        <v>0</v>
      </c>
      <c r="AS104" s="5">
        <f t="shared" ref="AS104:AS107" si="156">AR118-AS118</f>
        <v>0</v>
      </c>
      <c r="AT104" s="5">
        <f t="shared" ref="AT104:AT107" si="157">AS118-AT118</f>
        <v>0</v>
      </c>
      <c r="AU104" s="5">
        <f t="shared" ref="AU104:AU107" si="158">AT118-AU118</f>
        <v>0</v>
      </c>
      <c r="AV104" s="5">
        <f t="shared" ref="AV104:AV107" si="159">AU118-AV118</f>
        <v>0</v>
      </c>
      <c r="AW104" s="5">
        <f t="shared" ref="AW104:AW107" si="160">AV118-AW118</f>
        <v>0</v>
      </c>
      <c r="AX104" s="5">
        <f t="shared" ref="AX104:AX107" si="161">AW118-AX118</f>
        <v>0</v>
      </c>
      <c r="AY104" s="5">
        <f t="shared" ref="AY104:AY107" si="162">AX118-AY118</f>
        <v>0</v>
      </c>
      <c r="AZ104" s="5">
        <f t="shared" ref="AZ104:AZ107" si="163">AY118-AZ118</f>
        <v>0</v>
      </c>
      <c r="BA104" s="5">
        <f t="shared" ref="BA104:BA107" si="164">AZ118-BA118</f>
        <v>0</v>
      </c>
      <c r="BB104" s="5">
        <f t="shared" ref="BB104:BB107" si="165">BA118-BB118</f>
        <v>0</v>
      </c>
      <c r="BC104" s="5">
        <f t="shared" ref="BC104:BC107" si="166">BB118-BC118</f>
        <v>0</v>
      </c>
      <c r="BD104" s="5">
        <f t="shared" ref="BD104:BD107" si="167">BC118-BD118</f>
        <v>0</v>
      </c>
      <c r="BE104" s="5">
        <f t="shared" ref="BE104:BE107" si="168">BD118-BE118</f>
        <v>0</v>
      </c>
      <c r="BF104" s="5">
        <f t="shared" ref="BF104:BF107" si="169">BE118-BF118</f>
        <v>0</v>
      </c>
      <c r="BG104" s="5">
        <f t="shared" ref="BG104:BG107" si="170">BF118-BG118</f>
        <v>0</v>
      </c>
      <c r="BH104" s="5">
        <f t="shared" ref="BH104:BH107" si="171">BG118-BH118</f>
        <v>0</v>
      </c>
      <c r="BI104" s="5">
        <f t="shared" ref="BI104:BI107" si="172">BH118-BI118</f>
        <v>0</v>
      </c>
      <c r="BJ104" s="5">
        <f t="shared" ref="BJ104:BJ107" si="173">BI118-BJ118</f>
        <v>0</v>
      </c>
      <c r="BK104" s="5">
        <f t="shared" ref="BK104:BK107" si="174">BJ118-BK118</f>
        <v>0</v>
      </c>
      <c r="BL104" s="5">
        <f t="shared" ref="BL104:BL107" si="175">BK118-BL118</f>
        <v>0</v>
      </c>
      <c r="BM104" s="5">
        <f t="shared" ref="BM104:BM107" si="176">BL118-BM118</f>
        <v>0</v>
      </c>
      <c r="BN104" s="5">
        <f t="shared" ref="BN104:BN107" si="177">BM118-BN118</f>
        <v>0</v>
      </c>
    </row>
    <row r="105" spans="1:66" x14ac:dyDescent="0.25">
      <c r="C105" s="418" t="s">
        <v>59</v>
      </c>
      <c r="D105" s="5"/>
      <c r="E105" s="5">
        <f t="shared" ref="E105:E107" si="178">D119-E119</f>
        <v>0</v>
      </c>
      <c r="F105" s="21">
        <f t="shared" si="117"/>
        <v>0</v>
      </c>
      <c r="G105" s="21">
        <f t="shared" si="118"/>
        <v>0</v>
      </c>
      <c r="H105" s="21">
        <f t="shared" si="119"/>
        <v>0</v>
      </c>
      <c r="I105" s="21">
        <f t="shared" si="120"/>
        <v>0</v>
      </c>
      <c r="J105" s="21">
        <f t="shared" si="121"/>
        <v>0</v>
      </c>
      <c r="K105" s="21">
        <f t="shared" si="122"/>
        <v>0</v>
      </c>
      <c r="L105" s="21">
        <f t="shared" si="123"/>
        <v>0</v>
      </c>
      <c r="M105" s="21">
        <f t="shared" si="124"/>
        <v>0</v>
      </c>
      <c r="N105" s="21">
        <f t="shared" si="125"/>
        <v>0</v>
      </c>
      <c r="O105" s="21">
        <f t="shared" si="126"/>
        <v>0</v>
      </c>
      <c r="P105" s="21">
        <f t="shared" si="127"/>
        <v>0</v>
      </c>
      <c r="Q105" s="21">
        <f t="shared" si="128"/>
        <v>0</v>
      </c>
      <c r="R105" s="21">
        <f t="shared" si="129"/>
        <v>0</v>
      </c>
      <c r="S105" s="21">
        <f t="shared" si="130"/>
        <v>0</v>
      </c>
      <c r="T105" s="21">
        <f t="shared" si="131"/>
        <v>0</v>
      </c>
      <c r="U105" s="21">
        <f t="shared" si="132"/>
        <v>0</v>
      </c>
      <c r="V105" s="21">
        <f t="shared" si="133"/>
        <v>0</v>
      </c>
      <c r="W105" s="21">
        <f t="shared" si="134"/>
        <v>0</v>
      </c>
      <c r="X105" s="21">
        <f t="shared" si="135"/>
        <v>0</v>
      </c>
      <c r="Y105" s="21">
        <f t="shared" si="136"/>
        <v>0</v>
      </c>
      <c r="Z105" s="21">
        <f t="shared" si="137"/>
        <v>0</v>
      </c>
      <c r="AA105" s="21">
        <f t="shared" si="138"/>
        <v>0</v>
      </c>
      <c r="AB105" s="21">
        <f t="shared" si="139"/>
        <v>0</v>
      </c>
      <c r="AC105" s="21">
        <f t="shared" si="140"/>
        <v>0</v>
      </c>
      <c r="AD105" s="21">
        <f t="shared" si="141"/>
        <v>0</v>
      </c>
      <c r="AE105" s="21">
        <f t="shared" si="142"/>
        <v>0</v>
      </c>
      <c r="AF105" s="21">
        <f t="shared" si="143"/>
        <v>0</v>
      </c>
      <c r="AG105" s="21">
        <f t="shared" si="144"/>
        <v>0</v>
      </c>
      <c r="AH105" s="21">
        <f t="shared" si="145"/>
        <v>0</v>
      </c>
      <c r="AI105" s="21">
        <f t="shared" si="146"/>
        <v>0</v>
      </c>
      <c r="AJ105" s="21">
        <f t="shared" si="147"/>
        <v>0</v>
      </c>
      <c r="AK105" s="21">
        <f t="shared" si="148"/>
        <v>0</v>
      </c>
      <c r="AL105" s="21">
        <f t="shared" si="149"/>
        <v>0</v>
      </c>
      <c r="AM105" s="21">
        <f t="shared" si="150"/>
        <v>0</v>
      </c>
      <c r="AN105" s="21">
        <f t="shared" si="151"/>
        <v>0</v>
      </c>
      <c r="AO105" s="21">
        <f t="shared" si="152"/>
        <v>0</v>
      </c>
      <c r="AP105" s="21">
        <f t="shared" si="153"/>
        <v>0</v>
      </c>
      <c r="AQ105" s="21">
        <f t="shared" si="154"/>
        <v>0</v>
      </c>
      <c r="AR105" s="21">
        <f t="shared" si="155"/>
        <v>0</v>
      </c>
      <c r="AS105" s="21">
        <f t="shared" si="156"/>
        <v>0</v>
      </c>
      <c r="AT105" s="21">
        <f t="shared" si="157"/>
        <v>0</v>
      </c>
      <c r="AU105" s="21">
        <f t="shared" si="158"/>
        <v>0</v>
      </c>
      <c r="AV105" s="21">
        <f t="shared" si="159"/>
        <v>0</v>
      </c>
      <c r="AW105" s="21">
        <f t="shared" si="160"/>
        <v>0</v>
      </c>
      <c r="AX105" s="21">
        <f t="shared" si="161"/>
        <v>0</v>
      </c>
      <c r="AY105" s="21">
        <f t="shared" si="162"/>
        <v>0</v>
      </c>
      <c r="AZ105" s="21">
        <f t="shared" si="163"/>
        <v>0</v>
      </c>
      <c r="BA105" s="21">
        <f t="shared" si="164"/>
        <v>0</v>
      </c>
      <c r="BB105" s="21">
        <f t="shared" si="165"/>
        <v>0</v>
      </c>
      <c r="BC105" s="21">
        <f t="shared" si="166"/>
        <v>0</v>
      </c>
      <c r="BD105" s="21">
        <f t="shared" si="167"/>
        <v>0</v>
      </c>
      <c r="BE105" s="21">
        <f t="shared" si="168"/>
        <v>0</v>
      </c>
      <c r="BF105" s="21">
        <f t="shared" si="169"/>
        <v>0</v>
      </c>
      <c r="BG105" s="21">
        <f t="shared" si="170"/>
        <v>0</v>
      </c>
      <c r="BH105" s="21">
        <f t="shared" si="171"/>
        <v>0</v>
      </c>
      <c r="BI105" s="21">
        <f t="shared" si="172"/>
        <v>0</v>
      </c>
      <c r="BJ105" s="21">
        <f t="shared" si="173"/>
        <v>0</v>
      </c>
      <c r="BK105" s="21">
        <f t="shared" si="174"/>
        <v>0</v>
      </c>
      <c r="BL105" s="21">
        <f t="shared" si="175"/>
        <v>0</v>
      </c>
      <c r="BM105" s="21">
        <f t="shared" si="176"/>
        <v>0</v>
      </c>
      <c r="BN105" s="21">
        <f t="shared" si="177"/>
        <v>0</v>
      </c>
    </row>
    <row r="106" spans="1:66" x14ac:dyDescent="0.25">
      <c r="C106" s="418" t="s">
        <v>60</v>
      </c>
      <c r="D106" s="5"/>
      <c r="E106" s="5">
        <f t="shared" si="178"/>
        <v>0</v>
      </c>
      <c r="F106" s="21">
        <f t="shared" si="117"/>
        <v>0</v>
      </c>
      <c r="G106" s="21">
        <f t="shared" si="118"/>
        <v>0</v>
      </c>
      <c r="H106" s="21">
        <f t="shared" si="119"/>
        <v>0</v>
      </c>
      <c r="I106" s="21">
        <f t="shared" si="120"/>
        <v>0</v>
      </c>
      <c r="J106" s="21">
        <f t="shared" si="121"/>
        <v>0</v>
      </c>
      <c r="K106" s="21">
        <f t="shared" si="122"/>
        <v>0</v>
      </c>
      <c r="L106" s="21">
        <f t="shared" si="123"/>
        <v>0</v>
      </c>
      <c r="M106" s="21">
        <f t="shared" si="124"/>
        <v>0</v>
      </c>
      <c r="N106" s="21">
        <f t="shared" si="125"/>
        <v>0</v>
      </c>
      <c r="O106" s="21">
        <f t="shared" si="126"/>
        <v>0</v>
      </c>
      <c r="P106" s="21">
        <f t="shared" si="127"/>
        <v>0</v>
      </c>
      <c r="Q106" s="21">
        <f t="shared" si="128"/>
        <v>0</v>
      </c>
      <c r="R106" s="21">
        <f t="shared" si="129"/>
        <v>0</v>
      </c>
      <c r="S106" s="21">
        <f t="shared" si="130"/>
        <v>0</v>
      </c>
      <c r="T106" s="21">
        <f t="shared" si="131"/>
        <v>0</v>
      </c>
      <c r="U106" s="21">
        <f t="shared" si="132"/>
        <v>0</v>
      </c>
      <c r="V106" s="21">
        <f t="shared" si="133"/>
        <v>0</v>
      </c>
      <c r="W106" s="21">
        <f t="shared" si="134"/>
        <v>0</v>
      </c>
      <c r="X106" s="21">
        <f t="shared" si="135"/>
        <v>0</v>
      </c>
      <c r="Y106" s="21">
        <f t="shared" si="136"/>
        <v>0</v>
      </c>
      <c r="Z106" s="21">
        <f t="shared" si="137"/>
        <v>0</v>
      </c>
      <c r="AA106" s="21">
        <f t="shared" si="138"/>
        <v>0</v>
      </c>
      <c r="AB106" s="21">
        <f t="shared" si="139"/>
        <v>0</v>
      </c>
      <c r="AC106" s="21">
        <f t="shared" si="140"/>
        <v>0</v>
      </c>
      <c r="AD106" s="21">
        <f t="shared" si="141"/>
        <v>0</v>
      </c>
      <c r="AE106" s="21">
        <f t="shared" si="142"/>
        <v>0</v>
      </c>
      <c r="AF106" s="21">
        <f t="shared" si="143"/>
        <v>0</v>
      </c>
      <c r="AG106" s="21">
        <f t="shared" si="144"/>
        <v>0</v>
      </c>
      <c r="AH106" s="21">
        <f t="shared" si="145"/>
        <v>0</v>
      </c>
      <c r="AI106" s="21">
        <f t="shared" si="146"/>
        <v>0</v>
      </c>
      <c r="AJ106" s="21">
        <f t="shared" si="147"/>
        <v>0</v>
      </c>
      <c r="AK106" s="21">
        <f t="shared" si="148"/>
        <v>0</v>
      </c>
      <c r="AL106" s="21">
        <f t="shared" si="149"/>
        <v>0</v>
      </c>
      <c r="AM106" s="21">
        <f t="shared" si="150"/>
        <v>0</v>
      </c>
      <c r="AN106" s="21">
        <f t="shared" si="151"/>
        <v>0</v>
      </c>
      <c r="AO106" s="21">
        <f t="shared" si="152"/>
        <v>0</v>
      </c>
      <c r="AP106" s="21">
        <f t="shared" si="153"/>
        <v>0</v>
      </c>
      <c r="AQ106" s="21">
        <f t="shared" si="154"/>
        <v>0</v>
      </c>
      <c r="AR106" s="21">
        <f t="shared" si="155"/>
        <v>0</v>
      </c>
      <c r="AS106" s="21">
        <f t="shared" si="156"/>
        <v>0</v>
      </c>
      <c r="AT106" s="21">
        <f t="shared" si="157"/>
        <v>0</v>
      </c>
      <c r="AU106" s="21">
        <f t="shared" si="158"/>
        <v>0</v>
      </c>
      <c r="AV106" s="21">
        <f t="shared" si="159"/>
        <v>0</v>
      </c>
      <c r="AW106" s="21">
        <f t="shared" si="160"/>
        <v>0</v>
      </c>
      <c r="AX106" s="21">
        <f t="shared" si="161"/>
        <v>0</v>
      </c>
      <c r="AY106" s="21">
        <f t="shared" si="162"/>
        <v>0</v>
      </c>
      <c r="AZ106" s="21">
        <f t="shared" si="163"/>
        <v>0</v>
      </c>
      <c r="BA106" s="21">
        <f t="shared" si="164"/>
        <v>0</v>
      </c>
      <c r="BB106" s="21">
        <f t="shared" si="165"/>
        <v>0</v>
      </c>
      <c r="BC106" s="21">
        <f t="shared" si="166"/>
        <v>0</v>
      </c>
      <c r="BD106" s="21">
        <f t="shared" si="167"/>
        <v>0</v>
      </c>
      <c r="BE106" s="21">
        <f t="shared" si="168"/>
        <v>0</v>
      </c>
      <c r="BF106" s="21">
        <f t="shared" si="169"/>
        <v>0</v>
      </c>
      <c r="BG106" s="21">
        <f t="shared" si="170"/>
        <v>0</v>
      </c>
      <c r="BH106" s="21">
        <f t="shared" si="171"/>
        <v>0</v>
      </c>
      <c r="BI106" s="21">
        <f t="shared" si="172"/>
        <v>0</v>
      </c>
      <c r="BJ106" s="21">
        <f t="shared" si="173"/>
        <v>0</v>
      </c>
      <c r="BK106" s="21">
        <f t="shared" si="174"/>
        <v>0</v>
      </c>
      <c r="BL106" s="21">
        <f t="shared" si="175"/>
        <v>0</v>
      </c>
      <c r="BM106" s="21">
        <f t="shared" si="176"/>
        <v>0</v>
      </c>
      <c r="BN106" s="21">
        <f t="shared" si="177"/>
        <v>0</v>
      </c>
    </row>
    <row r="107" spans="1:66" x14ac:dyDescent="0.25">
      <c r="C107" s="419" t="s">
        <v>61</v>
      </c>
      <c r="D107" s="5"/>
      <c r="E107" s="5">
        <f t="shared" si="178"/>
        <v>0</v>
      </c>
      <c r="F107" s="21">
        <f t="shared" si="117"/>
        <v>0</v>
      </c>
      <c r="G107" s="21">
        <f t="shared" si="118"/>
        <v>0</v>
      </c>
      <c r="H107" s="21">
        <f t="shared" si="119"/>
        <v>0</v>
      </c>
      <c r="I107" s="21">
        <f t="shared" si="120"/>
        <v>0</v>
      </c>
      <c r="J107" s="21">
        <f t="shared" si="121"/>
        <v>0</v>
      </c>
      <c r="K107" s="21">
        <f t="shared" si="122"/>
        <v>0</v>
      </c>
      <c r="L107" s="21">
        <f t="shared" si="123"/>
        <v>0</v>
      </c>
      <c r="M107" s="21">
        <f t="shared" si="124"/>
        <v>0</v>
      </c>
      <c r="N107" s="21">
        <f t="shared" si="125"/>
        <v>0</v>
      </c>
      <c r="O107" s="21">
        <f t="shared" si="126"/>
        <v>0</v>
      </c>
      <c r="P107" s="21">
        <f t="shared" si="127"/>
        <v>0</v>
      </c>
      <c r="Q107" s="21">
        <f t="shared" si="128"/>
        <v>0</v>
      </c>
      <c r="R107" s="21">
        <f t="shared" si="129"/>
        <v>0</v>
      </c>
      <c r="S107" s="21">
        <f t="shared" si="130"/>
        <v>0</v>
      </c>
      <c r="T107" s="21">
        <f t="shared" si="131"/>
        <v>0</v>
      </c>
      <c r="U107" s="21">
        <f t="shared" si="132"/>
        <v>0</v>
      </c>
      <c r="V107" s="21">
        <f t="shared" si="133"/>
        <v>0</v>
      </c>
      <c r="W107" s="21">
        <f t="shared" si="134"/>
        <v>0</v>
      </c>
      <c r="X107" s="21">
        <f t="shared" si="135"/>
        <v>0</v>
      </c>
      <c r="Y107" s="21">
        <f t="shared" si="136"/>
        <v>0</v>
      </c>
      <c r="Z107" s="21">
        <f t="shared" si="137"/>
        <v>0</v>
      </c>
      <c r="AA107" s="21">
        <f t="shared" si="138"/>
        <v>0</v>
      </c>
      <c r="AB107" s="21">
        <f t="shared" si="139"/>
        <v>0</v>
      </c>
      <c r="AC107" s="21">
        <f t="shared" si="140"/>
        <v>0</v>
      </c>
      <c r="AD107" s="21">
        <f t="shared" si="141"/>
        <v>0</v>
      </c>
      <c r="AE107" s="21">
        <f t="shared" si="142"/>
        <v>0</v>
      </c>
      <c r="AF107" s="21">
        <f t="shared" si="143"/>
        <v>0</v>
      </c>
      <c r="AG107" s="21">
        <f t="shared" si="144"/>
        <v>0</v>
      </c>
      <c r="AH107" s="21">
        <f t="shared" si="145"/>
        <v>0</v>
      </c>
      <c r="AI107" s="21">
        <f t="shared" si="146"/>
        <v>0</v>
      </c>
      <c r="AJ107" s="21">
        <f t="shared" si="147"/>
        <v>0</v>
      </c>
      <c r="AK107" s="21">
        <f t="shared" si="148"/>
        <v>0</v>
      </c>
      <c r="AL107" s="21">
        <f t="shared" si="149"/>
        <v>0</v>
      </c>
      <c r="AM107" s="21">
        <f t="shared" si="150"/>
        <v>0</v>
      </c>
      <c r="AN107" s="21">
        <f t="shared" si="151"/>
        <v>0</v>
      </c>
      <c r="AO107" s="21">
        <f t="shared" si="152"/>
        <v>0</v>
      </c>
      <c r="AP107" s="21">
        <f t="shared" si="153"/>
        <v>0</v>
      </c>
      <c r="AQ107" s="21">
        <f t="shared" si="154"/>
        <v>0</v>
      </c>
      <c r="AR107" s="21">
        <f t="shared" si="155"/>
        <v>0</v>
      </c>
      <c r="AS107" s="21">
        <f t="shared" si="156"/>
        <v>0</v>
      </c>
      <c r="AT107" s="21">
        <f t="shared" si="157"/>
        <v>0</v>
      </c>
      <c r="AU107" s="21">
        <f t="shared" si="158"/>
        <v>0</v>
      </c>
      <c r="AV107" s="21">
        <f t="shared" si="159"/>
        <v>0</v>
      </c>
      <c r="AW107" s="21">
        <f t="shared" si="160"/>
        <v>0</v>
      </c>
      <c r="AX107" s="21">
        <f t="shared" si="161"/>
        <v>0</v>
      </c>
      <c r="AY107" s="21">
        <f t="shared" si="162"/>
        <v>0</v>
      </c>
      <c r="AZ107" s="21">
        <f t="shared" si="163"/>
        <v>0</v>
      </c>
      <c r="BA107" s="21">
        <f t="shared" si="164"/>
        <v>0</v>
      </c>
      <c r="BB107" s="21">
        <f t="shared" si="165"/>
        <v>0</v>
      </c>
      <c r="BC107" s="21">
        <f t="shared" si="166"/>
        <v>0</v>
      </c>
      <c r="BD107" s="21">
        <f t="shared" si="167"/>
        <v>0</v>
      </c>
      <c r="BE107" s="21">
        <f t="shared" si="168"/>
        <v>0</v>
      </c>
      <c r="BF107" s="21">
        <f t="shared" si="169"/>
        <v>0</v>
      </c>
      <c r="BG107" s="21">
        <f t="shared" si="170"/>
        <v>0</v>
      </c>
      <c r="BH107" s="21">
        <f t="shared" si="171"/>
        <v>0</v>
      </c>
      <c r="BI107" s="21">
        <f t="shared" si="172"/>
        <v>0</v>
      </c>
      <c r="BJ107" s="21">
        <f t="shared" si="173"/>
        <v>0</v>
      </c>
      <c r="BK107" s="21">
        <f t="shared" si="174"/>
        <v>0</v>
      </c>
      <c r="BL107" s="21">
        <f t="shared" si="175"/>
        <v>0</v>
      </c>
      <c r="BM107" s="21">
        <f t="shared" si="176"/>
        <v>0</v>
      </c>
      <c r="BN107" s="21">
        <f t="shared" si="177"/>
        <v>0</v>
      </c>
    </row>
    <row r="108" spans="1:66" x14ac:dyDescent="0.25">
      <c r="C108" s="419" t="s">
        <v>1055</v>
      </c>
      <c r="D108" s="5"/>
      <c r="E108" s="5">
        <f t="shared" ref="E108" si="179">D122-E122</f>
        <v>0</v>
      </c>
      <c r="F108" s="21">
        <f t="shared" ref="F108" si="180">E122-F122</f>
        <v>0</v>
      </c>
      <c r="G108" s="21">
        <f t="shared" ref="G108" si="181">F122-G122</f>
        <v>0</v>
      </c>
      <c r="H108" s="21">
        <f t="shared" ref="H108" si="182">G122-H122</f>
        <v>0</v>
      </c>
      <c r="I108" s="21">
        <f t="shared" ref="I108" si="183">H122-I122</f>
        <v>0</v>
      </c>
      <c r="J108" s="21">
        <f t="shared" ref="J108" si="184">I122-J122</f>
        <v>0</v>
      </c>
      <c r="K108" s="21">
        <f t="shared" ref="K108" si="185">J122-K122</f>
        <v>0</v>
      </c>
      <c r="L108" s="21">
        <f t="shared" ref="L108" si="186">K122-L122</f>
        <v>0</v>
      </c>
      <c r="M108" s="21">
        <f t="shared" ref="M108" si="187">L122-M122</f>
        <v>0</v>
      </c>
      <c r="N108" s="21">
        <f t="shared" ref="N108" si="188">M122-N122</f>
        <v>0</v>
      </c>
      <c r="O108" s="21">
        <f t="shared" ref="O108" si="189">N122-O122</f>
        <v>0</v>
      </c>
      <c r="P108" s="21">
        <f t="shared" ref="P108" si="190">O122-P122</f>
        <v>0</v>
      </c>
      <c r="Q108" s="21">
        <f t="shared" ref="Q108" si="191">P122-Q122</f>
        <v>0</v>
      </c>
      <c r="R108" s="21">
        <f t="shared" ref="R108" si="192">Q122-R122</f>
        <v>0</v>
      </c>
      <c r="S108" s="21">
        <f t="shared" ref="S108" si="193">R122-S122</f>
        <v>0</v>
      </c>
      <c r="T108" s="21">
        <f t="shared" ref="T108" si="194">S122-T122</f>
        <v>0</v>
      </c>
      <c r="U108" s="21">
        <f t="shared" ref="U108" si="195">T122-U122</f>
        <v>0</v>
      </c>
      <c r="V108" s="21">
        <f t="shared" ref="V108" si="196">U122-V122</f>
        <v>0</v>
      </c>
      <c r="W108" s="21">
        <f t="shared" ref="W108" si="197">V122-W122</f>
        <v>0</v>
      </c>
      <c r="X108" s="21">
        <f t="shared" ref="X108" si="198">W122-X122</f>
        <v>0</v>
      </c>
      <c r="Y108" s="21">
        <f t="shared" ref="Y108" si="199">X122-Y122</f>
        <v>0</v>
      </c>
      <c r="Z108" s="21">
        <f t="shared" ref="Z108" si="200">Y122-Z122</f>
        <v>0</v>
      </c>
      <c r="AA108" s="21">
        <f t="shared" ref="AA108" si="201">Z122-AA122</f>
        <v>0</v>
      </c>
      <c r="AB108" s="21">
        <f t="shared" ref="AB108" si="202">AA122-AB122</f>
        <v>0</v>
      </c>
      <c r="AC108" s="21">
        <f t="shared" ref="AC108" si="203">AB122-AC122</f>
        <v>0</v>
      </c>
      <c r="AD108" s="21">
        <f t="shared" ref="AD108" si="204">AC122-AD122</f>
        <v>0</v>
      </c>
      <c r="AE108" s="21">
        <f t="shared" ref="AE108" si="205">AD122-AE122</f>
        <v>0</v>
      </c>
      <c r="AF108" s="21">
        <f t="shared" ref="AF108" si="206">AE122-AF122</f>
        <v>0</v>
      </c>
      <c r="AG108" s="21">
        <f t="shared" ref="AG108" si="207">AF122-AG122</f>
        <v>0</v>
      </c>
      <c r="AH108" s="21">
        <f t="shared" ref="AH108" si="208">AG122-AH122</f>
        <v>0</v>
      </c>
      <c r="AI108" s="21">
        <f t="shared" ref="AI108" si="209">AH122-AI122</f>
        <v>0</v>
      </c>
      <c r="AJ108" s="21">
        <f t="shared" ref="AJ108" si="210">AI122-AJ122</f>
        <v>0</v>
      </c>
      <c r="AK108" s="21">
        <f t="shared" ref="AK108" si="211">AJ122-AK122</f>
        <v>0</v>
      </c>
      <c r="AL108" s="21">
        <f t="shared" ref="AL108" si="212">AK122-AL122</f>
        <v>0</v>
      </c>
      <c r="AM108" s="21">
        <f t="shared" ref="AM108" si="213">AL122-AM122</f>
        <v>0</v>
      </c>
      <c r="AN108" s="21">
        <f t="shared" ref="AN108" si="214">AM122-AN122</f>
        <v>0</v>
      </c>
      <c r="AO108" s="21">
        <f t="shared" ref="AO108" si="215">AN122-AO122</f>
        <v>0</v>
      </c>
      <c r="AP108" s="21">
        <f t="shared" ref="AP108" si="216">AO122-AP122</f>
        <v>0</v>
      </c>
      <c r="AQ108" s="21">
        <f t="shared" ref="AQ108" si="217">AP122-AQ122</f>
        <v>0</v>
      </c>
      <c r="AR108" s="21">
        <f t="shared" ref="AR108" si="218">AQ122-AR122</f>
        <v>0</v>
      </c>
      <c r="AS108" s="21">
        <f t="shared" ref="AS108" si="219">AR122-AS122</f>
        <v>0</v>
      </c>
      <c r="AT108" s="21">
        <f t="shared" ref="AT108" si="220">AS122-AT122</f>
        <v>0</v>
      </c>
      <c r="AU108" s="21">
        <f t="shared" ref="AU108" si="221">AT122-AU122</f>
        <v>0</v>
      </c>
      <c r="AV108" s="21">
        <f t="shared" ref="AV108" si="222">AU122-AV122</f>
        <v>0</v>
      </c>
      <c r="AW108" s="21">
        <f t="shared" ref="AW108" si="223">AV122-AW122</f>
        <v>0</v>
      </c>
      <c r="AX108" s="21">
        <f t="shared" ref="AX108" si="224">AW122-AX122</f>
        <v>0</v>
      </c>
      <c r="AY108" s="21">
        <f t="shared" ref="AY108" si="225">AX122-AY122</f>
        <v>0</v>
      </c>
      <c r="AZ108" s="21">
        <f t="shared" ref="AZ108" si="226">AY122-AZ122</f>
        <v>0</v>
      </c>
      <c r="BA108" s="21">
        <f t="shared" ref="BA108" si="227">AZ122-BA122</f>
        <v>0</v>
      </c>
      <c r="BB108" s="21">
        <f t="shared" ref="BB108" si="228">BA122-BB122</f>
        <v>0</v>
      </c>
      <c r="BC108" s="21">
        <f t="shared" ref="BC108" si="229">BB122-BC122</f>
        <v>0</v>
      </c>
      <c r="BD108" s="21">
        <f t="shared" ref="BD108" si="230">BC122-BD122</f>
        <v>0</v>
      </c>
      <c r="BE108" s="21">
        <f t="shared" ref="BE108" si="231">BD122-BE122</f>
        <v>0</v>
      </c>
      <c r="BF108" s="21">
        <f t="shared" ref="BF108" si="232">BE122-BF122</f>
        <v>0</v>
      </c>
      <c r="BG108" s="21">
        <f t="shared" ref="BG108" si="233">BF122-BG122</f>
        <v>0</v>
      </c>
      <c r="BH108" s="21">
        <f t="shared" ref="BH108" si="234">BG122-BH122</f>
        <v>0</v>
      </c>
      <c r="BI108" s="21">
        <f t="shared" ref="BI108" si="235">BH122-BI122</f>
        <v>0</v>
      </c>
      <c r="BJ108" s="21">
        <f t="shared" ref="BJ108" si="236">BI122-BJ122</f>
        <v>0</v>
      </c>
      <c r="BK108" s="21">
        <f t="shared" ref="BK108" si="237">BJ122-BK122</f>
        <v>0</v>
      </c>
      <c r="BL108" s="21">
        <f t="shared" ref="BL108" si="238">BK122-BL122</f>
        <v>0</v>
      </c>
      <c r="BM108" s="21">
        <f t="shared" ref="BM108" si="239">BL122-BM122</f>
        <v>0</v>
      </c>
      <c r="BN108" s="21">
        <f t="shared" ref="BN108" si="240">BM122-BN122</f>
        <v>0</v>
      </c>
    </row>
    <row r="109" spans="1:66" x14ac:dyDescent="0.25">
      <c r="C109" s="421" t="s">
        <v>62</v>
      </c>
      <c r="D109" s="5"/>
      <c r="E109" s="5">
        <f t="shared" ref="E109:AJ109" si="241">D123-E123</f>
        <v>0</v>
      </c>
      <c r="F109" s="21">
        <f t="shared" si="241"/>
        <v>0</v>
      </c>
      <c r="G109" s="21">
        <f t="shared" si="241"/>
        <v>0</v>
      </c>
      <c r="H109" s="21">
        <f t="shared" si="241"/>
        <v>0</v>
      </c>
      <c r="I109" s="21">
        <f t="shared" si="241"/>
        <v>0</v>
      </c>
      <c r="J109" s="21">
        <f t="shared" si="241"/>
        <v>0</v>
      </c>
      <c r="K109" s="21">
        <f t="shared" si="241"/>
        <v>0</v>
      </c>
      <c r="L109" s="21">
        <f t="shared" si="241"/>
        <v>0</v>
      </c>
      <c r="M109" s="21">
        <f t="shared" si="241"/>
        <v>0</v>
      </c>
      <c r="N109" s="21">
        <f t="shared" si="241"/>
        <v>0</v>
      </c>
      <c r="O109" s="21">
        <f t="shared" si="241"/>
        <v>0</v>
      </c>
      <c r="P109" s="21">
        <f t="shared" si="241"/>
        <v>0</v>
      </c>
      <c r="Q109" s="21">
        <f t="shared" si="241"/>
        <v>0</v>
      </c>
      <c r="R109" s="21">
        <f t="shared" si="241"/>
        <v>0</v>
      </c>
      <c r="S109" s="21">
        <f t="shared" si="241"/>
        <v>0</v>
      </c>
      <c r="T109" s="21">
        <f t="shared" si="241"/>
        <v>0</v>
      </c>
      <c r="U109" s="21">
        <f t="shared" si="241"/>
        <v>0</v>
      </c>
      <c r="V109" s="21">
        <f t="shared" si="241"/>
        <v>0</v>
      </c>
      <c r="W109" s="21">
        <f t="shared" si="241"/>
        <v>0</v>
      </c>
      <c r="X109" s="21">
        <f t="shared" si="241"/>
        <v>0</v>
      </c>
      <c r="Y109" s="21">
        <f t="shared" si="241"/>
        <v>0</v>
      </c>
      <c r="Z109" s="21">
        <f t="shared" si="241"/>
        <v>0</v>
      </c>
      <c r="AA109" s="21">
        <f t="shared" si="241"/>
        <v>0</v>
      </c>
      <c r="AB109" s="21">
        <f t="shared" si="241"/>
        <v>0</v>
      </c>
      <c r="AC109" s="21">
        <f t="shared" si="241"/>
        <v>0</v>
      </c>
      <c r="AD109" s="21">
        <f t="shared" si="241"/>
        <v>0</v>
      </c>
      <c r="AE109" s="21">
        <f t="shared" si="241"/>
        <v>0</v>
      </c>
      <c r="AF109" s="21">
        <f t="shared" si="241"/>
        <v>0</v>
      </c>
      <c r="AG109" s="21">
        <f t="shared" si="241"/>
        <v>0</v>
      </c>
      <c r="AH109" s="21">
        <f t="shared" si="241"/>
        <v>0</v>
      </c>
      <c r="AI109" s="21">
        <f t="shared" si="241"/>
        <v>0</v>
      </c>
      <c r="AJ109" s="21">
        <f t="shared" si="241"/>
        <v>0</v>
      </c>
      <c r="AK109" s="21">
        <f t="shared" ref="AK109:BN109" si="242">AJ123-AK123</f>
        <v>0</v>
      </c>
      <c r="AL109" s="21">
        <f t="shared" si="242"/>
        <v>0</v>
      </c>
      <c r="AM109" s="21">
        <f t="shared" si="242"/>
        <v>0</v>
      </c>
      <c r="AN109" s="21">
        <f t="shared" si="242"/>
        <v>0</v>
      </c>
      <c r="AO109" s="21">
        <f t="shared" si="242"/>
        <v>0</v>
      </c>
      <c r="AP109" s="21">
        <f t="shared" si="242"/>
        <v>0</v>
      </c>
      <c r="AQ109" s="21">
        <f t="shared" si="242"/>
        <v>0</v>
      </c>
      <c r="AR109" s="21">
        <f t="shared" si="242"/>
        <v>0</v>
      </c>
      <c r="AS109" s="21">
        <f t="shared" si="242"/>
        <v>0</v>
      </c>
      <c r="AT109" s="21">
        <f t="shared" si="242"/>
        <v>0</v>
      </c>
      <c r="AU109" s="21">
        <f t="shared" si="242"/>
        <v>0</v>
      </c>
      <c r="AV109" s="21">
        <f t="shared" si="242"/>
        <v>0</v>
      </c>
      <c r="AW109" s="21">
        <f t="shared" si="242"/>
        <v>0</v>
      </c>
      <c r="AX109" s="21">
        <f t="shared" si="242"/>
        <v>0</v>
      </c>
      <c r="AY109" s="21">
        <f t="shared" si="242"/>
        <v>0</v>
      </c>
      <c r="AZ109" s="21">
        <f t="shared" si="242"/>
        <v>0</v>
      </c>
      <c r="BA109" s="21">
        <f t="shared" si="242"/>
        <v>0</v>
      </c>
      <c r="BB109" s="21">
        <f t="shared" si="242"/>
        <v>0</v>
      </c>
      <c r="BC109" s="21">
        <f t="shared" si="242"/>
        <v>0</v>
      </c>
      <c r="BD109" s="21">
        <f t="shared" si="242"/>
        <v>0</v>
      </c>
      <c r="BE109" s="21">
        <f t="shared" si="242"/>
        <v>0</v>
      </c>
      <c r="BF109" s="21">
        <f t="shared" si="242"/>
        <v>0</v>
      </c>
      <c r="BG109" s="21">
        <f t="shared" si="242"/>
        <v>0</v>
      </c>
      <c r="BH109" s="21">
        <f t="shared" si="242"/>
        <v>0</v>
      </c>
      <c r="BI109" s="21">
        <f t="shared" si="242"/>
        <v>0</v>
      </c>
      <c r="BJ109" s="21">
        <f t="shared" si="242"/>
        <v>0</v>
      </c>
      <c r="BK109" s="21">
        <f t="shared" si="242"/>
        <v>0</v>
      </c>
      <c r="BL109" s="21">
        <f t="shared" si="242"/>
        <v>0</v>
      </c>
      <c r="BM109" s="21">
        <f t="shared" si="242"/>
        <v>0</v>
      </c>
      <c r="BN109" s="21">
        <f t="shared" si="242"/>
        <v>0</v>
      </c>
    </row>
    <row r="110" spans="1:66" x14ac:dyDescent="0.25">
      <c r="C110" s="419" t="s">
        <v>63</v>
      </c>
      <c r="D110" s="5"/>
      <c r="E110" s="5">
        <f t="shared" ref="E110:AJ110" si="243">D124-E124</f>
        <v>0</v>
      </c>
      <c r="F110" s="21">
        <f t="shared" si="243"/>
        <v>0</v>
      </c>
      <c r="G110" s="21">
        <f t="shared" si="243"/>
        <v>0</v>
      </c>
      <c r="H110" s="21">
        <f t="shared" si="243"/>
        <v>0</v>
      </c>
      <c r="I110" s="21">
        <f t="shared" si="243"/>
        <v>0</v>
      </c>
      <c r="J110" s="21">
        <f t="shared" si="243"/>
        <v>0</v>
      </c>
      <c r="K110" s="21">
        <f t="shared" si="243"/>
        <v>0</v>
      </c>
      <c r="L110" s="21">
        <f t="shared" si="243"/>
        <v>0</v>
      </c>
      <c r="M110" s="21">
        <f t="shared" si="243"/>
        <v>0</v>
      </c>
      <c r="N110" s="21">
        <f t="shared" si="243"/>
        <v>0</v>
      </c>
      <c r="O110" s="21">
        <f t="shared" si="243"/>
        <v>0</v>
      </c>
      <c r="P110" s="21">
        <f t="shared" si="243"/>
        <v>0</v>
      </c>
      <c r="Q110" s="21">
        <f t="shared" si="243"/>
        <v>0</v>
      </c>
      <c r="R110" s="21">
        <f t="shared" si="243"/>
        <v>0</v>
      </c>
      <c r="S110" s="21">
        <f t="shared" si="243"/>
        <v>0</v>
      </c>
      <c r="T110" s="21">
        <f t="shared" si="243"/>
        <v>0</v>
      </c>
      <c r="U110" s="21">
        <f t="shared" si="243"/>
        <v>0</v>
      </c>
      <c r="V110" s="21">
        <f t="shared" si="243"/>
        <v>0</v>
      </c>
      <c r="W110" s="21">
        <f t="shared" si="243"/>
        <v>0</v>
      </c>
      <c r="X110" s="21">
        <f t="shared" si="243"/>
        <v>0</v>
      </c>
      <c r="Y110" s="21">
        <f t="shared" si="243"/>
        <v>0</v>
      </c>
      <c r="Z110" s="21">
        <f t="shared" si="243"/>
        <v>0</v>
      </c>
      <c r="AA110" s="21">
        <f t="shared" si="243"/>
        <v>0</v>
      </c>
      <c r="AB110" s="21">
        <f t="shared" si="243"/>
        <v>0</v>
      </c>
      <c r="AC110" s="21">
        <f t="shared" si="243"/>
        <v>0</v>
      </c>
      <c r="AD110" s="21">
        <f t="shared" si="243"/>
        <v>0</v>
      </c>
      <c r="AE110" s="21">
        <f t="shared" si="243"/>
        <v>0</v>
      </c>
      <c r="AF110" s="21">
        <f t="shared" si="243"/>
        <v>0</v>
      </c>
      <c r="AG110" s="21">
        <f t="shared" si="243"/>
        <v>0</v>
      </c>
      <c r="AH110" s="21">
        <f t="shared" si="243"/>
        <v>0</v>
      </c>
      <c r="AI110" s="21">
        <f t="shared" si="243"/>
        <v>0</v>
      </c>
      <c r="AJ110" s="21">
        <f t="shared" si="243"/>
        <v>0</v>
      </c>
      <c r="AK110" s="21">
        <f t="shared" ref="AK110:BN110" si="244">AJ124-AK124</f>
        <v>0</v>
      </c>
      <c r="AL110" s="21">
        <f t="shared" si="244"/>
        <v>0</v>
      </c>
      <c r="AM110" s="21">
        <f t="shared" si="244"/>
        <v>0</v>
      </c>
      <c r="AN110" s="21">
        <f t="shared" si="244"/>
        <v>0</v>
      </c>
      <c r="AO110" s="21">
        <f t="shared" si="244"/>
        <v>0</v>
      </c>
      <c r="AP110" s="21">
        <f t="shared" si="244"/>
        <v>0</v>
      </c>
      <c r="AQ110" s="21">
        <f t="shared" si="244"/>
        <v>0</v>
      </c>
      <c r="AR110" s="21">
        <f t="shared" si="244"/>
        <v>0</v>
      </c>
      <c r="AS110" s="21">
        <f t="shared" si="244"/>
        <v>0</v>
      </c>
      <c r="AT110" s="21">
        <f t="shared" si="244"/>
        <v>0</v>
      </c>
      <c r="AU110" s="21">
        <f t="shared" si="244"/>
        <v>0</v>
      </c>
      <c r="AV110" s="21">
        <f t="shared" si="244"/>
        <v>0</v>
      </c>
      <c r="AW110" s="21">
        <f t="shared" si="244"/>
        <v>0</v>
      </c>
      <c r="AX110" s="21">
        <f t="shared" si="244"/>
        <v>0</v>
      </c>
      <c r="AY110" s="21">
        <f t="shared" si="244"/>
        <v>0</v>
      </c>
      <c r="AZ110" s="21">
        <f t="shared" si="244"/>
        <v>0</v>
      </c>
      <c r="BA110" s="21">
        <f t="shared" si="244"/>
        <v>0</v>
      </c>
      <c r="BB110" s="21">
        <f t="shared" si="244"/>
        <v>0</v>
      </c>
      <c r="BC110" s="21">
        <f t="shared" si="244"/>
        <v>0</v>
      </c>
      <c r="BD110" s="21">
        <f t="shared" si="244"/>
        <v>0</v>
      </c>
      <c r="BE110" s="21">
        <f t="shared" si="244"/>
        <v>0</v>
      </c>
      <c r="BF110" s="21">
        <f t="shared" si="244"/>
        <v>0</v>
      </c>
      <c r="BG110" s="21">
        <f t="shared" si="244"/>
        <v>0</v>
      </c>
      <c r="BH110" s="21">
        <f t="shared" si="244"/>
        <v>0</v>
      </c>
      <c r="BI110" s="21">
        <f t="shared" si="244"/>
        <v>0</v>
      </c>
      <c r="BJ110" s="21">
        <f t="shared" si="244"/>
        <v>0</v>
      </c>
      <c r="BK110" s="21">
        <f t="shared" si="244"/>
        <v>0</v>
      </c>
      <c r="BL110" s="21">
        <f t="shared" si="244"/>
        <v>0</v>
      </c>
      <c r="BM110" s="21">
        <f t="shared" si="244"/>
        <v>0</v>
      </c>
      <c r="BN110" s="21">
        <f t="shared" si="244"/>
        <v>0</v>
      </c>
    </row>
    <row r="111" spans="1:66" x14ac:dyDescent="0.25">
      <c r="C111" s="421" t="s">
        <v>64</v>
      </c>
      <c r="D111" s="5"/>
      <c r="E111" s="5">
        <f t="shared" ref="E111:AJ111" si="245">D125-E125</f>
        <v>0</v>
      </c>
      <c r="F111" s="21">
        <f t="shared" si="245"/>
        <v>0</v>
      </c>
      <c r="G111" s="21">
        <f t="shared" si="245"/>
        <v>0</v>
      </c>
      <c r="H111" s="21">
        <f t="shared" si="245"/>
        <v>0</v>
      </c>
      <c r="I111" s="21">
        <f t="shared" si="245"/>
        <v>0</v>
      </c>
      <c r="J111" s="21">
        <f t="shared" si="245"/>
        <v>0</v>
      </c>
      <c r="K111" s="21">
        <f t="shared" si="245"/>
        <v>0</v>
      </c>
      <c r="L111" s="21">
        <f t="shared" si="245"/>
        <v>0</v>
      </c>
      <c r="M111" s="21">
        <f t="shared" si="245"/>
        <v>0</v>
      </c>
      <c r="N111" s="21">
        <f t="shared" si="245"/>
        <v>0</v>
      </c>
      <c r="O111" s="21">
        <f t="shared" si="245"/>
        <v>0</v>
      </c>
      <c r="P111" s="21">
        <f t="shared" si="245"/>
        <v>0</v>
      </c>
      <c r="Q111" s="21">
        <f t="shared" si="245"/>
        <v>0</v>
      </c>
      <c r="R111" s="21">
        <f t="shared" si="245"/>
        <v>0</v>
      </c>
      <c r="S111" s="21">
        <f t="shared" si="245"/>
        <v>0</v>
      </c>
      <c r="T111" s="21">
        <f t="shared" si="245"/>
        <v>0</v>
      </c>
      <c r="U111" s="21">
        <f t="shared" si="245"/>
        <v>0</v>
      </c>
      <c r="V111" s="21">
        <f t="shared" si="245"/>
        <v>0</v>
      </c>
      <c r="W111" s="21">
        <f t="shared" si="245"/>
        <v>0</v>
      </c>
      <c r="X111" s="21">
        <f t="shared" si="245"/>
        <v>0</v>
      </c>
      <c r="Y111" s="21">
        <f t="shared" si="245"/>
        <v>0</v>
      </c>
      <c r="Z111" s="21">
        <f t="shared" si="245"/>
        <v>0</v>
      </c>
      <c r="AA111" s="21">
        <f t="shared" si="245"/>
        <v>0</v>
      </c>
      <c r="AB111" s="21">
        <f t="shared" si="245"/>
        <v>0</v>
      </c>
      <c r="AC111" s="21">
        <f t="shared" si="245"/>
        <v>0</v>
      </c>
      <c r="AD111" s="21">
        <f t="shared" si="245"/>
        <v>0</v>
      </c>
      <c r="AE111" s="21">
        <f t="shared" si="245"/>
        <v>0</v>
      </c>
      <c r="AF111" s="21">
        <f t="shared" si="245"/>
        <v>0</v>
      </c>
      <c r="AG111" s="21">
        <f t="shared" si="245"/>
        <v>0</v>
      </c>
      <c r="AH111" s="21">
        <f t="shared" si="245"/>
        <v>0</v>
      </c>
      <c r="AI111" s="21">
        <f t="shared" si="245"/>
        <v>0</v>
      </c>
      <c r="AJ111" s="21">
        <f t="shared" si="245"/>
        <v>0</v>
      </c>
      <c r="AK111" s="21">
        <f t="shared" ref="AK111:BN111" si="246">AJ125-AK125</f>
        <v>0</v>
      </c>
      <c r="AL111" s="21">
        <f t="shared" si="246"/>
        <v>0</v>
      </c>
      <c r="AM111" s="21">
        <f t="shared" si="246"/>
        <v>0</v>
      </c>
      <c r="AN111" s="21">
        <f t="shared" si="246"/>
        <v>0</v>
      </c>
      <c r="AO111" s="21">
        <f t="shared" si="246"/>
        <v>0</v>
      </c>
      <c r="AP111" s="21">
        <f t="shared" si="246"/>
        <v>0</v>
      </c>
      <c r="AQ111" s="21">
        <f t="shared" si="246"/>
        <v>0</v>
      </c>
      <c r="AR111" s="21">
        <f t="shared" si="246"/>
        <v>0</v>
      </c>
      <c r="AS111" s="21">
        <f t="shared" si="246"/>
        <v>0</v>
      </c>
      <c r="AT111" s="21">
        <f t="shared" si="246"/>
        <v>0</v>
      </c>
      <c r="AU111" s="21">
        <f t="shared" si="246"/>
        <v>0</v>
      </c>
      <c r="AV111" s="21">
        <f t="shared" si="246"/>
        <v>0</v>
      </c>
      <c r="AW111" s="21">
        <f t="shared" si="246"/>
        <v>0</v>
      </c>
      <c r="AX111" s="21">
        <f t="shared" si="246"/>
        <v>0</v>
      </c>
      <c r="AY111" s="21">
        <f t="shared" si="246"/>
        <v>0</v>
      </c>
      <c r="AZ111" s="21">
        <f t="shared" si="246"/>
        <v>0</v>
      </c>
      <c r="BA111" s="21">
        <f t="shared" si="246"/>
        <v>0</v>
      </c>
      <c r="BB111" s="21">
        <f t="shared" si="246"/>
        <v>0</v>
      </c>
      <c r="BC111" s="21">
        <f t="shared" si="246"/>
        <v>0</v>
      </c>
      <c r="BD111" s="21">
        <f t="shared" si="246"/>
        <v>0</v>
      </c>
      <c r="BE111" s="21">
        <f t="shared" si="246"/>
        <v>0</v>
      </c>
      <c r="BF111" s="21">
        <f t="shared" si="246"/>
        <v>0</v>
      </c>
      <c r="BG111" s="21">
        <f t="shared" si="246"/>
        <v>0</v>
      </c>
      <c r="BH111" s="21">
        <f t="shared" si="246"/>
        <v>0</v>
      </c>
      <c r="BI111" s="21">
        <f t="shared" si="246"/>
        <v>0</v>
      </c>
      <c r="BJ111" s="21">
        <f t="shared" si="246"/>
        <v>0</v>
      </c>
      <c r="BK111" s="21">
        <f t="shared" si="246"/>
        <v>0</v>
      </c>
      <c r="BL111" s="21">
        <f t="shared" si="246"/>
        <v>0</v>
      </c>
      <c r="BM111" s="21">
        <f t="shared" si="246"/>
        <v>0</v>
      </c>
      <c r="BN111" s="21">
        <f t="shared" si="246"/>
        <v>0</v>
      </c>
    </row>
    <row r="112" spans="1:66" x14ac:dyDescent="0.25">
      <c r="C112" s="421" t="s">
        <v>65</v>
      </c>
      <c r="D112" s="5"/>
      <c r="E112" s="5">
        <f t="shared" ref="E112:AJ112" si="247">D126-E126</f>
        <v>0</v>
      </c>
      <c r="F112" s="21">
        <f t="shared" si="247"/>
        <v>0</v>
      </c>
      <c r="G112" s="21">
        <f t="shared" si="247"/>
        <v>0</v>
      </c>
      <c r="H112" s="21">
        <f t="shared" si="247"/>
        <v>0</v>
      </c>
      <c r="I112" s="21">
        <f t="shared" si="247"/>
        <v>0</v>
      </c>
      <c r="J112" s="21">
        <f t="shared" si="247"/>
        <v>0</v>
      </c>
      <c r="K112" s="21">
        <f t="shared" si="247"/>
        <v>0</v>
      </c>
      <c r="L112" s="21">
        <f t="shared" si="247"/>
        <v>0</v>
      </c>
      <c r="M112" s="21">
        <f t="shared" si="247"/>
        <v>0</v>
      </c>
      <c r="N112" s="21">
        <f t="shared" si="247"/>
        <v>0</v>
      </c>
      <c r="O112" s="21">
        <f t="shared" si="247"/>
        <v>0</v>
      </c>
      <c r="P112" s="21">
        <f t="shared" si="247"/>
        <v>0</v>
      </c>
      <c r="Q112" s="21">
        <f t="shared" si="247"/>
        <v>0</v>
      </c>
      <c r="R112" s="21">
        <f t="shared" si="247"/>
        <v>0</v>
      </c>
      <c r="S112" s="21">
        <f t="shared" si="247"/>
        <v>0</v>
      </c>
      <c r="T112" s="21">
        <f t="shared" si="247"/>
        <v>0</v>
      </c>
      <c r="U112" s="21">
        <f t="shared" si="247"/>
        <v>0</v>
      </c>
      <c r="V112" s="21">
        <f t="shared" si="247"/>
        <v>0</v>
      </c>
      <c r="W112" s="21">
        <f t="shared" si="247"/>
        <v>0</v>
      </c>
      <c r="X112" s="21">
        <f t="shared" si="247"/>
        <v>0</v>
      </c>
      <c r="Y112" s="21">
        <f t="shared" si="247"/>
        <v>0</v>
      </c>
      <c r="Z112" s="21">
        <f t="shared" si="247"/>
        <v>0</v>
      </c>
      <c r="AA112" s="21">
        <f t="shared" si="247"/>
        <v>0</v>
      </c>
      <c r="AB112" s="21">
        <f t="shared" si="247"/>
        <v>0</v>
      </c>
      <c r="AC112" s="21">
        <f t="shared" si="247"/>
        <v>0</v>
      </c>
      <c r="AD112" s="21">
        <f t="shared" si="247"/>
        <v>0</v>
      </c>
      <c r="AE112" s="21">
        <f t="shared" si="247"/>
        <v>0</v>
      </c>
      <c r="AF112" s="21">
        <f t="shared" si="247"/>
        <v>0</v>
      </c>
      <c r="AG112" s="21">
        <f t="shared" si="247"/>
        <v>0</v>
      </c>
      <c r="AH112" s="21">
        <f t="shared" si="247"/>
        <v>0</v>
      </c>
      <c r="AI112" s="21">
        <f t="shared" si="247"/>
        <v>0</v>
      </c>
      <c r="AJ112" s="21">
        <f t="shared" si="247"/>
        <v>0</v>
      </c>
      <c r="AK112" s="21">
        <f t="shared" ref="AK112:BN112" si="248">AJ126-AK126</f>
        <v>0</v>
      </c>
      <c r="AL112" s="21">
        <f t="shared" si="248"/>
        <v>0</v>
      </c>
      <c r="AM112" s="21">
        <f t="shared" si="248"/>
        <v>0</v>
      </c>
      <c r="AN112" s="21">
        <f t="shared" si="248"/>
        <v>0</v>
      </c>
      <c r="AO112" s="21">
        <f t="shared" si="248"/>
        <v>0</v>
      </c>
      <c r="AP112" s="21">
        <f t="shared" si="248"/>
        <v>0</v>
      </c>
      <c r="AQ112" s="21">
        <f t="shared" si="248"/>
        <v>0</v>
      </c>
      <c r="AR112" s="21">
        <f t="shared" si="248"/>
        <v>0</v>
      </c>
      <c r="AS112" s="21">
        <f t="shared" si="248"/>
        <v>0</v>
      </c>
      <c r="AT112" s="21">
        <f t="shared" si="248"/>
        <v>0</v>
      </c>
      <c r="AU112" s="21">
        <f t="shared" si="248"/>
        <v>0</v>
      </c>
      <c r="AV112" s="21">
        <f t="shared" si="248"/>
        <v>0</v>
      </c>
      <c r="AW112" s="21">
        <f t="shared" si="248"/>
        <v>0</v>
      </c>
      <c r="AX112" s="21">
        <f t="shared" si="248"/>
        <v>0</v>
      </c>
      <c r="AY112" s="21">
        <f t="shared" si="248"/>
        <v>0</v>
      </c>
      <c r="AZ112" s="21">
        <f t="shared" si="248"/>
        <v>0</v>
      </c>
      <c r="BA112" s="21">
        <f t="shared" si="248"/>
        <v>0</v>
      </c>
      <c r="BB112" s="21">
        <f t="shared" si="248"/>
        <v>0</v>
      </c>
      <c r="BC112" s="21">
        <f t="shared" si="248"/>
        <v>0</v>
      </c>
      <c r="BD112" s="21">
        <f t="shared" si="248"/>
        <v>0</v>
      </c>
      <c r="BE112" s="21">
        <f t="shared" si="248"/>
        <v>0</v>
      </c>
      <c r="BF112" s="21">
        <f t="shared" si="248"/>
        <v>0</v>
      </c>
      <c r="BG112" s="21">
        <f t="shared" si="248"/>
        <v>0</v>
      </c>
      <c r="BH112" s="21">
        <f t="shared" si="248"/>
        <v>0</v>
      </c>
      <c r="BI112" s="21">
        <f t="shared" si="248"/>
        <v>0</v>
      </c>
      <c r="BJ112" s="21">
        <f t="shared" si="248"/>
        <v>0</v>
      </c>
      <c r="BK112" s="21">
        <f t="shared" si="248"/>
        <v>0</v>
      </c>
      <c r="BL112" s="21">
        <f t="shared" si="248"/>
        <v>0</v>
      </c>
      <c r="BM112" s="21">
        <f t="shared" si="248"/>
        <v>0</v>
      </c>
      <c r="BN112" s="21">
        <f t="shared" si="248"/>
        <v>0</v>
      </c>
    </row>
    <row r="113" spans="3:66" x14ac:dyDescent="0.25">
      <c r="C113" s="410" t="s">
        <v>66</v>
      </c>
      <c r="D113" s="410"/>
      <c r="E113" s="410">
        <f>SUM(E104:E112)</f>
        <v>0</v>
      </c>
      <c r="F113" s="15">
        <f>SUM(F104:F112)</f>
        <v>0</v>
      </c>
      <c r="G113" s="15">
        <f t="shared" ref="G113:BN113" si="249">SUM(G104:G112)</f>
        <v>0</v>
      </c>
      <c r="H113" s="15">
        <f t="shared" si="249"/>
        <v>0</v>
      </c>
      <c r="I113" s="15">
        <f t="shared" si="249"/>
        <v>0</v>
      </c>
      <c r="J113" s="15">
        <f t="shared" si="249"/>
        <v>0</v>
      </c>
      <c r="K113" s="15">
        <f t="shared" si="249"/>
        <v>0</v>
      </c>
      <c r="L113" s="15">
        <f t="shared" si="249"/>
        <v>0</v>
      </c>
      <c r="M113" s="15">
        <f t="shared" si="249"/>
        <v>0</v>
      </c>
      <c r="N113" s="15">
        <f t="shared" si="249"/>
        <v>0</v>
      </c>
      <c r="O113" s="15">
        <f t="shared" si="249"/>
        <v>0</v>
      </c>
      <c r="P113" s="15">
        <f t="shared" si="249"/>
        <v>0</v>
      </c>
      <c r="Q113" s="15">
        <f t="shared" si="249"/>
        <v>0</v>
      </c>
      <c r="R113" s="15">
        <f t="shared" si="249"/>
        <v>0</v>
      </c>
      <c r="S113" s="15">
        <f t="shared" si="249"/>
        <v>0</v>
      </c>
      <c r="T113" s="15">
        <f t="shared" si="249"/>
        <v>0</v>
      </c>
      <c r="U113" s="15">
        <f t="shared" si="249"/>
        <v>0</v>
      </c>
      <c r="V113" s="15">
        <f t="shared" si="249"/>
        <v>0</v>
      </c>
      <c r="W113" s="15">
        <f t="shared" si="249"/>
        <v>0</v>
      </c>
      <c r="X113" s="15">
        <f t="shared" si="249"/>
        <v>0</v>
      </c>
      <c r="Y113" s="15">
        <f t="shared" si="249"/>
        <v>0</v>
      </c>
      <c r="Z113" s="15">
        <f t="shared" si="249"/>
        <v>0</v>
      </c>
      <c r="AA113" s="15">
        <f t="shared" si="249"/>
        <v>0</v>
      </c>
      <c r="AB113" s="15">
        <f t="shared" si="249"/>
        <v>0</v>
      </c>
      <c r="AC113" s="15">
        <f t="shared" si="249"/>
        <v>0</v>
      </c>
      <c r="AD113" s="15">
        <f t="shared" si="249"/>
        <v>0</v>
      </c>
      <c r="AE113" s="15">
        <f t="shared" si="249"/>
        <v>0</v>
      </c>
      <c r="AF113" s="15">
        <f t="shared" si="249"/>
        <v>0</v>
      </c>
      <c r="AG113" s="15">
        <f t="shared" si="249"/>
        <v>0</v>
      </c>
      <c r="AH113" s="15">
        <f t="shared" si="249"/>
        <v>0</v>
      </c>
      <c r="AI113" s="15">
        <f t="shared" si="249"/>
        <v>0</v>
      </c>
      <c r="AJ113" s="15">
        <f t="shared" si="249"/>
        <v>0</v>
      </c>
      <c r="AK113" s="15">
        <f t="shared" si="249"/>
        <v>0</v>
      </c>
      <c r="AL113" s="15">
        <f t="shared" si="249"/>
        <v>0</v>
      </c>
      <c r="AM113" s="15">
        <f t="shared" si="249"/>
        <v>0</v>
      </c>
      <c r="AN113" s="15">
        <f t="shared" si="249"/>
        <v>0</v>
      </c>
      <c r="AO113" s="15">
        <f t="shared" si="249"/>
        <v>0</v>
      </c>
      <c r="AP113" s="15">
        <f t="shared" si="249"/>
        <v>0</v>
      </c>
      <c r="AQ113" s="15">
        <f t="shared" si="249"/>
        <v>0</v>
      </c>
      <c r="AR113" s="15">
        <f t="shared" si="249"/>
        <v>0</v>
      </c>
      <c r="AS113" s="15">
        <f t="shared" si="249"/>
        <v>0</v>
      </c>
      <c r="AT113" s="15">
        <f t="shared" si="249"/>
        <v>0</v>
      </c>
      <c r="AU113" s="15">
        <f t="shared" si="249"/>
        <v>0</v>
      </c>
      <c r="AV113" s="15">
        <f t="shared" si="249"/>
        <v>0</v>
      </c>
      <c r="AW113" s="15">
        <f t="shared" si="249"/>
        <v>0</v>
      </c>
      <c r="AX113" s="15">
        <f t="shared" si="249"/>
        <v>0</v>
      </c>
      <c r="AY113" s="15">
        <f t="shared" si="249"/>
        <v>0</v>
      </c>
      <c r="AZ113" s="15">
        <f t="shared" si="249"/>
        <v>0</v>
      </c>
      <c r="BA113" s="15">
        <f t="shared" si="249"/>
        <v>0</v>
      </c>
      <c r="BB113" s="15">
        <f t="shared" si="249"/>
        <v>0</v>
      </c>
      <c r="BC113" s="15">
        <f t="shared" si="249"/>
        <v>0</v>
      </c>
      <c r="BD113" s="15">
        <f t="shared" si="249"/>
        <v>0</v>
      </c>
      <c r="BE113" s="15">
        <f t="shared" si="249"/>
        <v>0</v>
      </c>
      <c r="BF113" s="15">
        <f t="shared" si="249"/>
        <v>0</v>
      </c>
      <c r="BG113" s="15">
        <f t="shared" si="249"/>
        <v>0</v>
      </c>
      <c r="BH113" s="15">
        <f t="shared" si="249"/>
        <v>0</v>
      </c>
      <c r="BI113" s="15">
        <f t="shared" si="249"/>
        <v>0</v>
      </c>
      <c r="BJ113" s="15">
        <f t="shared" si="249"/>
        <v>0</v>
      </c>
      <c r="BK113" s="15">
        <f t="shared" si="249"/>
        <v>0</v>
      </c>
      <c r="BL113" s="15">
        <f t="shared" si="249"/>
        <v>0</v>
      </c>
      <c r="BM113" s="15">
        <f t="shared" si="249"/>
        <v>0</v>
      </c>
      <c r="BN113" s="15">
        <f t="shared" si="249"/>
        <v>0</v>
      </c>
    </row>
    <row r="116" spans="3:66" x14ac:dyDescent="0.25">
      <c r="C116" s="406" t="str">
        <f>"NWK - "&amp;Historiek!$A$2</f>
        <v>NWK - Dossier</v>
      </c>
      <c r="D116" s="407"/>
      <c r="E116" s="407"/>
      <c r="F116" s="13"/>
      <c r="G116" s="407"/>
      <c r="H116" s="407"/>
      <c r="I116" s="407"/>
    </row>
    <row r="117" spans="3:66" x14ac:dyDescent="0.25">
      <c r="C117" s="738" t="str">
        <f>C$6</f>
        <v>k€</v>
      </c>
      <c r="D117" s="742" t="str">
        <f t="shared" ref="D117:BN117" si="250">D$6</f>
        <v>Dec'21</v>
      </c>
      <c r="E117" s="742" t="str">
        <f t="shared" si="250"/>
        <v>Dec'22</v>
      </c>
      <c r="F117" s="740" t="str">
        <f>F$6</f>
        <v>Dec'23</v>
      </c>
      <c r="G117" s="741" t="str">
        <f t="shared" si="250"/>
        <v>Jan'24</v>
      </c>
      <c r="H117" s="741" t="str">
        <f t="shared" si="250"/>
        <v>Feb'24</v>
      </c>
      <c r="I117" s="741" t="str">
        <f t="shared" si="250"/>
        <v>Mrt'24</v>
      </c>
      <c r="J117" s="741" t="str">
        <f t="shared" si="250"/>
        <v>Apr'24</v>
      </c>
      <c r="K117" s="741" t="str">
        <f t="shared" si="250"/>
        <v>Mei'24</v>
      </c>
      <c r="L117" s="741" t="str">
        <f t="shared" si="250"/>
        <v>Jun'24</v>
      </c>
      <c r="M117" s="741" t="str">
        <f t="shared" si="250"/>
        <v>Jul'24</v>
      </c>
      <c r="N117" s="741" t="str">
        <f t="shared" si="250"/>
        <v>Aug'24</v>
      </c>
      <c r="O117" s="741" t="str">
        <f t="shared" si="250"/>
        <v>Sep'24</v>
      </c>
      <c r="P117" s="741" t="str">
        <f t="shared" si="250"/>
        <v>Okt'24</v>
      </c>
      <c r="Q117" s="741" t="str">
        <f t="shared" si="250"/>
        <v>Nov'24</v>
      </c>
      <c r="R117" s="741" t="str">
        <f t="shared" si="250"/>
        <v>Dec'24</v>
      </c>
      <c r="S117" s="741" t="str">
        <f t="shared" si="250"/>
        <v>Jan'25</v>
      </c>
      <c r="T117" s="741" t="str">
        <f t="shared" si="250"/>
        <v>Feb'25</v>
      </c>
      <c r="U117" s="741" t="str">
        <f t="shared" si="250"/>
        <v>Mrt'25</v>
      </c>
      <c r="V117" s="741" t="str">
        <f t="shared" si="250"/>
        <v>Apr'25</v>
      </c>
      <c r="W117" s="741" t="str">
        <f t="shared" si="250"/>
        <v>Mei'25</v>
      </c>
      <c r="X117" s="741" t="str">
        <f t="shared" si="250"/>
        <v>Jun'25</v>
      </c>
      <c r="Y117" s="741" t="str">
        <f t="shared" si="250"/>
        <v>Jul'25</v>
      </c>
      <c r="Z117" s="741" t="str">
        <f t="shared" si="250"/>
        <v>Aug'25</v>
      </c>
      <c r="AA117" s="741" t="str">
        <f t="shared" si="250"/>
        <v>Sep'25</v>
      </c>
      <c r="AB117" s="741" t="str">
        <f t="shared" si="250"/>
        <v>Okt'25</v>
      </c>
      <c r="AC117" s="741" t="str">
        <f t="shared" si="250"/>
        <v>Nov'25</v>
      </c>
      <c r="AD117" s="741" t="str">
        <f t="shared" si="250"/>
        <v>Dec'25</v>
      </c>
      <c r="AE117" s="741" t="str">
        <f t="shared" si="250"/>
        <v>Jan'26</v>
      </c>
      <c r="AF117" s="741" t="str">
        <f t="shared" si="250"/>
        <v>Feb'26</v>
      </c>
      <c r="AG117" s="741" t="str">
        <f t="shared" si="250"/>
        <v>Mrt'26</v>
      </c>
      <c r="AH117" s="741" t="str">
        <f t="shared" si="250"/>
        <v>Apr'26</v>
      </c>
      <c r="AI117" s="741" t="str">
        <f t="shared" si="250"/>
        <v>Mei'26</v>
      </c>
      <c r="AJ117" s="741" t="str">
        <f t="shared" si="250"/>
        <v>Jun'26</v>
      </c>
      <c r="AK117" s="741" t="str">
        <f t="shared" si="250"/>
        <v>Jul'26</v>
      </c>
      <c r="AL117" s="741" t="str">
        <f t="shared" si="250"/>
        <v>Aug'26</v>
      </c>
      <c r="AM117" s="741" t="str">
        <f t="shared" si="250"/>
        <v>Sep'26</v>
      </c>
      <c r="AN117" s="741" t="str">
        <f t="shared" si="250"/>
        <v>Okt'26</v>
      </c>
      <c r="AO117" s="741" t="str">
        <f t="shared" si="250"/>
        <v>Nov'26</v>
      </c>
      <c r="AP117" s="741" t="str">
        <f t="shared" si="250"/>
        <v>Dec'26</v>
      </c>
      <c r="AQ117" s="741" t="str">
        <f t="shared" si="250"/>
        <v>Jan'27</v>
      </c>
      <c r="AR117" s="741" t="str">
        <f t="shared" si="250"/>
        <v>Feb'27</v>
      </c>
      <c r="AS117" s="741" t="str">
        <f t="shared" si="250"/>
        <v>Mrt'27</v>
      </c>
      <c r="AT117" s="741" t="str">
        <f t="shared" si="250"/>
        <v>Apr'27</v>
      </c>
      <c r="AU117" s="741" t="str">
        <f t="shared" si="250"/>
        <v>Mei'27</v>
      </c>
      <c r="AV117" s="741" t="str">
        <f t="shared" si="250"/>
        <v>Jun'27</v>
      </c>
      <c r="AW117" s="741" t="str">
        <f t="shared" si="250"/>
        <v>Jul'27</v>
      </c>
      <c r="AX117" s="741" t="str">
        <f t="shared" si="250"/>
        <v>Aug'27</v>
      </c>
      <c r="AY117" s="741" t="str">
        <f t="shared" si="250"/>
        <v>Sep'27</v>
      </c>
      <c r="AZ117" s="741" t="str">
        <f t="shared" si="250"/>
        <v>Okt'27</v>
      </c>
      <c r="BA117" s="741" t="str">
        <f t="shared" si="250"/>
        <v>Nov'27</v>
      </c>
      <c r="BB117" s="741" t="str">
        <f t="shared" si="250"/>
        <v>Dec'27</v>
      </c>
      <c r="BC117" s="741" t="str">
        <f t="shared" si="250"/>
        <v>Jan'28</v>
      </c>
      <c r="BD117" s="741" t="str">
        <f t="shared" si="250"/>
        <v>Feb'28</v>
      </c>
      <c r="BE117" s="741" t="str">
        <f t="shared" si="250"/>
        <v>Mrt'28</v>
      </c>
      <c r="BF117" s="741" t="str">
        <f t="shared" si="250"/>
        <v>Apr'28</v>
      </c>
      <c r="BG117" s="741" t="str">
        <f t="shared" si="250"/>
        <v>Mei'28</v>
      </c>
      <c r="BH117" s="741" t="str">
        <f t="shared" si="250"/>
        <v>Jun'28</v>
      </c>
      <c r="BI117" s="741" t="str">
        <f t="shared" si="250"/>
        <v>Jul'28</v>
      </c>
      <c r="BJ117" s="741" t="str">
        <f t="shared" si="250"/>
        <v>Aug'28</v>
      </c>
      <c r="BK117" s="741" t="str">
        <f t="shared" si="250"/>
        <v>Sep'28</v>
      </c>
      <c r="BL117" s="741" t="str">
        <f t="shared" si="250"/>
        <v>Okt'28</v>
      </c>
      <c r="BM117" s="741" t="str">
        <f t="shared" si="250"/>
        <v>Nov'28</v>
      </c>
      <c r="BN117" s="741" t="str">
        <f t="shared" si="250"/>
        <v>Dec'28</v>
      </c>
    </row>
    <row r="118" spans="3:66" x14ac:dyDescent="0.25">
      <c r="C118" s="418" t="s">
        <v>18</v>
      </c>
      <c r="D118" s="5">
        <f t="shared" ref="D118:AI118" si="251">D14</f>
        <v>0</v>
      </c>
      <c r="E118" s="5">
        <f t="shared" si="251"/>
        <v>0</v>
      </c>
      <c r="F118" s="21">
        <f t="shared" si="251"/>
        <v>0</v>
      </c>
      <c r="G118" s="5">
        <f t="shared" si="251"/>
        <v>0</v>
      </c>
      <c r="H118" s="5">
        <f t="shared" si="251"/>
        <v>0</v>
      </c>
      <c r="I118" s="5">
        <f t="shared" si="251"/>
        <v>0</v>
      </c>
      <c r="J118" s="5">
        <f t="shared" si="251"/>
        <v>0</v>
      </c>
      <c r="K118" s="5">
        <f t="shared" si="251"/>
        <v>0</v>
      </c>
      <c r="L118" s="5">
        <f t="shared" si="251"/>
        <v>0</v>
      </c>
      <c r="M118" s="5">
        <f t="shared" si="251"/>
        <v>0</v>
      </c>
      <c r="N118" s="5">
        <f t="shared" si="251"/>
        <v>0</v>
      </c>
      <c r="O118" s="5">
        <f t="shared" si="251"/>
        <v>0</v>
      </c>
      <c r="P118" s="5">
        <f t="shared" si="251"/>
        <v>0</v>
      </c>
      <c r="Q118" s="5">
        <f t="shared" si="251"/>
        <v>0</v>
      </c>
      <c r="R118" s="5">
        <f t="shared" si="251"/>
        <v>0</v>
      </c>
      <c r="S118" s="5">
        <f t="shared" si="251"/>
        <v>0</v>
      </c>
      <c r="T118" s="5">
        <f t="shared" si="251"/>
        <v>0</v>
      </c>
      <c r="U118" s="5">
        <f t="shared" si="251"/>
        <v>0</v>
      </c>
      <c r="V118" s="5">
        <f t="shared" si="251"/>
        <v>0</v>
      </c>
      <c r="W118" s="5">
        <f t="shared" si="251"/>
        <v>0</v>
      </c>
      <c r="X118" s="5">
        <f t="shared" si="251"/>
        <v>0</v>
      </c>
      <c r="Y118" s="5">
        <f t="shared" si="251"/>
        <v>0</v>
      </c>
      <c r="Z118" s="5">
        <f t="shared" si="251"/>
        <v>0</v>
      </c>
      <c r="AA118" s="5">
        <f t="shared" si="251"/>
        <v>0</v>
      </c>
      <c r="AB118" s="5">
        <f t="shared" si="251"/>
        <v>0</v>
      </c>
      <c r="AC118" s="5">
        <f t="shared" si="251"/>
        <v>0</v>
      </c>
      <c r="AD118" s="5">
        <f t="shared" si="251"/>
        <v>0</v>
      </c>
      <c r="AE118" s="5">
        <f t="shared" si="251"/>
        <v>0</v>
      </c>
      <c r="AF118" s="5">
        <f t="shared" si="251"/>
        <v>0</v>
      </c>
      <c r="AG118" s="5">
        <f t="shared" si="251"/>
        <v>0</v>
      </c>
      <c r="AH118" s="5">
        <f t="shared" si="251"/>
        <v>0</v>
      </c>
      <c r="AI118" s="5">
        <f t="shared" si="251"/>
        <v>0</v>
      </c>
      <c r="AJ118" s="5">
        <f t="shared" ref="AJ118:BN118" si="252">AJ14</f>
        <v>0</v>
      </c>
      <c r="AK118" s="5">
        <f t="shared" si="252"/>
        <v>0</v>
      </c>
      <c r="AL118" s="5">
        <f t="shared" si="252"/>
        <v>0</v>
      </c>
      <c r="AM118" s="5">
        <f t="shared" si="252"/>
        <v>0</v>
      </c>
      <c r="AN118" s="5">
        <f t="shared" si="252"/>
        <v>0</v>
      </c>
      <c r="AO118" s="5">
        <f t="shared" si="252"/>
        <v>0</v>
      </c>
      <c r="AP118" s="5">
        <f t="shared" si="252"/>
        <v>0</v>
      </c>
      <c r="AQ118" s="5">
        <f t="shared" si="252"/>
        <v>0</v>
      </c>
      <c r="AR118" s="5">
        <f t="shared" si="252"/>
        <v>0</v>
      </c>
      <c r="AS118" s="5">
        <f t="shared" si="252"/>
        <v>0</v>
      </c>
      <c r="AT118" s="5">
        <f t="shared" si="252"/>
        <v>0</v>
      </c>
      <c r="AU118" s="5">
        <f t="shared" si="252"/>
        <v>0</v>
      </c>
      <c r="AV118" s="5">
        <f t="shared" si="252"/>
        <v>0</v>
      </c>
      <c r="AW118" s="5">
        <f t="shared" si="252"/>
        <v>0</v>
      </c>
      <c r="AX118" s="5">
        <f t="shared" si="252"/>
        <v>0</v>
      </c>
      <c r="AY118" s="5">
        <f t="shared" si="252"/>
        <v>0</v>
      </c>
      <c r="AZ118" s="5">
        <f t="shared" si="252"/>
        <v>0</v>
      </c>
      <c r="BA118" s="5">
        <f t="shared" si="252"/>
        <v>0</v>
      </c>
      <c r="BB118" s="5">
        <f t="shared" si="252"/>
        <v>0</v>
      </c>
      <c r="BC118" s="5">
        <f t="shared" si="252"/>
        <v>0</v>
      </c>
      <c r="BD118" s="5">
        <f t="shared" si="252"/>
        <v>0</v>
      </c>
      <c r="BE118" s="5">
        <f t="shared" si="252"/>
        <v>0</v>
      </c>
      <c r="BF118" s="5">
        <f t="shared" si="252"/>
        <v>0</v>
      </c>
      <c r="BG118" s="5">
        <f t="shared" si="252"/>
        <v>0</v>
      </c>
      <c r="BH118" s="5">
        <f t="shared" si="252"/>
        <v>0</v>
      </c>
      <c r="BI118" s="5">
        <f t="shared" si="252"/>
        <v>0</v>
      </c>
      <c r="BJ118" s="5">
        <f t="shared" si="252"/>
        <v>0</v>
      </c>
      <c r="BK118" s="5">
        <f t="shared" si="252"/>
        <v>0</v>
      </c>
      <c r="BL118" s="5">
        <f t="shared" si="252"/>
        <v>0</v>
      </c>
      <c r="BM118" s="5">
        <f t="shared" si="252"/>
        <v>0</v>
      </c>
      <c r="BN118" s="5">
        <f t="shared" si="252"/>
        <v>0</v>
      </c>
    </row>
    <row r="119" spans="3:66" x14ac:dyDescent="0.25">
      <c r="C119" s="418" t="s">
        <v>19</v>
      </c>
      <c r="D119" s="5">
        <f t="shared" ref="D119:AI119" si="253">D15</f>
        <v>0</v>
      </c>
      <c r="E119" s="5">
        <f t="shared" si="253"/>
        <v>0</v>
      </c>
      <c r="F119" s="21">
        <f t="shared" si="253"/>
        <v>0</v>
      </c>
      <c r="G119" s="5">
        <f t="shared" si="253"/>
        <v>0</v>
      </c>
      <c r="H119" s="5">
        <f t="shared" si="253"/>
        <v>0</v>
      </c>
      <c r="I119" s="5">
        <f t="shared" si="253"/>
        <v>0</v>
      </c>
      <c r="J119" s="5">
        <f t="shared" si="253"/>
        <v>0</v>
      </c>
      <c r="K119" s="5">
        <f t="shared" si="253"/>
        <v>0</v>
      </c>
      <c r="L119" s="5">
        <f t="shared" si="253"/>
        <v>0</v>
      </c>
      <c r="M119" s="5">
        <f t="shared" si="253"/>
        <v>0</v>
      </c>
      <c r="N119" s="5">
        <f t="shared" si="253"/>
        <v>0</v>
      </c>
      <c r="O119" s="5">
        <f t="shared" si="253"/>
        <v>0</v>
      </c>
      <c r="P119" s="5">
        <f t="shared" si="253"/>
        <v>0</v>
      </c>
      <c r="Q119" s="5">
        <f t="shared" si="253"/>
        <v>0</v>
      </c>
      <c r="R119" s="5">
        <f t="shared" si="253"/>
        <v>0</v>
      </c>
      <c r="S119" s="5">
        <f t="shared" si="253"/>
        <v>0</v>
      </c>
      <c r="T119" s="5">
        <f t="shared" si="253"/>
        <v>0</v>
      </c>
      <c r="U119" s="5">
        <f t="shared" si="253"/>
        <v>0</v>
      </c>
      <c r="V119" s="5">
        <f t="shared" si="253"/>
        <v>0</v>
      </c>
      <c r="W119" s="5">
        <f t="shared" si="253"/>
        <v>0</v>
      </c>
      <c r="X119" s="5">
        <f t="shared" si="253"/>
        <v>0</v>
      </c>
      <c r="Y119" s="5">
        <f t="shared" si="253"/>
        <v>0</v>
      </c>
      <c r="Z119" s="5">
        <f t="shared" si="253"/>
        <v>0</v>
      </c>
      <c r="AA119" s="5">
        <f t="shared" si="253"/>
        <v>0</v>
      </c>
      <c r="AB119" s="5">
        <f t="shared" si="253"/>
        <v>0</v>
      </c>
      <c r="AC119" s="5">
        <f t="shared" si="253"/>
        <v>0</v>
      </c>
      <c r="AD119" s="5">
        <f t="shared" si="253"/>
        <v>0</v>
      </c>
      <c r="AE119" s="5">
        <f t="shared" si="253"/>
        <v>0</v>
      </c>
      <c r="AF119" s="5">
        <f t="shared" si="253"/>
        <v>0</v>
      </c>
      <c r="AG119" s="5">
        <f t="shared" si="253"/>
        <v>0</v>
      </c>
      <c r="AH119" s="5">
        <f t="shared" si="253"/>
        <v>0</v>
      </c>
      <c r="AI119" s="5">
        <f t="shared" si="253"/>
        <v>0</v>
      </c>
      <c r="AJ119" s="5">
        <f t="shared" ref="AJ119:BN119" si="254">AJ15</f>
        <v>0</v>
      </c>
      <c r="AK119" s="5">
        <f t="shared" si="254"/>
        <v>0</v>
      </c>
      <c r="AL119" s="5">
        <f t="shared" si="254"/>
        <v>0</v>
      </c>
      <c r="AM119" s="5">
        <f t="shared" si="254"/>
        <v>0</v>
      </c>
      <c r="AN119" s="5">
        <f t="shared" si="254"/>
        <v>0</v>
      </c>
      <c r="AO119" s="5">
        <f t="shared" si="254"/>
        <v>0</v>
      </c>
      <c r="AP119" s="5">
        <f t="shared" si="254"/>
        <v>0</v>
      </c>
      <c r="AQ119" s="5">
        <f t="shared" si="254"/>
        <v>0</v>
      </c>
      <c r="AR119" s="5">
        <f t="shared" si="254"/>
        <v>0</v>
      </c>
      <c r="AS119" s="5">
        <f t="shared" si="254"/>
        <v>0</v>
      </c>
      <c r="AT119" s="5">
        <f t="shared" si="254"/>
        <v>0</v>
      </c>
      <c r="AU119" s="5">
        <f t="shared" si="254"/>
        <v>0</v>
      </c>
      <c r="AV119" s="5">
        <f t="shared" si="254"/>
        <v>0</v>
      </c>
      <c r="AW119" s="5">
        <f t="shared" si="254"/>
        <v>0</v>
      </c>
      <c r="AX119" s="5">
        <f t="shared" si="254"/>
        <v>0</v>
      </c>
      <c r="AY119" s="5">
        <f t="shared" si="254"/>
        <v>0</v>
      </c>
      <c r="AZ119" s="5">
        <f t="shared" si="254"/>
        <v>0</v>
      </c>
      <c r="BA119" s="5">
        <f t="shared" si="254"/>
        <v>0</v>
      </c>
      <c r="BB119" s="5">
        <f t="shared" si="254"/>
        <v>0</v>
      </c>
      <c r="BC119" s="5">
        <f t="shared" si="254"/>
        <v>0</v>
      </c>
      <c r="BD119" s="5">
        <f t="shared" si="254"/>
        <v>0</v>
      </c>
      <c r="BE119" s="5">
        <f t="shared" si="254"/>
        <v>0</v>
      </c>
      <c r="BF119" s="5">
        <f t="shared" si="254"/>
        <v>0</v>
      </c>
      <c r="BG119" s="5">
        <f t="shared" si="254"/>
        <v>0</v>
      </c>
      <c r="BH119" s="5">
        <f t="shared" si="254"/>
        <v>0</v>
      </c>
      <c r="BI119" s="5">
        <f t="shared" si="254"/>
        <v>0</v>
      </c>
      <c r="BJ119" s="5">
        <f t="shared" si="254"/>
        <v>0</v>
      </c>
      <c r="BK119" s="5">
        <f t="shared" si="254"/>
        <v>0</v>
      </c>
      <c r="BL119" s="5">
        <f t="shared" si="254"/>
        <v>0</v>
      </c>
      <c r="BM119" s="5">
        <f t="shared" si="254"/>
        <v>0</v>
      </c>
      <c r="BN119" s="5">
        <f t="shared" si="254"/>
        <v>0</v>
      </c>
    </row>
    <row r="120" spans="3:66" x14ac:dyDescent="0.25">
      <c r="C120" s="418" t="s">
        <v>20</v>
      </c>
      <c r="D120" s="5">
        <f t="shared" ref="D120:AI120" si="255">D16</f>
        <v>0</v>
      </c>
      <c r="E120" s="5">
        <f t="shared" si="255"/>
        <v>0</v>
      </c>
      <c r="F120" s="21">
        <f t="shared" si="255"/>
        <v>0</v>
      </c>
      <c r="G120" s="5">
        <f t="shared" si="255"/>
        <v>0</v>
      </c>
      <c r="H120" s="5">
        <f t="shared" si="255"/>
        <v>0</v>
      </c>
      <c r="I120" s="5">
        <f t="shared" si="255"/>
        <v>0</v>
      </c>
      <c r="J120" s="5">
        <f t="shared" si="255"/>
        <v>0</v>
      </c>
      <c r="K120" s="5">
        <f t="shared" si="255"/>
        <v>0</v>
      </c>
      <c r="L120" s="5">
        <f t="shared" si="255"/>
        <v>0</v>
      </c>
      <c r="M120" s="5">
        <f t="shared" si="255"/>
        <v>0</v>
      </c>
      <c r="N120" s="5">
        <f t="shared" si="255"/>
        <v>0</v>
      </c>
      <c r="O120" s="5">
        <f t="shared" si="255"/>
        <v>0</v>
      </c>
      <c r="P120" s="5">
        <f t="shared" si="255"/>
        <v>0</v>
      </c>
      <c r="Q120" s="5">
        <f t="shared" si="255"/>
        <v>0</v>
      </c>
      <c r="R120" s="5">
        <f t="shared" si="255"/>
        <v>0</v>
      </c>
      <c r="S120" s="5">
        <f t="shared" si="255"/>
        <v>0</v>
      </c>
      <c r="T120" s="5">
        <f t="shared" si="255"/>
        <v>0</v>
      </c>
      <c r="U120" s="5">
        <f t="shared" si="255"/>
        <v>0</v>
      </c>
      <c r="V120" s="5">
        <f t="shared" si="255"/>
        <v>0</v>
      </c>
      <c r="W120" s="5">
        <f t="shared" si="255"/>
        <v>0</v>
      </c>
      <c r="X120" s="5">
        <f t="shared" si="255"/>
        <v>0</v>
      </c>
      <c r="Y120" s="5">
        <f t="shared" si="255"/>
        <v>0</v>
      </c>
      <c r="Z120" s="5">
        <f t="shared" si="255"/>
        <v>0</v>
      </c>
      <c r="AA120" s="5">
        <f t="shared" si="255"/>
        <v>0</v>
      </c>
      <c r="AB120" s="5">
        <f t="shared" si="255"/>
        <v>0</v>
      </c>
      <c r="AC120" s="5">
        <f t="shared" si="255"/>
        <v>0</v>
      </c>
      <c r="AD120" s="5">
        <f t="shared" si="255"/>
        <v>0</v>
      </c>
      <c r="AE120" s="5">
        <f t="shared" si="255"/>
        <v>0</v>
      </c>
      <c r="AF120" s="5">
        <f t="shared" si="255"/>
        <v>0</v>
      </c>
      <c r="AG120" s="5">
        <f t="shared" si="255"/>
        <v>0</v>
      </c>
      <c r="AH120" s="5">
        <f t="shared" si="255"/>
        <v>0</v>
      </c>
      <c r="AI120" s="5">
        <f t="shared" si="255"/>
        <v>0</v>
      </c>
      <c r="AJ120" s="5">
        <f t="shared" ref="AJ120:BN120" si="256">AJ16</f>
        <v>0</v>
      </c>
      <c r="AK120" s="5">
        <f t="shared" si="256"/>
        <v>0</v>
      </c>
      <c r="AL120" s="5">
        <f t="shared" si="256"/>
        <v>0</v>
      </c>
      <c r="AM120" s="5">
        <f t="shared" si="256"/>
        <v>0</v>
      </c>
      <c r="AN120" s="5">
        <f t="shared" si="256"/>
        <v>0</v>
      </c>
      <c r="AO120" s="5">
        <f t="shared" si="256"/>
        <v>0</v>
      </c>
      <c r="AP120" s="5">
        <f t="shared" si="256"/>
        <v>0</v>
      </c>
      <c r="AQ120" s="5">
        <f t="shared" si="256"/>
        <v>0</v>
      </c>
      <c r="AR120" s="5">
        <f t="shared" si="256"/>
        <v>0</v>
      </c>
      <c r="AS120" s="5">
        <f t="shared" si="256"/>
        <v>0</v>
      </c>
      <c r="AT120" s="5">
        <f t="shared" si="256"/>
        <v>0</v>
      </c>
      <c r="AU120" s="5">
        <f t="shared" si="256"/>
        <v>0</v>
      </c>
      <c r="AV120" s="5">
        <f t="shared" si="256"/>
        <v>0</v>
      </c>
      <c r="AW120" s="5">
        <f t="shared" si="256"/>
        <v>0</v>
      </c>
      <c r="AX120" s="5">
        <f t="shared" si="256"/>
        <v>0</v>
      </c>
      <c r="AY120" s="5">
        <f t="shared" si="256"/>
        <v>0</v>
      </c>
      <c r="AZ120" s="5">
        <f t="shared" si="256"/>
        <v>0</v>
      </c>
      <c r="BA120" s="5">
        <f t="shared" si="256"/>
        <v>0</v>
      </c>
      <c r="BB120" s="5">
        <f t="shared" si="256"/>
        <v>0</v>
      </c>
      <c r="BC120" s="5">
        <f t="shared" si="256"/>
        <v>0</v>
      </c>
      <c r="BD120" s="5">
        <f t="shared" si="256"/>
        <v>0</v>
      </c>
      <c r="BE120" s="5">
        <f t="shared" si="256"/>
        <v>0</v>
      </c>
      <c r="BF120" s="5">
        <f t="shared" si="256"/>
        <v>0</v>
      </c>
      <c r="BG120" s="5">
        <f t="shared" si="256"/>
        <v>0</v>
      </c>
      <c r="BH120" s="5">
        <f t="shared" si="256"/>
        <v>0</v>
      </c>
      <c r="BI120" s="5">
        <f t="shared" si="256"/>
        <v>0</v>
      </c>
      <c r="BJ120" s="5">
        <f t="shared" si="256"/>
        <v>0</v>
      </c>
      <c r="BK120" s="5">
        <f t="shared" si="256"/>
        <v>0</v>
      </c>
      <c r="BL120" s="5">
        <f t="shared" si="256"/>
        <v>0</v>
      </c>
      <c r="BM120" s="5">
        <f t="shared" si="256"/>
        <v>0</v>
      </c>
      <c r="BN120" s="5">
        <f t="shared" si="256"/>
        <v>0</v>
      </c>
    </row>
    <row r="121" spans="3:66" x14ac:dyDescent="0.25">
      <c r="C121" s="419" t="s">
        <v>32</v>
      </c>
      <c r="D121" s="5">
        <f t="shared" ref="D121:AI122" si="257">-D36</f>
        <v>0</v>
      </c>
      <c r="E121" s="5">
        <f t="shared" si="257"/>
        <v>0</v>
      </c>
      <c r="F121" s="21">
        <f t="shared" si="257"/>
        <v>0</v>
      </c>
      <c r="G121" s="5">
        <f t="shared" si="257"/>
        <v>0</v>
      </c>
      <c r="H121" s="5">
        <f t="shared" si="257"/>
        <v>0</v>
      </c>
      <c r="I121" s="5">
        <f t="shared" si="257"/>
        <v>0</v>
      </c>
      <c r="J121" s="5">
        <f t="shared" si="257"/>
        <v>0</v>
      </c>
      <c r="K121" s="5">
        <f t="shared" si="257"/>
        <v>0</v>
      </c>
      <c r="L121" s="5">
        <f t="shared" si="257"/>
        <v>0</v>
      </c>
      <c r="M121" s="5">
        <f t="shared" si="257"/>
        <v>0</v>
      </c>
      <c r="N121" s="5">
        <f t="shared" si="257"/>
        <v>0</v>
      </c>
      <c r="O121" s="5">
        <f t="shared" si="257"/>
        <v>0</v>
      </c>
      <c r="P121" s="5">
        <f t="shared" si="257"/>
        <v>0</v>
      </c>
      <c r="Q121" s="5">
        <f t="shared" si="257"/>
        <v>0</v>
      </c>
      <c r="R121" s="5">
        <f t="shared" si="257"/>
        <v>0</v>
      </c>
      <c r="S121" s="5">
        <f t="shared" si="257"/>
        <v>0</v>
      </c>
      <c r="T121" s="5">
        <f t="shared" si="257"/>
        <v>0</v>
      </c>
      <c r="U121" s="5">
        <f t="shared" si="257"/>
        <v>0</v>
      </c>
      <c r="V121" s="5">
        <f t="shared" si="257"/>
        <v>0</v>
      </c>
      <c r="W121" s="5">
        <f t="shared" si="257"/>
        <v>0</v>
      </c>
      <c r="X121" s="5">
        <f t="shared" si="257"/>
        <v>0</v>
      </c>
      <c r="Y121" s="5">
        <f t="shared" si="257"/>
        <v>0</v>
      </c>
      <c r="Z121" s="5">
        <f t="shared" si="257"/>
        <v>0</v>
      </c>
      <c r="AA121" s="5">
        <f t="shared" si="257"/>
        <v>0</v>
      </c>
      <c r="AB121" s="5">
        <f t="shared" si="257"/>
        <v>0</v>
      </c>
      <c r="AC121" s="5">
        <f t="shared" si="257"/>
        <v>0</v>
      </c>
      <c r="AD121" s="5">
        <f t="shared" si="257"/>
        <v>0</v>
      </c>
      <c r="AE121" s="5">
        <f t="shared" si="257"/>
        <v>0</v>
      </c>
      <c r="AF121" s="5">
        <f t="shared" si="257"/>
        <v>0</v>
      </c>
      <c r="AG121" s="5">
        <f t="shared" si="257"/>
        <v>0</v>
      </c>
      <c r="AH121" s="5">
        <f t="shared" si="257"/>
        <v>0</v>
      </c>
      <c r="AI121" s="5">
        <f t="shared" si="257"/>
        <v>0</v>
      </c>
      <c r="AJ121" s="5">
        <f t="shared" ref="AJ121:BN122" si="258">-AJ36</f>
        <v>0</v>
      </c>
      <c r="AK121" s="5">
        <f t="shared" si="258"/>
        <v>0</v>
      </c>
      <c r="AL121" s="5">
        <f t="shared" si="258"/>
        <v>0</v>
      </c>
      <c r="AM121" s="5">
        <f t="shared" si="258"/>
        <v>0</v>
      </c>
      <c r="AN121" s="5">
        <f t="shared" si="258"/>
        <v>0</v>
      </c>
      <c r="AO121" s="5">
        <f t="shared" si="258"/>
        <v>0</v>
      </c>
      <c r="AP121" s="5">
        <f t="shared" si="258"/>
        <v>0</v>
      </c>
      <c r="AQ121" s="5">
        <f t="shared" si="258"/>
        <v>0</v>
      </c>
      <c r="AR121" s="5">
        <f t="shared" si="258"/>
        <v>0</v>
      </c>
      <c r="AS121" s="5">
        <f t="shared" si="258"/>
        <v>0</v>
      </c>
      <c r="AT121" s="5">
        <f t="shared" si="258"/>
        <v>0</v>
      </c>
      <c r="AU121" s="5">
        <f t="shared" si="258"/>
        <v>0</v>
      </c>
      <c r="AV121" s="5">
        <f t="shared" si="258"/>
        <v>0</v>
      </c>
      <c r="AW121" s="5">
        <f t="shared" si="258"/>
        <v>0</v>
      </c>
      <c r="AX121" s="5">
        <f t="shared" si="258"/>
        <v>0</v>
      </c>
      <c r="AY121" s="5">
        <f t="shared" si="258"/>
        <v>0</v>
      </c>
      <c r="AZ121" s="5">
        <f t="shared" si="258"/>
        <v>0</v>
      </c>
      <c r="BA121" s="5">
        <f t="shared" si="258"/>
        <v>0</v>
      </c>
      <c r="BB121" s="5">
        <f t="shared" si="258"/>
        <v>0</v>
      </c>
      <c r="BC121" s="5">
        <f t="shared" si="258"/>
        <v>0</v>
      </c>
      <c r="BD121" s="5">
        <f t="shared" si="258"/>
        <v>0</v>
      </c>
      <c r="BE121" s="5">
        <f t="shared" si="258"/>
        <v>0</v>
      </c>
      <c r="BF121" s="5">
        <f t="shared" si="258"/>
        <v>0</v>
      </c>
      <c r="BG121" s="5">
        <f t="shared" si="258"/>
        <v>0</v>
      </c>
      <c r="BH121" s="5">
        <f t="shared" si="258"/>
        <v>0</v>
      </c>
      <c r="BI121" s="5">
        <f t="shared" si="258"/>
        <v>0</v>
      </c>
      <c r="BJ121" s="5">
        <f t="shared" si="258"/>
        <v>0</v>
      </c>
      <c r="BK121" s="5">
        <f t="shared" si="258"/>
        <v>0</v>
      </c>
      <c r="BL121" s="5">
        <f t="shared" si="258"/>
        <v>0</v>
      </c>
      <c r="BM121" s="5">
        <f t="shared" si="258"/>
        <v>0</v>
      </c>
      <c r="BN121" s="5">
        <f t="shared" si="258"/>
        <v>0</v>
      </c>
    </row>
    <row r="122" spans="3:66" x14ac:dyDescent="0.25">
      <c r="C122" s="419" t="s">
        <v>1054</v>
      </c>
      <c r="D122" s="5">
        <f>-D37</f>
        <v>0</v>
      </c>
      <c r="E122" s="5">
        <f t="shared" si="257"/>
        <v>0</v>
      </c>
      <c r="F122" s="5">
        <f t="shared" si="257"/>
        <v>0</v>
      </c>
      <c r="G122" s="5">
        <f t="shared" si="257"/>
        <v>0</v>
      </c>
      <c r="H122" s="5">
        <f t="shared" si="257"/>
        <v>0</v>
      </c>
      <c r="I122" s="5">
        <f t="shared" si="257"/>
        <v>0</v>
      </c>
      <c r="J122" s="5">
        <f t="shared" si="257"/>
        <v>0</v>
      </c>
      <c r="K122" s="5">
        <f t="shared" si="257"/>
        <v>0</v>
      </c>
      <c r="L122" s="5">
        <f t="shared" si="257"/>
        <v>0</v>
      </c>
      <c r="M122" s="5">
        <f t="shared" si="257"/>
        <v>0</v>
      </c>
      <c r="N122" s="5">
        <f t="shared" si="257"/>
        <v>0</v>
      </c>
      <c r="O122" s="5">
        <f t="shared" si="257"/>
        <v>0</v>
      </c>
      <c r="P122" s="5">
        <f t="shared" si="257"/>
        <v>0</v>
      </c>
      <c r="Q122" s="5">
        <f t="shared" si="257"/>
        <v>0</v>
      </c>
      <c r="R122" s="5">
        <f t="shared" si="257"/>
        <v>0</v>
      </c>
      <c r="S122" s="5">
        <f t="shared" si="257"/>
        <v>0</v>
      </c>
      <c r="T122" s="5">
        <f t="shared" si="257"/>
        <v>0</v>
      </c>
      <c r="U122" s="5">
        <f t="shared" si="257"/>
        <v>0</v>
      </c>
      <c r="V122" s="5">
        <f t="shared" si="257"/>
        <v>0</v>
      </c>
      <c r="W122" s="5">
        <f t="shared" si="257"/>
        <v>0</v>
      </c>
      <c r="X122" s="5">
        <f t="shared" si="257"/>
        <v>0</v>
      </c>
      <c r="Y122" s="5">
        <f t="shared" si="257"/>
        <v>0</v>
      </c>
      <c r="Z122" s="5">
        <f t="shared" si="257"/>
        <v>0</v>
      </c>
      <c r="AA122" s="5">
        <f t="shared" si="257"/>
        <v>0</v>
      </c>
      <c r="AB122" s="5">
        <f t="shared" si="257"/>
        <v>0</v>
      </c>
      <c r="AC122" s="5">
        <f t="shared" si="257"/>
        <v>0</v>
      </c>
      <c r="AD122" s="5">
        <f t="shared" si="257"/>
        <v>0</v>
      </c>
      <c r="AE122" s="5">
        <f t="shared" si="257"/>
        <v>0</v>
      </c>
      <c r="AF122" s="5">
        <f t="shared" si="257"/>
        <v>0</v>
      </c>
      <c r="AG122" s="5">
        <f t="shared" si="257"/>
        <v>0</v>
      </c>
      <c r="AH122" s="5">
        <f t="shared" si="257"/>
        <v>0</v>
      </c>
      <c r="AI122" s="5">
        <f t="shared" si="257"/>
        <v>0</v>
      </c>
      <c r="AJ122" s="5">
        <f t="shared" si="258"/>
        <v>0</v>
      </c>
      <c r="AK122" s="5">
        <f t="shared" si="258"/>
        <v>0</v>
      </c>
      <c r="AL122" s="5">
        <f t="shared" si="258"/>
        <v>0</v>
      </c>
      <c r="AM122" s="5">
        <f t="shared" si="258"/>
        <v>0</v>
      </c>
      <c r="AN122" s="5">
        <f t="shared" si="258"/>
        <v>0</v>
      </c>
      <c r="AO122" s="5">
        <f t="shared" si="258"/>
        <v>0</v>
      </c>
      <c r="AP122" s="5">
        <f t="shared" si="258"/>
        <v>0</v>
      </c>
      <c r="AQ122" s="5">
        <f t="shared" si="258"/>
        <v>0</v>
      </c>
      <c r="AR122" s="5">
        <f t="shared" si="258"/>
        <v>0</v>
      </c>
      <c r="AS122" s="5">
        <f t="shared" si="258"/>
        <v>0</v>
      </c>
      <c r="AT122" s="5">
        <f t="shared" si="258"/>
        <v>0</v>
      </c>
      <c r="AU122" s="5">
        <f t="shared" si="258"/>
        <v>0</v>
      </c>
      <c r="AV122" s="5">
        <f t="shared" si="258"/>
        <v>0</v>
      </c>
      <c r="AW122" s="5">
        <f t="shared" si="258"/>
        <v>0</v>
      </c>
      <c r="AX122" s="5">
        <f t="shared" si="258"/>
        <v>0</v>
      </c>
      <c r="AY122" s="5">
        <f t="shared" si="258"/>
        <v>0</v>
      </c>
      <c r="AZ122" s="5">
        <f t="shared" si="258"/>
        <v>0</v>
      </c>
      <c r="BA122" s="5">
        <f t="shared" si="258"/>
        <v>0</v>
      </c>
      <c r="BB122" s="5">
        <f t="shared" si="258"/>
        <v>0</v>
      </c>
      <c r="BC122" s="5">
        <f t="shared" si="258"/>
        <v>0</v>
      </c>
      <c r="BD122" s="5">
        <f t="shared" si="258"/>
        <v>0</v>
      </c>
      <c r="BE122" s="5">
        <f t="shared" si="258"/>
        <v>0</v>
      </c>
      <c r="BF122" s="5">
        <f t="shared" si="258"/>
        <v>0</v>
      </c>
      <c r="BG122" s="5">
        <f t="shared" si="258"/>
        <v>0</v>
      </c>
      <c r="BH122" s="5">
        <f t="shared" si="258"/>
        <v>0</v>
      </c>
      <c r="BI122" s="5">
        <f t="shared" si="258"/>
        <v>0</v>
      </c>
      <c r="BJ122" s="5">
        <f t="shared" si="258"/>
        <v>0</v>
      </c>
      <c r="BK122" s="5">
        <f t="shared" si="258"/>
        <v>0</v>
      </c>
      <c r="BL122" s="5">
        <f t="shared" si="258"/>
        <v>0</v>
      </c>
      <c r="BM122" s="5">
        <f t="shared" si="258"/>
        <v>0</v>
      </c>
      <c r="BN122" s="5">
        <f t="shared" si="258"/>
        <v>0</v>
      </c>
    </row>
    <row r="123" spans="3:66" x14ac:dyDescent="0.25">
      <c r="C123" s="421" t="s">
        <v>67</v>
      </c>
      <c r="D123" s="5">
        <f t="shared" ref="D123:AI123" si="259">-D38</f>
        <v>0</v>
      </c>
      <c r="E123" s="5">
        <f t="shared" si="259"/>
        <v>0</v>
      </c>
      <c r="F123" s="21">
        <f t="shared" si="259"/>
        <v>0</v>
      </c>
      <c r="G123" s="5">
        <f t="shared" si="259"/>
        <v>0</v>
      </c>
      <c r="H123" s="5">
        <f t="shared" si="259"/>
        <v>0</v>
      </c>
      <c r="I123" s="5">
        <f t="shared" si="259"/>
        <v>0</v>
      </c>
      <c r="J123" s="5">
        <f t="shared" si="259"/>
        <v>0</v>
      </c>
      <c r="K123" s="5">
        <f t="shared" si="259"/>
        <v>0</v>
      </c>
      <c r="L123" s="5">
        <f t="shared" si="259"/>
        <v>0</v>
      </c>
      <c r="M123" s="5">
        <f t="shared" si="259"/>
        <v>0</v>
      </c>
      <c r="N123" s="5">
        <f t="shared" si="259"/>
        <v>0</v>
      </c>
      <c r="O123" s="5">
        <f t="shared" si="259"/>
        <v>0</v>
      </c>
      <c r="P123" s="5">
        <f t="shared" si="259"/>
        <v>0</v>
      </c>
      <c r="Q123" s="5">
        <f t="shared" si="259"/>
        <v>0</v>
      </c>
      <c r="R123" s="5">
        <f t="shared" si="259"/>
        <v>0</v>
      </c>
      <c r="S123" s="5">
        <f t="shared" si="259"/>
        <v>0</v>
      </c>
      <c r="T123" s="5">
        <f t="shared" si="259"/>
        <v>0</v>
      </c>
      <c r="U123" s="5">
        <f t="shared" si="259"/>
        <v>0</v>
      </c>
      <c r="V123" s="5">
        <f t="shared" si="259"/>
        <v>0</v>
      </c>
      <c r="W123" s="5">
        <f t="shared" si="259"/>
        <v>0</v>
      </c>
      <c r="X123" s="5">
        <f t="shared" si="259"/>
        <v>0</v>
      </c>
      <c r="Y123" s="5">
        <f t="shared" si="259"/>
        <v>0</v>
      </c>
      <c r="Z123" s="5">
        <f t="shared" si="259"/>
        <v>0</v>
      </c>
      <c r="AA123" s="5">
        <f t="shared" si="259"/>
        <v>0</v>
      </c>
      <c r="AB123" s="5">
        <f t="shared" si="259"/>
        <v>0</v>
      </c>
      <c r="AC123" s="5">
        <f t="shared" si="259"/>
        <v>0</v>
      </c>
      <c r="AD123" s="5">
        <f t="shared" si="259"/>
        <v>0</v>
      </c>
      <c r="AE123" s="5">
        <f t="shared" si="259"/>
        <v>0</v>
      </c>
      <c r="AF123" s="5">
        <f t="shared" si="259"/>
        <v>0</v>
      </c>
      <c r="AG123" s="5">
        <f t="shared" si="259"/>
        <v>0</v>
      </c>
      <c r="AH123" s="5">
        <f t="shared" si="259"/>
        <v>0</v>
      </c>
      <c r="AI123" s="5">
        <f t="shared" si="259"/>
        <v>0</v>
      </c>
      <c r="AJ123" s="5">
        <f t="shared" ref="AJ123:BN123" si="260">-AJ38</f>
        <v>0</v>
      </c>
      <c r="AK123" s="5">
        <f t="shared" si="260"/>
        <v>0</v>
      </c>
      <c r="AL123" s="5">
        <f t="shared" si="260"/>
        <v>0</v>
      </c>
      <c r="AM123" s="5">
        <f t="shared" si="260"/>
        <v>0</v>
      </c>
      <c r="AN123" s="5">
        <f t="shared" si="260"/>
        <v>0</v>
      </c>
      <c r="AO123" s="5">
        <f t="shared" si="260"/>
        <v>0</v>
      </c>
      <c r="AP123" s="5">
        <f t="shared" si="260"/>
        <v>0</v>
      </c>
      <c r="AQ123" s="5">
        <f t="shared" si="260"/>
        <v>0</v>
      </c>
      <c r="AR123" s="5">
        <f t="shared" si="260"/>
        <v>0</v>
      </c>
      <c r="AS123" s="5">
        <f t="shared" si="260"/>
        <v>0</v>
      </c>
      <c r="AT123" s="5">
        <f t="shared" si="260"/>
        <v>0</v>
      </c>
      <c r="AU123" s="5">
        <f t="shared" si="260"/>
        <v>0</v>
      </c>
      <c r="AV123" s="5">
        <f t="shared" si="260"/>
        <v>0</v>
      </c>
      <c r="AW123" s="5">
        <f t="shared" si="260"/>
        <v>0</v>
      </c>
      <c r="AX123" s="5">
        <f t="shared" si="260"/>
        <v>0</v>
      </c>
      <c r="AY123" s="5">
        <f t="shared" si="260"/>
        <v>0</v>
      </c>
      <c r="AZ123" s="5">
        <f t="shared" si="260"/>
        <v>0</v>
      </c>
      <c r="BA123" s="5">
        <f t="shared" si="260"/>
        <v>0</v>
      </c>
      <c r="BB123" s="5">
        <f t="shared" si="260"/>
        <v>0</v>
      </c>
      <c r="BC123" s="5">
        <f t="shared" si="260"/>
        <v>0</v>
      </c>
      <c r="BD123" s="5">
        <f t="shared" si="260"/>
        <v>0</v>
      </c>
      <c r="BE123" s="5">
        <f t="shared" si="260"/>
        <v>0</v>
      </c>
      <c r="BF123" s="5">
        <f t="shared" si="260"/>
        <v>0</v>
      </c>
      <c r="BG123" s="5">
        <f t="shared" si="260"/>
        <v>0</v>
      </c>
      <c r="BH123" s="5">
        <f t="shared" si="260"/>
        <v>0</v>
      </c>
      <c r="BI123" s="5">
        <f t="shared" si="260"/>
        <v>0</v>
      </c>
      <c r="BJ123" s="5">
        <f t="shared" si="260"/>
        <v>0</v>
      </c>
      <c r="BK123" s="5">
        <f t="shared" si="260"/>
        <v>0</v>
      </c>
      <c r="BL123" s="5">
        <f t="shared" si="260"/>
        <v>0</v>
      </c>
      <c r="BM123" s="5">
        <f t="shared" si="260"/>
        <v>0</v>
      </c>
      <c r="BN123" s="5">
        <f t="shared" si="260"/>
        <v>0</v>
      </c>
    </row>
    <row r="124" spans="3:66" x14ac:dyDescent="0.25">
      <c r="C124" s="419" t="s">
        <v>34</v>
      </c>
      <c r="D124" s="5">
        <f t="shared" ref="D124:AI124" si="261">-D39</f>
        <v>0</v>
      </c>
      <c r="E124" s="5">
        <f t="shared" si="261"/>
        <v>0</v>
      </c>
      <c r="F124" s="21">
        <f t="shared" si="261"/>
        <v>0</v>
      </c>
      <c r="G124" s="5">
        <f t="shared" si="261"/>
        <v>0</v>
      </c>
      <c r="H124" s="5">
        <f t="shared" si="261"/>
        <v>0</v>
      </c>
      <c r="I124" s="5">
        <f t="shared" si="261"/>
        <v>0</v>
      </c>
      <c r="J124" s="5">
        <f t="shared" si="261"/>
        <v>0</v>
      </c>
      <c r="K124" s="5">
        <f t="shared" si="261"/>
        <v>0</v>
      </c>
      <c r="L124" s="5">
        <f t="shared" si="261"/>
        <v>0</v>
      </c>
      <c r="M124" s="5">
        <f t="shared" si="261"/>
        <v>0</v>
      </c>
      <c r="N124" s="5">
        <f t="shared" si="261"/>
        <v>0</v>
      </c>
      <c r="O124" s="5">
        <f t="shared" si="261"/>
        <v>0</v>
      </c>
      <c r="P124" s="5">
        <f t="shared" si="261"/>
        <v>0</v>
      </c>
      <c r="Q124" s="5">
        <f t="shared" si="261"/>
        <v>0</v>
      </c>
      <c r="R124" s="5">
        <f t="shared" si="261"/>
        <v>0</v>
      </c>
      <c r="S124" s="5">
        <f t="shared" si="261"/>
        <v>0</v>
      </c>
      <c r="T124" s="5">
        <f t="shared" si="261"/>
        <v>0</v>
      </c>
      <c r="U124" s="5">
        <f t="shared" si="261"/>
        <v>0</v>
      </c>
      <c r="V124" s="5">
        <f t="shared" si="261"/>
        <v>0</v>
      </c>
      <c r="W124" s="5">
        <f t="shared" si="261"/>
        <v>0</v>
      </c>
      <c r="X124" s="5">
        <f t="shared" si="261"/>
        <v>0</v>
      </c>
      <c r="Y124" s="5">
        <f t="shared" si="261"/>
        <v>0</v>
      </c>
      <c r="Z124" s="5">
        <f t="shared" si="261"/>
        <v>0</v>
      </c>
      <c r="AA124" s="5">
        <f t="shared" si="261"/>
        <v>0</v>
      </c>
      <c r="AB124" s="5">
        <f t="shared" si="261"/>
        <v>0</v>
      </c>
      <c r="AC124" s="5">
        <f t="shared" si="261"/>
        <v>0</v>
      </c>
      <c r="AD124" s="5">
        <f t="shared" si="261"/>
        <v>0</v>
      </c>
      <c r="AE124" s="5">
        <f t="shared" si="261"/>
        <v>0</v>
      </c>
      <c r="AF124" s="5">
        <f t="shared" si="261"/>
        <v>0</v>
      </c>
      <c r="AG124" s="5">
        <f t="shared" si="261"/>
        <v>0</v>
      </c>
      <c r="AH124" s="5">
        <f t="shared" si="261"/>
        <v>0</v>
      </c>
      <c r="AI124" s="5">
        <f t="shared" si="261"/>
        <v>0</v>
      </c>
      <c r="AJ124" s="5">
        <f t="shared" ref="AJ124:BN124" si="262">-AJ39</f>
        <v>0</v>
      </c>
      <c r="AK124" s="5">
        <f t="shared" si="262"/>
        <v>0</v>
      </c>
      <c r="AL124" s="5">
        <f t="shared" si="262"/>
        <v>0</v>
      </c>
      <c r="AM124" s="5">
        <f t="shared" si="262"/>
        <v>0</v>
      </c>
      <c r="AN124" s="5">
        <f t="shared" si="262"/>
        <v>0</v>
      </c>
      <c r="AO124" s="5">
        <f t="shared" si="262"/>
        <v>0</v>
      </c>
      <c r="AP124" s="5">
        <f t="shared" si="262"/>
        <v>0</v>
      </c>
      <c r="AQ124" s="5">
        <f t="shared" si="262"/>
        <v>0</v>
      </c>
      <c r="AR124" s="5">
        <f t="shared" si="262"/>
        <v>0</v>
      </c>
      <c r="AS124" s="5">
        <f t="shared" si="262"/>
        <v>0</v>
      </c>
      <c r="AT124" s="5">
        <f t="shared" si="262"/>
        <v>0</v>
      </c>
      <c r="AU124" s="5">
        <f t="shared" si="262"/>
        <v>0</v>
      </c>
      <c r="AV124" s="5">
        <f t="shared" si="262"/>
        <v>0</v>
      </c>
      <c r="AW124" s="5">
        <f t="shared" si="262"/>
        <v>0</v>
      </c>
      <c r="AX124" s="5">
        <f t="shared" si="262"/>
        <v>0</v>
      </c>
      <c r="AY124" s="5">
        <f t="shared" si="262"/>
        <v>0</v>
      </c>
      <c r="AZ124" s="5">
        <f t="shared" si="262"/>
        <v>0</v>
      </c>
      <c r="BA124" s="5">
        <f t="shared" si="262"/>
        <v>0</v>
      </c>
      <c r="BB124" s="5">
        <f t="shared" si="262"/>
        <v>0</v>
      </c>
      <c r="BC124" s="5">
        <f t="shared" si="262"/>
        <v>0</v>
      </c>
      <c r="BD124" s="5">
        <f t="shared" si="262"/>
        <v>0</v>
      </c>
      <c r="BE124" s="5">
        <f t="shared" si="262"/>
        <v>0</v>
      </c>
      <c r="BF124" s="5">
        <f t="shared" si="262"/>
        <v>0</v>
      </c>
      <c r="BG124" s="5">
        <f t="shared" si="262"/>
        <v>0</v>
      </c>
      <c r="BH124" s="5">
        <f t="shared" si="262"/>
        <v>0</v>
      </c>
      <c r="BI124" s="5">
        <f t="shared" si="262"/>
        <v>0</v>
      </c>
      <c r="BJ124" s="5">
        <f t="shared" si="262"/>
        <v>0</v>
      </c>
      <c r="BK124" s="5">
        <f t="shared" si="262"/>
        <v>0</v>
      </c>
      <c r="BL124" s="5">
        <f t="shared" si="262"/>
        <v>0</v>
      </c>
      <c r="BM124" s="5">
        <f t="shared" si="262"/>
        <v>0</v>
      </c>
      <c r="BN124" s="5">
        <f t="shared" si="262"/>
        <v>0</v>
      </c>
    </row>
    <row r="125" spans="3:66" x14ac:dyDescent="0.25">
      <c r="C125" s="421" t="s">
        <v>68</v>
      </c>
      <c r="D125" s="5">
        <f t="shared" ref="D125:AI125" si="263">D18</f>
        <v>0</v>
      </c>
      <c r="E125" s="5">
        <f t="shared" si="263"/>
        <v>0</v>
      </c>
      <c r="F125" s="21">
        <f t="shared" si="263"/>
        <v>0</v>
      </c>
      <c r="G125" s="5">
        <f t="shared" si="263"/>
        <v>0</v>
      </c>
      <c r="H125" s="5">
        <f t="shared" si="263"/>
        <v>0</v>
      </c>
      <c r="I125" s="5">
        <f t="shared" si="263"/>
        <v>0</v>
      </c>
      <c r="J125" s="5">
        <f t="shared" si="263"/>
        <v>0</v>
      </c>
      <c r="K125" s="5">
        <f t="shared" si="263"/>
        <v>0</v>
      </c>
      <c r="L125" s="5">
        <f t="shared" si="263"/>
        <v>0</v>
      </c>
      <c r="M125" s="5">
        <f t="shared" si="263"/>
        <v>0</v>
      </c>
      <c r="N125" s="5">
        <f t="shared" si="263"/>
        <v>0</v>
      </c>
      <c r="O125" s="5">
        <f t="shared" si="263"/>
        <v>0</v>
      </c>
      <c r="P125" s="5">
        <f t="shared" si="263"/>
        <v>0</v>
      </c>
      <c r="Q125" s="5">
        <f t="shared" si="263"/>
        <v>0</v>
      </c>
      <c r="R125" s="5">
        <f t="shared" si="263"/>
        <v>0</v>
      </c>
      <c r="S125" s="5">
        <f t="shared" si="263"/>
        <v>0</v>
      </c>
      <c r="T125" s="5">
        <f t="shared" si="263"/>
        <v>0</v>
      </c>
      <c r="U125" s="5">
        <f t="shared" si="263"/>
        <v>0</v>
      </c>
      <c r="V125" s="5">
        <f t="shared" si="263"/>
        <v>0</v>
      </c>
      <c r="W125" s="5">
        <f t="shared" si="263"/>
        <v>0</v>
      </c>
      <c r="X125" s="5">
        <f t="shared" si="263"/>
        <v>0</v>
      </c>
      <c r="Y125" s="5">
        <f t="shared" si="263"/>
        <v>0</v>
      </c>
      <c r="Z125" s="5">
        <f t="shared" si="263"/>
        <v>0</v>
      </c>
      <c r="AA125" s="5">
        <f t="shared" si="263"/>
        <v>0</v>
      </c>
      <c r="AB125" s="5">
        <f t="shared" si="263"/>
        <v>0</v>
      </c>
      <c r="AC125" s="5">
        <f t="shared" si="263"/>
        <v>0</v>
      </c>
      <c r="AD125" s="5">
        <f t="shared" si="263"/>
        <v>0</v>
      </c>
      <c r="AE125" s="5">
        <f t="shared" si="263"/>
        <v>0</v>
      </c>
      <c r="AF125" s="5">
        <f t="shared" si="263"/>
        <v>0</v>
      </c>
      <c r="AG125" s="5">
        <f t="shared" si="263"/>
        <v>0</v>
      </c>
      <c r="AH125" s="5">
        <f t="shared" si="263"/>
        <v>0</v>
      </c>
      <c r="AI125" s="5">
        <f t="shared" si="263"/>
        <v>0</v>
      </c>
      <c r="AJ125" s="5">
        <f t="shared" ref="AJ125:BN125" si="264">AJ18</f>
        <v>0</v>
      </c>
      <c r="AK125" s="5">
        <f t="shared" si="264"/>
        <v>0</v>
      </c>
      <c r="AL125" s="5">
        <f t="shared" si="264"/>
        <v>0</v>
      </c>
      <c r="AM125" s="5">
        <f t="shared" si="264"/>
        <v>0</v>
      </c>
      <c r="AN125" s="5">
        <f t="shared" si="264"/>
        <v>0</v>
      </c>
      <c r="AO125" s="5">
        <f t="shared" si="264"/>
        <v>0</v>
      </c>
      <c r="AP125" s="5">
        <f t="shared" si="264"/>
        <v>0</v>
      </c>
      <c r="AQ125" s="5">
        <f t="shared" si="264"/>
        <v>0</v>
      </c>
      <c r="AR125" s="5">
        <f t="shared" si="264"/>
        <v>0</v>
      </c>
      <c r="AS125" s="5">
        <f t="shared" si="264"/>
        <v>0</v>
      </c>
      <c r="AT125" s="5">
        <f t="shared" si="264"/>
        <v>0</v>
      </c>
      <c r="AU125" s="5">
        <f t="shared" si="264"/>
        <v>0</v>
      </c>
      <c r="AV125" s="5">
        <f t="shared" si="264"/>
        <v>0</v>
      </c>
      <c r="AW125" s="5">
        <f t="shared" si="264"/>
        <v>0</v>
      </c>
      <c r="AX125" s="5">
        <f t="shared" si="264"/>
        <v>0</v>
      </c>
      <c r="AY125" s="5">
        <f t="shared" si="264"/>
        <v>0</v>
      </c>
      <c r="AZ125" s="5">
        <f t="shared" si="264"/>
        <v>0</v>
      </c>
      <c r="BA125" s="5">
        <f t="shared" si="264"/>
        <v>0</v>
      </c>
      <c r="BB125" s="5">
        <f t="shared" si="264"/>
        <v>0</v>
      </c>
      <c r="BC125" s="5">
        <f t="shared" si="264"/>
        <v>0</v>
      </c>
      <c r="BD125" s="5">
        <f t="shared" si="264"/>
        <v>0</v>
      </c>
      <c r="BE125" s="5">
        <f t="shared" si="264"/>
        <v>0</v>
      </c>
      <c r="BF125" s="5">
        <f t="shared" si="264"/>
        <v>0</v>
      </c>
      <c r="BG125" s="5">
        <f t="shared" si="264"/>
        <v>0</v>
      </c>
      <c r="BH125" s="5">
        <f t="shared" si="264"/>
        <v>0</v>
      </c>
      <c r="BI125" s="5">
        <f t="shared" si="264"/>
        <v>0</v>
      </c>
      <c r="BJ125" s="5">
        <f t="shared" si="264"/>
        <v>0</v>
      </c>
      <c r="BK125" s="5">
        <f t="shared" si="264"/>
        <v>0</v>
      </c>
      <c r="BL125" s="5">
        <f t="shared" si="264"/>
        <v>0</v>
      </c>
      <c r="BM125" s="5">
        <f t="shared" si="264"/>
        <v>0</v>
      </c>
      <c r="BN125" s="5">
        <f t="shared" si="264"/>
        <v>0</v>
      </c>
    </row>
    <row r="126" spans="3:66" x14ac:dyDescent="0.25">
      <c r="C126" s="421" t="s">
        <v>69</v>
      </c>
      <c r="D126" s="5">
        <f>-D40</f>
        <v>0</v>
      </c>
      <c r="E126" s="5">
        <f t="shared" ref="E126:BN126" si="265">-E40</f>
        <v>0</v>
      </c>
      <c r="F126" s="21">
        <f t="shared" si="265"/>
        <v>0</v>
      </c>
      <c r="G126" s="5">
        <f t="shared" si="265"/>
        <v>0</v>
      </c>
      <c r="H126" s="5">
        <f t="shared" si="265"/>
        <v>0</v>
      </c>
      <c r="I126" s="5">
        <f t="shared" si="265"/>
        <v>0</v>
      </c>
      <c r="J126" s="5">
        <f t="shared" si="265"/>
        <v>0</v>
      </c>
      <c r="K126" s="5">
        <f t="shared" si="265"/>
        <v>0</v>
      </c>
      <c r="L126" s="5">
        <f t="shared" si="265"/>
        <v>0</v>
      </c>
      <c r="M126" s="5">
        <f t="shared" si="265"/>
        <v>0</v>
      </c>
      <c r="N126" s="5">
        <f t="shared" si="265"/>
        <v>0</v>
      </c>
      <c r="O126" s="5">
        <f t="shared" si="265"/>
        <v>0</v>
      </c>
      <c r="P126" s="5">
        <f t="shared" si="265"/>
        <v>0</v>
      </c>
      <c r="Q126" s="5">
        <f t="shared" si="265"/>
        <v>0</v>
      </c>
      <c r="R126" s="5">
        <f t="shared" si="265"/>
        <v>0</v>
      </c>
      <c r="S126" s="5">
        <f t="shared" si="265"/>
        <v>0</v>
      </c>
      <c r="T126" s="5">
        <f t="shared" si="265"/>
        <v>0</v>
      </c>
      <c r="U126" s="5">
        <f t="shared" si="265"/>
        <v>0</v>
      </c>
      <c r="V126" s="5">
        <f t="shared" si="265"/>
        <v>0</v>
      </c>
      <c r="W126" s="5">
        <f t="shared" si="265"/>
        <v>0</v>
      </c>
      <c r="X126" s="5">
        <f t="shared" si="265"/>
        <v>0</v>
      </c>
      <c r="Y126" s="5">
        <f t="shared" si="265"/>
        <v>0</v>
      </c>
      <c r="Z126" s="5">
        <f t="shared" si="265"/>
        <v>0</v>
      </c>
      <c r="AA126" s="5">
        <f t="shared" si="265"/>
        <v>0</v>
      </c>
      <c r="AB126" s="5">
        <f t="shared" si="265"/>
        <v>0</v>
      </c>
      <c r="AC126" s="5">
        <f t="shared" si="265"/>
        <v>0</v>
      </c>
      <c r="AD126" s="5">
        <f t="shared" si="265"/>
        <v>0</v>
      </c>
      <c r="AE126" s="5">
        <f t="shared" si="265"/>
        <v>0</v>
      </c>
      <c r="AF126" s="5">
        <f t="shared" si="265"/>
        <v>0</v>
      </c>
      <c r="AG126" s="5">
        <f t="shared" si="265"/>
        <v>0</v>
      </c>
      <c r="AH126" s="5">
        <f t="shared" si="265"/>
        <v>0</v>
      </c>
      <c r="AI126" s="5">
        <f t="shared" si="265"/>
        <v>0</v>
      </c>
      <c r="AJ126" s="5">
        <f t="shared" si="265"/>
        <v>0</v>
      </c>
      <c r="AK126" s="5">
        <f t="shared" si="265"/>
        <v>0</v>
      </c>
      <c r="AL126" s="5">
        <f t="shared" si="265"/>
        <v>0</v>
      </c>
      <c r="AM126" s="5">
        <f t="shared" si="265"/>
        <v>0</v>
      </c>
      <c r="AN126" s="5">
        <f t="shared" si="265"/>
        <v>0</v>
      </c>
      <c r="AO126" s="5">
        <f t="shared" si="265"/>
        <v>0</v>
      </c>
      <c r="AP126" s="5">
        <f t="shared" si="265"/>
        <v>0</v>
      </c>
      <c r="AQ126" s="5">
        <f t="shared" si="265"/>
        <v>0</v>
      </c>
      <c r="AR126" s="5">
        <f t="shared" si="265"/>
        <v>0</v>
      </c>
      <c r="AS126" s="5">
        <f t="shared" si="265"/>
        <v>0</v>
      </c>
      <c r="AT126" s="5">
        <f t="shared" si="265"/>
        <v>0</v>
      </c>
      <c r="AU126" s="5">
        <f t="shared" si="265"/>
        <v>0</v>
      </c>
      <c r="AV126" s="5">
        <f t="shared" si="265"/>
        <v>0</v>
      </c>
      <c r="AW126" s="5">
        <f t="shared" si="265"/>
        <v>0</v>
      </c>
      <c r="AX126" s="5">
        <f t="shared" si="265"/>
        <v>0</v>
      </c>
      <c r="AY126" s="5">
        <f t="shared" si="265"/>
        <v>0</v>
      </c>
      <c r="AZ126" s="5">
        <f t="shared" si="265"/>
        <v>0</v>
      </c>
      <c r="BA126" s="5">
        <f t="shared" si="265"/>
        <v>0</v>
      </c>
      <c r="BB126" s="5">
        <f t="shared" si="265"/>
        <v>0</v>
      </c>
      <c r="BC126" s="5">
        <f t="shared" si="265"/>
        <v>0</v>
      </c>
      <c r="BD126" s="5">
        <f t="shared" si="265"/>
        <v>0</v>
      </c>
      <c r="BE126" s="5">
        <f t="shared" si="265"/>
        <v>0</v>
      </c>
      <c r="BF126" s="5">
        <f t="shared" si="265"/>
        <v>0</v>
      </c>
      <c r="BG126" s="5">
        <f t="shared" si="265"/>
        <v>0</v>
      </c>
      <c r="BH126" s="5">
        <f t="shared" si="265"/>
        <v>0</v>
      </c>
      <c r="BI126" s="5">
        <f t="shared" si="265"/>
        <v>0</v>
      </c>
      <c r="BJ126" s="5">
        <f t="shared" si="265"/>
        <v>0</v>
      </c>
      <c r="BK126" s="5">
        <f t="shared" si="265"/>
        <v>0</v>
      </c>
      <c r="BL126" s="5">
        <f t="shared" si="265"/>
        <v>0</v>
      </c>
      <c r="BM126" s="5">
        <f t="shared" si="265"/>
        <v>0</v>
      </c>
      <c r="BN126" s="5">
        <f t="shared" si="265"/>
        <v>0</v>
      </c>
    </row>
    <row r="127" spans="3:66" x14ac:dyDescent="0.25">
      <c r="C127" s="410" t="s">
        <v>70</v>
      </c>
      <c r="D127" s="410">
        <f>SUM(D118:D126)</f>
        <v>0</v>
      </c>
      <c r="E127" s="410">
        <f>SUM(E118:E126)</f>
        <v>0</v>
      </c>
      <c r="F127" s="15">
        <f>SUM(F118:F126)</f>
        <v>0</v>
      </c>
      <c r="G127" s="15">
        <f t="shared" ref="G127:BN127" si="266">SUM(G118:G126)</f>
        <v>0</v>
      </c>
      <c r="H127" s="15">
        <f t="shared" si="266"/>
        <v>0</v>
      </c>
      <c r="I127" s="15">
        <f t="shared" si="266"/>
        <v>0</v>
      </c>
      <c r="J127" s="15">
        <f t="shared" si="266"/>
        <v>0</v>
      </c>
      <c r="K127" s="15">
        <f t="shared" si="266"/>
        <v>0</v>
      </c>
      <c r="L127" s="15">
        <f t="shared" si="266"/>
        <v>0</v>
      </c>
      <c r="M127" s="15">
        <f t="shared" si="266"/>
        <v>0</v>
      </c>
      <c r="N127" s="15">
        <f t="shared" si="266"/>
        <v>0</v>
      </c>
      <c r="O127" s="15">
        <f t="shared" si="266"/>
        <v>0</v>
      </c>
      <c r="P127" s="15">
        <f t="shared" si="266"/>
        <v>0</v>
      </c>
      <c r="Q127" s="15">
        <f t="shared" si="266"/>
        <v>0</v>
      </c>
      <c r="R127" s="15">
        <f t="shared" si="266"/>
        <v>0</v>
      </c>
      <c r="S127" s="15">
        <f t="shared" si="266"/>
        <v>0</v>
      </c>
      <c r="T127" s="15">
        <f t="shared" si="266"/>
        <v>0</v>
      </c>
      <c r="U127" s="15">
        <f t="shared" si="266"/>
        <v>0</v>
      </c>
      <c r="V127" s="15">
        <f t="shared" si="266"/>
        <v>0</v>
      </c>
      <c r="W127" s="15">
        <f t="shared" si="266"/>
        <v>0</v>
      </c>
      <c r="X127" s="15">
        <f t="shared" si="266"/>
        <v>0</v>
      </c>
      <c r="Y127" s="15">
        <f t="shared" si="266"/>
        <v>0</v>
      </c>
      <c r="Z127" s="15">
        <f t="shared" si="266"/>
        <v>0</v>
      </c>
      <c r="AA127" s="15">
        <f t="shared" si="266"/>
        <v>0</v>
      </c>
      <c r="AB127" s="15">
        <f t="shared" si="266"/>
        <v>0</v>
      </c>
      <c r="AC127" s="15">
        <f t="shared" si="266"/>
        <v>0</v>
      </c>
      <c r="AD127" s="15">
        <f t="shared" si="266"/>
        <v>0</v>
      </c>
      <c r="AE127" s="15">
        <f t="shared" si="266"/>
        <v>0</v>
      </c>
      <c r="AF127" s="15">
        <f t="shared" si="266"/>
        <v>0</v>
      </c>
      <c r="AG127" s="15">
        <f t="shared" si="266"/>
        <v>0</v>
      </c>
      <c r="AH127" s="15">
        <f t="shared" si="266"/>
        <v>0</v>
      </c>
      <c r="AI127" s="15">
        <f t="shared" si="266"/>
        <v>0</v>
      </c>
      <c r="AJ127" s="15">
        <f t="shared" si="266"/>
        <v>0</v>
      </c>
      <c r="AK127" s="15">
        <f t="shared" si="266"/>
        <v>0</v>
      </c>
      <c r="AL127" s="15">
        <f t="shared" si="266"/>
        <v>0</v>
      </c>
      <c r="AM127" s="15">
        <f t="shared" si="266"/>
        <v>0</v>
      </c>
      <c r="AN127" s="15">
        <f t="shared" si="266"/>
        <v>0</v>
      </c>
      <c r="AO127" s="15">
        <f t="shared" si="266"/>
        <v>0</v>
      </c>
      <c r="AP127" s="15">
        <f t="shared" si="266"/>
        <v>0</v>
      </c>
      <c r="AQ127" s="15">
        <f t="shared" si="266"/>
        <v>0</v>
      </c>
      <c r="AR127" s="15">
        <f t="shared" si="266"/>
        <v>0</v>
      </c>
      <c r="AS127" s="15">
        <f t="shared" si="266"/>
        <v>0</v>
      </c>
      <c r="AT127" s="15">
        <f t="shared" si="266"/>
        <v>0</v>
      </c>
      <c r="AU127" s="15">
        <f t="shared" si="266"/>
        <v>0</v>
      </c>
      <c r="AV127" s="15">
        <f t="shared" si="266"/>
        <v>0</v>
      </c>
      <c r="AW127" s="15">
        <f t="shared" si="266"/>
        <v>0</v>
      </c>
      <c r="AX127" s="15">
        <f t="shared" si="266"/>
        <v>0</v>
      </c>
      <c r="AY127" s="15">
        <f t="shared" si="266"/>
        <v>0</v>
      </c>
      <c r="AZ127" s="15">
        <f t="shared" si="266"/>
        <v>0</v>
      </c>
      <c r="BA127" s="15">
        <f t="shared" si="266"/>
        <v>0</v>
      </c>
      <c r="BB127" s="15">
        <f t="shared" si="266"/>
        <v>0</v>
      </c>
      <c r="BC127" s="15">
        <f t="shared" si="266"/>
        <v>0</v>
      </c>
      <c r="BD127" s="15">
        <f t="shared" si="266"/>
        <v>0</v>
      </c>
      <c r="BE127" s="15">
        <f t="shared" si="266"/>
        <v>0</v>
      </c>
      <c r="BF127" s="15">
        <f t="shared" si="266"/>
        <v>0</v>
      </c>
      <c r="BG127" s="15">
        <f t="shared" si="266"/>
        <v>0</v>
      </c>
      <c r="BH127" s="15">
        <f t="shared" si="266"/>
        <v>0</v>
      </c>
      <c r="BI127" s="15">
        <f t="shared" si="266"/>
        <v>0</v>
      </c>
      <c r="BJ127" s="15">
        <f t="shared" si="266"/>
        <v>0</v>
      </c>
      <c r="BK127" s="15">
        <f t="shared" si="266"/>
        <v>0</v>
      </c>
      <c r="BL127" s="15">
        <f t="shared" si="266"/>
        <v>0</v>
      </c>
      <c r="BM127" s="15">
        <f t="shared" si="266"/>
        <v>0</v>
      </c>
      <c r="BN127" s="15">
        <f t="shared" si="266"/>
        <v>0</v>
      </c>
    </row>
    <row r="128" spans="3:66" x14ac:dyDescent="0.25">
      <c r="F128" s="21"/>
      <c r="G128" s="5"/>
      <c r="H128" s="5"/>
      <c r="I128" s="5"/>
    </row>
    <row r="129" spans="3:66" outlineLevel="1" x14ac:dyDescent="0.25">
      <c r="C129" s="2" t="s">
        <v>71</v>
      </c>
      <c r="D129" s="412"/>
      <c r="E129" s="412"/>
      <c r="F129" s="18"/>
      <c r="G129" s="412"/>
      <c r="H129" s="412"/>
      <c r="I129" s="412"/>
    </row>
    <row r="130" spans="3:66" outlineLevel="1" x14ac:dyDescent="0.25">
      <c r="C130" s="2" t="s">
        <v>72</v>
      </c>
      <c r="D130" s="412"/>
      <c r="E130" s="412"/>
      <c r="F130" s="18"/>
      <c r="G130" s="412"/>
      <c r="H130" s="412"/>
      <c r="I130" s="412"/>
    </row>
    <row r="131" spans="3:66" outlineLevel="1" x14ac:dyDescent="0.25">
      <c r="C131" s="2" t="s">
        <v>73</v>
      </c>
      <c r="D131" s="412"/>
      <c r="E131" s="412"/>
      <c r="F131" s="18"/>
      <c r="G131" s="412"/>
      <c r="H131" s="412"/>
      <c r="I131" s="412"/>
    </row>
    <row r="132" spans="3:66" outlineLevel="1" x14ac:dyDescent="0.25">
      <c r="C132" s="2" t="s">
        <v>74</v>
      </c>
      <c r="D132" s="422"/>
      <c r="E132" s="422"/>
      <c r="F132" s="26"/>
      <c r="G132" s="422"/>
      <c r="H132" s="422"/>
      <c r="I132" s="422"/>
    </row>
    <row r="134" spans="3:66" x14ac:dyDescent="0.25">
      <c r="C134" s="406" t="str">
        <f>"NFD - "&amp;Historiek!$A$2</f>
        <v>NFD - Dossier</v>
      </c>
      <c r="D134" s="407"/>
      <c r="E134" s="407"/>
      <c r="F134" s="13"/>
      <c r="G134" s="407"/>
      <c r="H134" s="407"/>
      <c r="I134" s="407"/>
    </row>
    <row r="135" spans="3:66" x14ac:dyDescent="0.25">
      <c r="C135" s="738" t="str">
        <f>C$6</f>
        <v>k€</v>
      </c>
      <c r="D135" s="742" t="str">
        <f t="shared" ref="D135:BN135" si="267">D$6</f>
        <v>Dec'21</v>
      </c>
      <c r="E135" s="742" t="str">
        <f t="shared" si="267"/>
        <v>Dec'22</v>
      </c>
      <c r="F135" s="740" t="str">
        <f>F$6</f>
        <v>Dec'23</v>
      </c>
      <c r="G135" s="741" t="str">
        <f t="shared" si="267"/>
        <v>Jan'24</v>
      </c>
      <c r="H135" s="741" t="str">
        <f t="shared" si="267"/>
        <v>Feb'24</v>
      </c>
      <c r="I135" s="741" t="str">
        <f t="shared" si="267"/>
        <v>Mrt'24</v>
      </c>
      <c r="J135" s="741" t="str">
        <f t="shared" si="267"/>
        <v>Apr'24</v>
      </c>
      <c r="K135" s="741" t="str">
        <f t="shared" si="267"/>
        <v>Mei'24</v>
      </c>
      <c r="L135" s="741" t="str">
        <f t="shared" si="267"/>
        <v>Jun'24</v>
      </c>
      <c r="M135" s="741" t="str">
        <f t="shared" si="267"/>
        <v>Jul'24</v>
      </c>
      <c r="N135" s="741" t="str">
        <f t="shared" si="267"/>
        <v>Aug'24</v>
      </c>
      <c r="O135" s="741" t="str">
        <f t="shared" si="267"/>
        <v>Sep'24</v>
      </c>
      <c r="P135" s="741" t="str">
        <f t="shared" si="267"/>
        <v>Okt'24</v>
      </c>
      <c r="Q135" s="741" t="str">
        <f t="shared" si="267"/>
        <v>Nov'24</v>
      </c>
      <c r="R135" s="741" t="str">
        <f t="shared" si="267"/>
        <v>Dec'24</v>
      </c>
      <c r="S135" s="741" t="str">
        <f t="shared" si="267"/>
        <v>Jan'25</v>
      </c>
      <c r="T135" s="741" t="str">
        <f t="shared" si="267"/>
        <v>Feb'25</v>
      </c>
      <c r="U135" s="741" t="str">
        <f t="shared" si="267"/>
        <v>Mrt'25</v>
      </c>
      <c r="V135" s="741" t="str">
        <f t="shared" si="267"/>
        <v>Apr'25</v>
      </c>
      <c r="W135" s="741" t="str">
        <f t="shared" si="267"/>
        <v>Mei'25</v>
      </c>
      <c r="X135" s="741" t="str">
        <f t="shared" si="267"/>
        <v>Jun'25</v>
      </c>
      <c r="Y135" s="741" t="str">
        <f t="shared" si="267"/>
        <v>Jul'25</v>
      </c>
      <c r="Z135" s="741" t="str">
        <f t="shared" si="267"/>
        <v>Aug'25</v>
      </c>
      <c r="AA135" s="741" t="str">
        <f t="shared" si="267"/>
        <v>Sep'25</v>
      </c>
      <c r="AB135" s="741" t="str">
        <f t="shared" si="267"/>
        <v>Okt'25</v>
      </c>
      <c r="AC135" s="741" t="str">
        <f t="shared" si="267"/>
        <v>Nov'25</v>
      </c>
      <c r="AD135" s="741" t="str">
        <f t="shared" si="267"/>
        <v>Dec'25</v>
      </c>
      <c r="AE135" s="741" t="str">
        <f t="shared" si="267"/>
        <v>Jan'26</v>
      </c>
      <c r="AF135" s="741" t="str">
        <f t="shared" si="267"/>
        <v>Feb'26</v>
      </c>
      <c r="AG135" s="741" t="str">
        <f t="shared" si="267"/>
        <v>Mrt'26</v>
      </c>
      <c r="AH135" s="741" t="str">
        <f t="shared" si="267"/>
        <v>Apr'26</v>
      </c>
      <c r="AI135" s="741" t="str">
        <f t="shared" si="267"/>
        <v>Mei'26</v>
      </c>
      <c r="AJ135" s="741" t="str">
        <f t="shared" si="267"/>
        <v>Jun'26</v>
      </c>
      <c r="AK135" s="741" t="str">
        <f t="shared" si="267"/>
        <v>Jul'26</v>
      </c>
      <c r="AL135" s="741" t="str">
        <f t="shared" si="267"/>
        <v>Aug'26</v>
      </c>
      <c r="AM135" s="741" t="str">
        <f t="shared" si="267"/>
        <v>Sep'26</v>
      </c>
      <c r="AN135" s="741" t="str">
        <f t="shared" si="267"/>
        <v>Okt'26</v>
      </c>
      <c r="AO135" s="741" t="str">
        <f t="shared" si="267"/>
        <v>Nov'26</v>
      </c>
      <c r="AP135" s="741" t="str">
        <f t="shared" si="267"/>
        <v>Dec'26</v>
      </c>
      <c r="AQ135" s="741" t="str">
        <f t="shared" si="267"/>
        <v>Jan'27</v>
      </c>
      <c r="AR135" s="741" t="str">
        <f t="shared" si="267"/>
        <v>Feb'27</v>
      </c>
      <c r="AS135" s="741" t="str">
        <f t="shared" si="267"/>
        <v>Mrt'27</v>
      </c>
      <c r="AT135" s="741" t="str">
        <f t="shared" si="267"/>
        <v>Apr'27</v>
      </c>
      <c r="AU135" s="741" t="str">
        <f t="shared" si="267"/>
        <v>Mei'27</v>
      </c>
      <c r="AV135" s="741" t="str">
        <f t="shared" si="267"/>
        <v>Jun'27</v>
      </c>
      <c r="AW135" s="741" t="str">
        <f t="shared" si="267"/>
        <v>Jul'27</v>
      </c>
      <c r="AX135" s="741" t="str">
        <f t="shared" si="267"/>
        <v>Aug'27</v>
      </c>
      <c r="AY135" s="741" t="str">
        <f t="shared" si="267"/>
        <v>Sep'27</v>
      </c>
      <c r="AZ135" s="741" t="str">
        <f t="shared" si="267"/>
        <v>Okt'27</v>
      </c>
      <c r="BA135" s="741" t="str">
        <f t="shared" si="267"/>
        <v>Nov'27</v>
      </c>
      <c r="BB135" s="741" t="str">
        <f t="shared" si="267"/>
        <v>Dec'27</v>
      </c>
      <c r="BC135" s="741" t="str">
        <f t="shared" si="267"/>
        <v>Jan'28</v>
      </c>
      <c r="BD135" s="741" t="str">
        <f t="shared" si="267"/>
        <v>Feb'28</v>
      </c>
      <c r="BE135" s="741" t="str">
        <f t="shared" si="267"/>
        <v>Mrt'28</v>
      </c>
      <c r="BF135" s="741" t="str">
        <f t="shared" si="267"/>
        <v>Apr'28</v>
      </c>
      <c r="BG135" s="741" t="str">
        <f t="shared" si="267"/>
        <v>Mei'28</v>
      </c>
      <c r="BH135" s="741" t="str">
        <f t="shared" si="267"/>
        <v>Jun'28</v>
      </c>
      <c r="BI135" s="741" t="str">
        <f t="shared" si="267"/>
        <v>Jul'28</v>
      </c>
      <c r="BJ135" s="741" t="str">
        <f t="shared" si="267"/>
        <v>Aug'28</v>
      </c>
      <c r="BK135" s="741" t="str">
        <f t="shared" si="267"/>
        <v>Sep'28</v>
      </c>
      <c r="BL135" s="741" t="str">
        <f t="shared" si="267"/>
        <v>Okt'28</v>
      </c>
      <c r="BM135" s="741" t="str">
        <f t="shared" si="267"/>
        <v>Nov'28</v>
      </c>
      <c r="BN135" s="741" t="str">
        <f t="shared" si="267"/>
        <v>Dec'28</v>
      </c>
    </row>
    <row r="136" spans="3:66" x14ac:dyDescent="0.25">
      <c r="C136" s="4" t="s">
        <v>21</v>
      </c>
      <c r="D136" s="5">
        <f t="shared" ref="D136:AI136" si="268">D17</f>
        <v>0</v>
      </c>
      <c r="E136" s="5">
        <f t="shared" si="268"/>
        <v>0</v>
      </c>
      <c r="F136" s="21">
        <f t="shared" si="268"/>
        <v>0</v>
      </c>
      <c r="G136" s="5">
        <f t="shared" si="268"/>
        <v>0</v>
      </c>
      <c r="H136" s="5">
        <f t="shared" si="268"/>
        <v>0</v>
      </c>
      <c r="I136" s="5">
        <f t="shared" si="268"/>
        <v>0</v>
      </c>
      <c r="J136" s="5">
        <f t="shared" si="268"/>
        <v>0</v>
      </c>
      <c r="K136" s="5">
        <f t="shared" si="268"/>
        <v>0</v>
      </c>
      <c r="L136" s="5">
        <f t="shared" si="268"/>
        <v>0</v>
      </c>
      <c r="M136" s="5">
        <f t="shared" si="268"/>
        <v>0</v>
      </c>
      <c r="N136" s="5">
        <f t="shared" si="268"/>
        <v>0</v>
      </c>
      <c r="O136" s="5">
        <f t="shared" si="268"/>
        <v>0</v>
      </c>
      <c r="P136" s="5">
        <f t="shared" si="268"/>
        <v>0</v>
      </c>
      <c r="Q136" s="5">
        <f t="shared" si="268"/>
        <v>0</v>
      </c>
      <c r="R136" s="5">
        <f t="shared" si="268"/>
        <v>0</v>
      </c>
      <c r="S136" s="5">
        <f t="shared" si="268"/>
        <v>0</v>
      </c>
      <c r="T136" s="5">
        <f t="shared" si="268"/>
        <v>0</v>
      </c>
      <c r="U136" s="5">
        <f t="shared" si="268"/>
        <v>0</v>
      </c>
      <c r="V136" s="5">
        <f t="shared" si="268"/>
        <v>0</v>
      </c>
      <c r="W136" s="5">
        <f t="shared" si="268"/>
        <v>0</v>
      </c>
      <c r="X136" s="5">
        <f t="shared" si="268"/>
        <v>0</v>
      </c>
      <c r="Y136" s="5">
        <f t="shared" si="268"/>
        <v>0</v>
      </c>
      <c r="Z136" s="5">
        <f t="shared" si="268"/>
        <v>0</v>
      </c>
      <c r="AA136" s="5">
        <f t="shared" si="268"/>
        <v>0</v>
      </c>
      <c r="AB136" s="5">
        <f t="shared" si="268"/>
        <v>0</v>
      </c>
      <c r="AC136" s="5">
        <f t="shared" si="268"/>
        <v>0</v>
      </c>
      <c r="AD136" s="5">
        <f t="shared" si="268"/>
        <v>0</v>
      </c>
      <c r="AE136" s="5">
        <f t="shared" si="268"/>
        <v>0</v>
      </c>
      <c r="AF136" s="5">
        <f t="shared" si="268"/>
        <v>0</v>
      </c>
      <c r="AG136" s="5">
        <f t="shared" si="268"/>
        <v>0</v>
      </c>
      <c r="AH136" s="5">
        <f t="shared" si="268"/>
        <v>0</v>
      </c>
      <c r="AI136" s="5">
        <f t="shared" si="268"/>
        <v>0</v>
      </c>
      <c r="AJ136" s="5">
        <f t="shared" ref="AJ136:BN136" si="269">AJ17</f>
        <v>0</v>
      </c>
      <c r="AK136" s="5">
        <f t="shared" si="269"/>
        <v>0</v>
      </c>
      <c r="AL136" s="5">
        <f t="shared" si="269"/>
        <v>0</v>
      </c>
      <c r="AM136" s="5">
        <f t="shared" si="269"/>
        <v>0</v>
      </c>
      <c r="AN136" s="5">
        <f t="shared" si="269"/>
        <v>0</v>
      </c>
      <c r="AO136" s="5">
        <f t="shared" si="269"/>
        <v>0</v>
      </c>
      <c r="AP136" s="5">
        <f t="shared" si="269"/>
        <v>0</v>
      </c>
      <c r="AQ136" s="5">
        <f t="shared" si="269"/>
        <v>0</v>
      </c>
      <c r="AR136" s="5">
        <f t="shared" si="269"/>
        <v>0</v>
      </c>
      <c r="AS136" s="5">
        <f t="shared" si="269"/>
        <v>0</v>
      </c>
      <c r="AT136" s="5">
        <f t="shared" si="269"/>
        <v>0</v>
      </c>
      <c r="AU136" s="5">
        <f t="shared" si="269"/>
        <v>0</v>
      </c>
      <c r="AV136" s="5">
        <f t="shared" si="269"/>
        <v>0</v>
      </c>
      <c r="AW136" s="5">
        <f t="shared" si="269"/>
        <v>0</v>
      </c>
      <c r="AX136" s="5">
        <f t="shared" si="269"/>
        <v>0</v>
      </c>
      <c r="AY136" s="5">
        <f t="shared" si="269"/>
        <v>0</v>
      </c>
      <c r="AZ136" s="5">
        <f t="shared" si="269"/>
        <v>0</v>
      </c>
      <c r="BA136" s="5">
        <f t="shared" si="269"/>
        <v>0</v>
      </c>
      <c r="BB136" s="5">
        <f t="shared" si="269"/>
        <v>0</v>
      </c>
      <c r="BC136" s="5">
        <f t="shared" si="269"/>
        <v>0</v>
      </c>
      <c r="BD136" s="5">
        <f t="shared" si="269"/>
        <v>0</v>
      </c>
      <c r="BE136" s="5">
        <f t="shared" si="269"/>
        <v>0</v>
      </c>
      <c r="BF136" s="5">
        <f t="shared" si="269"/>
        <v>0</v>
      </c>
      <c r="BG136" s="5">
        <f t="shared" si="269"/>
        <v>0</v>
      </c>
      <c r="BH136" s="5">
        <f t="shared" si="269"/>
        <v>0</v>
      </c>
      <c r="BI136" s="5">
        <f t="shared" si="269"/>
        <v>0</v>
      </c>
      <c r="BJ136" s="5">
        <f t="shared" si="269"/>
        <v>0</v>
      </c>
      <c r="BK136" s="5">
        <f t="shared" si="269"/>
        <v>0</v>
      </c>
      <c r="BL136" s="5">
        <f t="shared" si="269"/>
        <v>0</v>
      </c>
      <c r="BM136" s="5">
        <f t="shared" si="269"/>
        <v>0</v>
      </c>
      <c r="BN136" s="5">
        <f t="shared" si="269"/>
        <v>0</v>
      </c>
    </row>
    <row r="137" spans="3:66" x14ac:dyDescent="0.25">
      <c r="C137" s="4" t="s">
        <v>75</v>
      </c>
      <c r="D137" s="5">
        <f t="shared" ref="D137:F138" si="270">-D31</f>
        <v>0</v>
      </c>
      <c r="E137" s="5">
        <f t="shared" si="270"/>
        <v>0</v>
      </c>
      <c r="F137" s="21">
        <f t="shared" si="270"/>
        <v>0</v>
      </c>
      <c r="G137" s="5">
        <f t="shared" ref="G137:AL137" si="271">-G33</f>
        <v>0</v>
      </c>
      <c r="H137" s="5">
        <f t="shared" si="271"/>
        <v>0</v>
      </c>
      <c r="I137" s="5">
        <f t="shared" si="271"/>
        <v>0</v>
      </c>
      <c r="J137" s="5">
        <f t="shared" si="271"/>
        <v>0</v>
      </c>
      <c r="K137" s="5">
        <f t="shared" si="271"/>
        <v>0</v>
      </c>
      <c r="L137" s="5">
        <f t="shared" si="271"/>
        <v>0</v>
      </c>
      <c r="M137" s="5">
        <f t="shared" si="271"/>
        <v>0</v>
      </c>
      <c r="N137" s="5">
        <f t="shared" si="271"/>
        <v>0</v>
      </c>
      <c r="O137" s="5">
        <f t="shared" si="271"/>
        <v>0</v>
      </c>
      <c r="P137" s="5">
        <f t="shared" si="271"/>
        <v>0</v>
      </c>
      <c r="Q137" s="5">
        <f t="shared" si="271"/>
        <v>0</v>
      </c>
      <c r="R137" s="5">
        <f t="shared" si="271"/>
        <v>0</v>
      </c>
      <c r="S137" s="5">
        <f t="shared" si="271"/>
        <v>0</v>
      </c>
      <c r="T137" s="5">
        <f t="shared" si="271"/>
        <v>0</v>
      </c>
      <c r="U137" s="5">
        <f t="shared" si="271"/>
        <v>0</v>
      </c>
      <c r="V137" s="5">
        <f t="shared" si="271"/>
        <v>0</v>
      </c>
      <c r="W137" s="5">
        <f t="shared" si="271"/>
        <v>0</v>
      </c>
      <c r="X137" s="5">
        <f t="shared" si="271"/>
        <v>0</v>
      </c>
      <c r="Y137" s="5">
        <f t="shared" si="271"/>
        <v>0</v>
      </c>
      <c r="Z137" s="5">
        <f t="shared" si="271"/>
        <v>0</v>
      </c>
      <c r="AA137" s="5">
        <f t="shared" si="271"/>
        <v>0</v>
      </c>
      <c r="AB137" s="5">
        <f t="shared" si="271"/>
        <v>0</v>
      </c>
      <c r="AC137" s="5">
        <f t="shared" si="271"/>
        <v>0</v>
      </c>
      <c r="AD137" s="5">
        <f t="shared" si="271"/>
        <v>0</v>
      </c>
      <c r="AE137" s="5">
        <f t="shared" si="271"/>
        <v>0</v>
      </c>
      <c r="AF137" s="5">
        <f t="shared" si="271"/>
        <v>0</v>
      </c>
      <c r="AG137" s="5">
        <f t="shared" si="271"/>
        <v>0</v>
      </c>
      <c r="AH137" s="5">
        <f t="shared" si="271"/>
        <v>0</v>
      </c>
      <c r="AI137" s="5">
        <f t="shared" si="271"/>
        <v>0</v>
      </c>
      <c r="AJ137" s="5">
        <f t="shared" si="271"/>
        <v>0</v>
      </c>
      <c r="AK137" s="5">
        <f t="shared" si="271"/>
        <v>0</v>
      </c>
      <c r="AL137" s="5">
        <f t="shared" si="271"/>
        <v>0</v>
      </c>
      <c r="AM137" s="5">
        <f t="shared" ref="AM137:BN137" si="272">-AM33</f>
        <v>0</v>
      </c>
      <c r="AN137" s="5">
        <f t="shared" si="272"/>
        <v>0</v>
      </c>
      <c r="AO137" s="5">
        <f t="shared" si="272"/>
        <v>0</v>
      </c>
      <c r="AP137" s="5">
        <f t="shared" si="272"/>
        <v>0</v>
      </c>
      <c r="AQ137" s="5">
        <f t="shared" si="272"/>
        <v>0</v>
      </c>
      <c r="AR137" s="5">
        <f t="shared" si="272"/>
        <v>0</v>
      </c>
      <c r="AS137" s="5">
        <f t="shared" si="272"/>
        <v>0</v>
      </c>
      <c r="AT137" s="5">
        <f t="shared" si="272"/>
        <v>0</v>
      </c>
      <c r="AU137" s="5">
        <f t="shared" si="272"/>
        <v>0</v>
      </c>
      <c r="AV137" s="5">
        <f t="shared" si="272"/>
        <v>0</v>
      </c>
      <c r="AW137" s="5">
        <f t="shared" si="272"/>
        <v>0</v>
      </c>
      <c r="AX137" s="5">
        <f t="shared" si="272"/>
        <v>0</v>
      </c>
      <c r="AY137" s="5">
        <f t="shared" si="272"/>
        <v>0</v>
      </c>
      <c r="AZ137" s="5">
        <f t="shared" si="272"/>
        <v>0</v>
      </c>
      <c r="BA137" s="5">
        <f t="shared" si="272"/>
        <v>0</v>
      </c>
      <c r="BB137" s="5">
        <f t="shared" si="272"/>
        <v>0</v>
      </c>
      <c r="BC137" s="5">
        <f t="shared" si="272"/>
        <v>0</v>
      </c>
      <c r="BD137" s="5">
        <f t="shared" si="272"/>
        <v>0</v>
      </c>
      <c r="BE137" s="5">
        <f t="shared" si="272"/>
        <v>0</v>
      </c>
      <c r="BF137" s="5">
        <f t="shared" si="272"/>
        <v>0</v>
      </c>
      <c r="BG137" s="5">
        <f t="shared" si="272"/>
        <v>0</v>
      </c>
      <c r="BH137" s="5">
        <f t="shared" si="272"/>
        <v>0</v>
      </c>
      <c r="BI137" s="5">
        <f t="shared" si="272"/>
        <v>0</v>
      </c>
      <c r="BJ137" s="5">
        <f t="shared" si="272"/>
        <v>0</v>
      </c>
      <c r="BK137" s="5">
        <f t="shared" si="272"/>
        <v>0</v>
      </c>
      <c r="BL137" s="5">
        <f t="shared" si="272"/>
        <v>0</v>
      </c>
      <c r="BM137" s="5">
        <f t="shared" si="272"/>
        <v>0</v>
      </c>
      <c r="BN137" s="5">
        <f t="shared" si="272"/>
        <v>0</v>
      </c>
    </row>
    <row r="138" spans="3:66" x14ac:dyDescent="0.25">
      <c r="C138" s="4" t="s">
        <v>29</v>
      </c>
      <c r="D138" s="5">
        <f t="shared" si="270"/>
        <v>0</v>
      </c>
      <c r="E138" s="5">
        <f t="shared" si="270"/>
        <v>0</v>
      </c>
      <c r="F138" s="21">
        <f t="shared" si="270"/>
        <v>0</v>
      </c>
      <c r="G138" s="5">
        <f t="shared" ref="G138:AL138" si="273">-G32</f>
        <v>0</v>
      </c>
      <c r="H138" s="5">
        <f t="shared" si="273"/>
        <v>0</v>
      </c>
      <c r="I138" s="5">
        <f t="shared" si="273"/>
        <v>0</v>
      </c>
      <c r="J138" s="5">
        <f t="shared" si="273"/>
        <v>0</v>
      </c>
      <c r="K138" s="5">
        <f t="shared" si="273"/>
        <v>0</v>
      </c>
      <c r="L138" s="5">
        <f t="shared" si="273"/>
        <v>0</v>
      </c>
      <c r="M138" s="5">
        <f t="shared" si="273"/>
        <v>0</v>
      </c>
      <c r="N138" s="5">
        <f t="shared" si="273"/>
        <v>0</v>
      </c>
      <c r="O138" s="5">
        <f t="shared" si="273"/>
        <v>0</v>
      </c>
      <c r="P138" s="5">
        <f t="shared" si="273"/>
        <v>0</v>
      </c>
      <c r="Q138" s="5">
        <f t="shared" si="273"/>
        <v>0</v>
      </c>
      <c r="R138" s="5">
        <f t="shared" si="273"/>
        <v>0</v>
      </c>
      <c r="S138" s="5">
        <f t="shared" si="273"/>
        <v>0</v>
      </c>
      <c r="T138" s="5">
        <f t="shared" si="273"/>
        <v>0</v>
      </c>
      <c r="U138" s="5">
        <f t="shared" si="273"/>
        <v>0</v>
      </c>
      <c r="V138" s="5">
        <f t="shared" si="273"/>
        <v>0</v>
      </c>
      <c r="W138" s="5">
        <f t="shared" si="273"/>
        <v>0</v>
      </c>
      <c r="X138" s="5">
        <f t="shared" si="273"/>
        <v>0</v>
      </c>
      <c r="Y138" s="5">
        <f t="shared" si="273"/>
        <v>0</v>
      </c>
      <c r="Z138" s="5">
        <f t="shared" si="273"/>
        <v>0</v>
      </c>
      <c r="AA138" s="5">
        <f t="shared" si="273"/>
        <v>0</v>
      </c>
      <c r="AB138" s="5">
        <f t="shared" si="273"/>
        <v>0</v>
      </c>
      <c r="AC138" s="5">
        <f t="shared" si="273"/>
        <v>0</v>
      </c>
      <c r="AD138" s="5">
        <f t="shared" si="273"/>
        <v>0</v>
      </c>
      <c r="AE138" s="5">
        <f t="shared" si="273"/>
        <v>0</v>
      </c>
      <c r="AF138" s="5">
        <f t="shared" si="273"/>
        <v>0</v>
      </c>
      <c r="AG138" s="5">
        <f t="shared" si="273"/>
        <v>0</v>
      </c>
      <c r="AH138" s="5">
        <f t="shared" si="273"/>
        <v>0</v>
      </c>
      <c r="AI138" s="5">
        <f t="shared" si="273"/>
        <v>0</v>
      </c>
      <c r="AJ138" s="5">
        <f t="shared" si="273"/>
        <v>0</v>
      </c>
      <c r="AK138" s="5">
        <f t="shared" si="273"/>
        <v>0</v>
      </c>
      <c r="AL138" s="5">
        <f t="shared" si="273"/>
        <v>0</v>
      </c>
      <c r="AM138" s="5">
        <f t="shared" ref="AM138:BN138" si="274">-AM32</f>
        <v>0</v>
      </c>
      <c r="AN138" s="5">
        <f t="shared" si="274"/>
        <v>0</v>
      </c>
      <c r="AO138" s="5">
        <f t="shared" si="274"/>
        <v>0</v>
      </c>
      <c r="AP138" s="5">
        <f t="shared" si="274"/>
        <v>0</v>
      </c>
      <c r="AQ138" s="5">
        <f t="shared" si="274"/>
        <v>0</v>
      </c>
      <c r="AR138" s="5">
        <f t="shared" si="274"/>
        <v>0</v>
      </c>
      <c r="AS138" s="5">
        <f t="shared" si="274"/>
        <v>0</v>
      </c>
      <c r="AT138" s="5">
        <f t="shared" si="274"/>
        <v>0</v>
      </c>
      <c r="AU138" s="5">
        <f t="shared" si="274"/>
        <v>0</v>
      </c>
      <c r="AV138" s="5">
        <f t="shared" si="274"/>
        <v>0</v>
      </c>
      <c r="AW138" s="5">
        <f t="shared" si="274"/>
        <v>0</v>
      </c>
      <c r="AX138" s="5">
        <f t="shared" si="274"/>
        <v>0</v>
      </c>
      <c r="AY138" s="5">
        <f t="shared" si="274"/>
        <v>0</v>
      </c>
      <c r="AZ138" s="5">
        <f t="shared" si="274"/>
        <v>0</v>
      </c>
      <c r="BA138" s="5">
        <f t="shared" si="274"/>
        <v>0</v>
      </c>
      <c r="BB138" s="5">
        <f t="shared" si="274"/>
        <v>0</v>
      </c>
      <c r="BC138" s="5">
        <f t="shared" si="274"/>
        <v>0</v>
      </c>
      <c r="BD138" s="5">
        <f t="shared" si="274"/>
        <v>0</v>
      </c>
      <c r="BE138" s="5">
        <f t="shared" si="274"/>
        <v>0</v>
      </c>
      <c r="BF138" s="5">
        <f t="shared" si="274"/>
        <v>0</v>
      </c>
      <c r="BG138" s="5">
        <f t="shared" si="274"/>
        <v>0</v>
      </c>
      <c r="BH138" s="5">
        <f t="shared" si="274"/>
        <v>0</v>
      </c>
      <c r="BI138" s="5">
        <f t="shared" si="274"/>
        <v>0</v>
      </c>
      <c r="BJ138" s="5">
        <f t="shared" si="274"/>
        <v>0</v>
      </c>
      <c r="BK138" s="5">
        <f t="shared" si="274"/>
        <v>0</v>
      </c>
      <c r="BL138" s="5">
        <f t="shared" si="274"/>
        <v>0</v>
      </c>
      <c r="BM138" s="5">
        <f t="shared" si="274"/>
        <v>0</v>
      </c>
      <c r="BN138" s="5">
        <f t="shared" si="274"/>
        <v>0</v>
      </c>
    </row>
    <row r="139" spans="3:66" x14ac:dyDescent="0.25">
      <c r="C139" s="413" t="s">
        <v>31</v>
      </c>
      <c r="D139" s="5">
        <f t="shared" ref="D139:AI139" si="275">-D34</f>
        <v>0</v>
      </c>
      <c r="E139" s="5">
        <f t="shared" si="275"/>
        <v>0</v>
      </c>
      <c r="F139" s="21">
        <f t="shared" si="275"/>
        <v>0</v>
      </c>
      <c r="G139" s="5">
        <f t="shared" si="275"/>
        <v>0</v>
      </c>
      <c r="H139" s="5">
        <f t="shared" si="275"/>
        <v>0</v>
      </c>
      <c r="I139" s="5">
        <f t="shared" si="275"/>
        <v>0</v>
      </c>
      <c r="J139" s="5">
        <f t="shared" si="275"/>
        <v>0</v>
      </c>
      <c r="K139" s="5">
        <f t="shared" si="275"/>
        <v>0</v>
      </c>
      <c r="L139" s="5">
        <f t="shared" si="275"/>
        <v>0</v>
      </c>
      <c r="M139" s="5">
        <f t="shared" si="275"/>
        <v>0</v>
      </c>
      <c r="N139" s="5">
        <f t="shared" si="275"/>
        <v>0</v>
      </c>
      <c r="O139" s="5">
        <f t="shared" si="275"/>
        <v>0</v>
      </c>
      <c r="P139" s="5">
        <f t="shared" si="275"/>
        <v>0</v>
      </c>
      <c r="Q139" s="5">
        <f t="shared" si="275"/>
        <v>0</v>
      </c>
      <c r="R139" s="5">
        <f t="shared" si="275"/>
        <v>0</v>
      </c>
      <c r="S139" s="5">
        <f t="shared" si="275"/>
        <v>0</v>
      </c>
      <c r="T139" s="5">
        <f t="shared" si="275"/>
        <v>0</v>
      </c>
      <c r="U139" s="5">
        <f t="shared" si="275"/>
        <v>0</v>
      </c>
      <c r="V139" s="5">
        <f t="shared" si="275"/>
        <v>0</v>
      </c>
      <c r="W139" s="5">
        <f t="shared" si="275"/>
        <v>0</v>
      </c>
      <c r="X139" s="5">
        <f t="shared" si="275"/>
        <v>0</v>
      </c>
      <c r="Y139" s="5">
        <f t="shared" si="275"/>
        <v>0</v>
      </c>
      <c r="Z139" s="5">
        <f t="shared" si="275"/>
        <v>0</v>
      </c>
      <c r="AA139" s="5">
        <f t="shared" si="275"/>
        <v>0</v>
      </c>
      <c r="AB139" s="5">
        <f t="shared" si="275"/>
        <v>0</v>
      </c>
      <c r="AC139" s="5">
        <f t="shared" si="275"/>
        <v>0</v>
      </c>
      <c r="AD139" s="5">
        <f t="shared" si="275"/>
        <v>0</v>
      </c>
      <c r="AE139" s="5">
        <f t="shared" si="275"/>
        <v>0</v>
      </c>
      <c r="AF139" s="5">
        <f t="shared" si="275"/>
        <v>0</v>
      </c>
      <c r="AG139" s="5">
        <f t="shared" si="275"/>
        <v>0</v>
      </c>
      <c r="AH139" s="5">
        <f t="shared" si="275"/>
        <v>0</v>
      </c>
      <c r="AI139" s="5">
        <f t="shared" si="275"/>
        <v>0</v>
      </c>
      <c r="AJ139" s="5">
        <f t="shared" ref="AJ139:BN139" si="276">-AJ34</f>
        <v>0</v>
      </c>
      <c r="AK139" s="5">
        <f t="shared" si="276"/>
        <v>0</v>
      </c>
      <c r="AL139" s="5">
        <f t="shared" si="276"/>
        <v>0</v>
      </c>
      <c r="AM139" s="5">
        <f t="shared" si="276"/>
        <v>0</v>
      </c>
      <c r="AN139" s="5">
        <f t="shared" si="276"/>
        <v>0</v>
      </c>
      <c r="AO139" s="5">
        <f t="shared" si="276"/>
        <v>0</v>
      </c>
      <c r="AP139" s="5">
        <f t="shared" si="276"/>
        <v>0</v>
      </c>
      <c r="AQ139" s="5">
        <f t="shared" si="276"/>
        <v>0</v>
      </c>
      <c r="AR139" s="5">
        <f t="shared" si="276"/>
        <v>0</v>
      </c>
      <c r="AS139" s="5">
        <f t="shared" si="276"/>
        <v>0</v>
      </c>
      <c r="AT139" s="5">
        <f t="shared" si="276"/>
        <v>0</v>
      </c>
      <c r="AU139" s="5">
        <f t="shared" si="276"/>
        <v>0</v>
      </c>
      <c r="AV139" s="5">
        <f t="shared" si="276"/>
        <v>0</v>
      </c>
      <c r="AW139" s="5">
        <f t="shared" si="276"/>
        <v>0</v>
      </c>
      <c r="AX139" s="5">
        <f t="shared" si="276"/>
        <v>0</v>
      </c>
      <c r="AY139" s="5">
        <f t="shared" si="276"/>
        <v>0</v>
      </c>
      <c r="AZ139" s="5">
        <f t="shared" si="276"/>
        <v>0</v>
      </c>
      <c r="BA139" s="5">
        <f t="shared" si="276"/>
        <v>0</v>
      </c>
      <c r="BB139" s="5">
        <f t="shared" si="276"/>
        <v>0</v>
      </c>
      <c r="BC139" s="5">
        <f t="shared" si="276"/>
        <v>0</v>
      </c>
      <c r="BD139" s="5">
        <f t="shared" si="276"/>
        <v>0</v>
      </c>
      <c r="BE139" s="5">
        <f t="shared" si="276"/>
        <v>0</v>
      </c>
      <c r="BF139" s="5">
        <f t="shared" si="276"/>
        <v>0</v>
      </c>
      <c r="BG139" s="5">
        <f t="shared" si="276"/>
        <v>0</v>
      </c>
      <c r="BH139" s="5">
        <f t="shared" si="276"/>
        <v>0</v>
      </c>
      <c r="BI139" s="5">
        <f t="shared" si="276"/>
        <v>0</v>
      </c>
      <c r="BJ139" s="5">
        <f t="shared" si="276"/>
        <v>0</v>
      </c>
      <c r="BK139" s="5">
        <f t="shared" si="276"/>
        <v>0</v>
      </c>
      <c r="BL139" s="5">
        <f t="shared" si="276"/>
        <v>0</v>
      </c>
      <c r="BM139" s="5">
        <f t="shared" si="276"/>
        <v>0</v>
      </c>
      <c r="BN139" s="5">
        <f t="shared" si="276"/>
        <v>0</v>
      </c>
    </row>
    <row r="140" spans="3:66" x14ac:dyDescent="0.25">
      <c r="C140" s="413" t="s">
        <v>76</v>
      </c>
      <c r="D140" s="5">
        <f t="shared" ref="D140:AI140" si="277">-D35</f>
        <v>0</v>
      </c>
      <c r="E140" s="5">
        <f t="shared" si="277"/>
        <v>0</v>
      </c>
      <c r="F140" s="21">
        <f t="shared" si="277"/>
        <v>0</v>
      </c>
      <c r="G140" s="5">
        <f t="shared" si="277"/>
        <v>0</v>
      </c>
      <c r="H140" s="5">
        <f t="shared" si="277"/>
        <v>0</v>
      </c>
      <c r="I140" s="5">
        <f t="shared" si="277"/>
        <v>0</v>
      </c>
      <c r="J140" s="5">
        <f t="shared" si="277"/>
        <v>0</v>
      </c>
      <c r="K140" s="5">
        <f t="shared" si="277"/>
        <v>0</v>
      </c>
      <c r="L140" s="5">
        <f t="shared" si="277"/>
        <v>0</v>
      </c>
      <c r="M140" s="5">
        <f t="shared" si="277"/>
        <v>0</v>
      </c>
      <c r="N140" s="5">
        <f t="shared" si="277"/>
        <v>0</v>
      </c>
      <c r="O140" s="5">
        <f t="shared" si="277"/>
        <v>0</v>
      </c>
      <c r="P140" s="5">
        <f t="shared" si="277"/>
        <v>0</v>
      </c>
      <c r="Q140" s="5">
        <f t="shared" si="277"/>
        <v>0</v>
      </c>
      <c r="R140" s="5">
        <f t="shared" si="277"/>
        <v>0</v>
      </c>
      <c r="S140" s="5">
        <f t="shared" si="277"/>
        <v>0</v>
      </c>
      <c r="T140" s="5">
        <f t="shared" si="277"/>
        <v>0</v>
      </c>
      <c r="U140" s="5">
        <f t="shared" si="277"/>
        <v>0</v>
      </c>
      <c r="V140" s="5">
        <f t="shared" si="277"/>
        <v>0</v>
      </c>
      <c r="W140" s="5">
        <f t="shared" si="277"/>
        <v>0</v>
      </c>
      <c r="X140" s="5">
        <f t="shared" si="277"/>
        <v>0</v>
      </c>
      <c r="Y140" s="5">
        <f t="shared" si="277"/>
        <v>0</v>
      </c>
      <c r="Z140" s="5">
        <f t="shared" si="277"/>
        <v>0</v>
      </c>
      <c r="AA140" s="5">
        <f t="shared" si="277"/>
        <v>0</v>
      </c>
      <c r="AB140" s="5">
        <f t="shared" si="277"/>
        <v>0</v>
      </c>
      <c r="AC140" s="5">
        <f t="shared" si="277"/>
        <v>0</v>
      </c>
      <c r="AD140" s="5">
        <f t="shared" si="277"/>
        <v>0</v>
      </c>
      <c r="AE140" s="5">
        <f t="shared" si="277"/>
        <v>0</v>
      </c>
      <c r="AF140" s="5">
        <f t="shared" si="277"/>
        <v>0</v>
      </c>
      <c r="AG140" s="5">
        <f t="shared" si="277"/>
        <v>0</v>
      </c>
      <c r="AH140" s="5">
        <f t="shared" si="277"/>
        <v>0</v>
      </c>
      <c r="AI140" s="5">
        <f t="shared" si="277"/>
        <v>0</v>
      </c>
      <c r="AJ140" s="5">
        <f t="shared" ref="AJ140:BN140" si="278">-AJ35</f>
        <v>0</v>
      </c>
      <c r="AK140" s="5">
        <f t="shared" si="278"/>
        <v>0</v>
      </c>
      <c r="AL140" s="5">
        <f t="shared" si="278"/>
        <v>0</v>
      </c>
      <c r="AM140" s="5">
        <f t="shared" si="278"/>
        <v>0</v>
      </c>
      <c r="AN140" s="5">
        <f t="shared" si="278"/>
        <v>0</v>
      </c>
      <c r="AO140" s="5">
        <f t="shared" si="278"/>
        <v>0</v>
      </c>
      <c r="AP140" s="5">
        <f t="shared" si="278"/>
        <v>0</v>
      </c>
      <c r="AQ140" s="5">
        <f t="shared" si="278"/>
        <v>0</v>
      </c>
      <c r="AR140" s="5">
        <f t="shared" si="278"/>
        <v>0</v>
      </c>
      <c r="AS140" s="5">
        <f t="shared" si="278"/>
        <v>0</v>
      </c>
      <c r="AT140" s="5">
        <f t="shared" si="278"/>
        <v>0</v>
      </c>
      <c r="AU140" s="5">
        <f t="shared" si="278"/>
        <v>0</v>
      </c>
      <c r="AV140" s="5">
        <f t="shared" si="278"/>
        <v>0</v>
      </c>
      <c r="AW140" s="5">
        <f t="shared" si="278"/>
        <v>0</v>
      </c>
      <c r="AX140" s="5">
        <f t="shared" si="278"/>
        <v>0</v>
      </c>
      <c r="AY140" s="5">
        <f t="shared" si="278"/>
        <v>0</v>
      </c>
      <c r="AZ140" s="5">
        <f t="shared" si="278"/>
        <v>0</v>
      </c>
      <c r="BA140" s="5">
        <f t="shared" si="278"/>
        <v>0</v>
      </c>
      <c r="BB140" s="5">
        <f t="shared" si="278"/>
        <v>0</v>
      </c>
      <c r="BC140" s="5">
        <f t="shared" si="278"/>
        <v>0</v>
      </c>
      <c r="BD140" s="5">
        <f t="shared" si="278"/>
        <v>0</v>
      </c>
      <c r="BE140" s="5">
        <f t="shared" si="278"/>
        <v>0</v>
      </c>
      <c r="BF140" s="5">
        <f t="shared" si="278"/>
        <v>0</v>
      </c>
      <c r="BG140" s="5">
        <f t="shared" si="278"/>
        <v>0</v>
      </c>
      <c r="BH140" s="5">
        <f t="shared" si="278"/>
        <v>0</v>
      </c>
      <c r="BI140" s="5">
        <f t="shared" si="278"/>
        <v>0</v>
      </c>
      <c r="BJ140" s="5">
        <f t="shared" si="278"/>
        <v>0</v>
      </c>
      <c r="BK140" s="5">
        <f t="shared" si="278"/>
        <v>0</v>
      </c>
      <c r="BL140" s="5">
        <f t="shared" si="278"/>
        <v>0</v>
      </c>
      <c r="BM140" s="5">
        <f t="shared" si="278"/>
        <v>0</v>
      </c>
      <c r="BN140" s="5">
        <f t="shared" si="278"/>
        <v>0</v>
      </c>
    </row>
    <row r="141" spans="3:66" x14ac:dyDescent="0.25">
      <c r="C141" s="410" t="s">
        <v>77</v>
      </c>
      <c r="D141" s="410">
        <f>SUM(D136:D140)</f>
        <v>0</v>
      </c>
      <c r="E141" s="410">
        <f>SUM(E136:E140)</f>
        <v>0</v>
      </c>
      <c r="F141" s="15">
        <f>SUM(F136:F140)</f>
        <v>0</v>
      </c>
      <c r="G141" s="410">
        <f>SUM(G136:G140)</f>
        <v>0</v>
      </c>
      <c r="H141" s="410">
        <f t="shared" ref="H141:BN141" si="279">SUM(H136:H140)</f>
        <v>0</v>
      </c>
      <c r="I141" s="410">
        <f t="shared" si="279"/>
        <v>0</v>
      </c>
      <c r="J141" s="410">
        <f t="shared" si="279"/>
        <v>0</v>
      </c>
      <c r="K141" s="410">
        <f t="shared" si="279"/>
        <v>0</v>
      </c>
      <c r="L141" s="410">
        <f t="shared" si="279"/>
        <v>0</v>
      </c>
      <c r="M141" s="410">
        <f t="shared" si="279"/>
        <v>0</v>
      </c>
      <c r="N141" s="410">
        <f t="shared" si="279"/>
        <v>0</v>
      </c>
      <c r="O141" s="410">
        <f t="shared" si="279"/>
        <v>0</v>
      </c>
      <c r="P141" s="410">
        <f t="shared" si="279"/>
        <v>0</v>
      </c>
      <c r="Q141" s="410">
        <f t="shared" si="279"/>
        <v>0</v>
      </c>
      <c r="R141" s="410">
        <f t="shared" si="279"/>
        <v>0</v>
      </c>
      <c r="S141" s="410">
        <f t="shared" si="279"/>
        <v>0</v>
      </c>
      <c r="T141" s="410">
        <f t="shared" si="279"/>
        <v>0</v>
      </c>
      <c r="U141" s="410">
        <f t="shared" si="279"/>
        <v>0</v>
      </c>
      <c r="V141" s="410">
        <f t="shared" si="279"/>
        <v>0</v>
      </c>
      <c r="W141" s="410">
        <f t="shared" si="279"/>
        <v>0</v>
      </c>
      <c r="X141" s="410">
        <f t="shared" si="279"/>
        <v>0</v>
      </c>
      <c r="Y141" s="410">
        <f t="shared" si="279"/>
        <v>0</v>
      </c>
      <c r="Z141" s="410">
        <f t="shared" si="279"/>
        <v>0</v>
      </c>
      <c r="AA141" s="410">
        <f t="shared" si="279"/>
        <v>0</v>
      </c>
      <c r="AB141" s="410">
        <f t="shared" si="279"/>
        <v>0</v>
      </c>
      <c r="AC141" s="410">
        <f t="shared" si="279"/>
        <v>0</v>
      </c>
      <c r="AD141" s="410">
        <f t="shared" si="279"/>
        <v>0</v>
      </c>
      <c r="AE141" s="410">
        <f t="shared" si="279"/>
        <v>0</v>
      </c>
      <c r="AF141" s="410">
        <f t="shared" si="279"/>
        <v>0</v>
      </c>
      <c r="AG141" s="410">
        <f t="shared" si="279"/>
        <v>0</v>
      </c>
      <c r="AH141" s="410">
        <f t="shared" si="279"/>
        <v>0</v>
      </c>
      <c r="AI141" s="410">
        <f t="shared" si="279"/>
        <v>0</v>
      </c>
      <c r="AJ141" s="410">
        <f t="shared" si="279"/>
        <v>0</v>
      </c>
      <c r="AK141" s="410">
        <f t="shared" si="279"/>
        <v>0</v>
      </c>
      <c r="AL141" s="410">
        <f t="shared" si="279"/>
        <v>0</v>
      </c>
      <c r="AM141" s="410">
        <f t="shared" si="279"/>
        <v>0</v>
      </c>
      <c r="AN141" s="410">
        <f t="shared" si="279"/>
        <v>0</v>
      </c>
      <c r="AO141" s="410">
        <f t="shared" si="279"/>
        <v>0</v>
      </c>
      <c r="AP141" s="410">
        <f t="shared" si="279"/>
        <v>0</v>
      </c>
      <c r="AQ141" s="410">
        <f t="shared" si="279"/>
        <v>0</v>
      </c>
      <c r="AR141" s="410">
        <f t="shared" si="279"/>
        <v>0</v>
      </c>
      <c r="AS141" s="410">
        <f t="shared" si="279"/>
        <v>0</v>
      </c>
      <c r="AT141" s="410">
        <f t="shared" si="279"/>
        <v>0</v>
      </c>
      <c r="AU141" s="410">
        <f t="shared" si="279"/>
        <v>0</v>
      </c>
      <c r="AV141" s="410">
        <f t="shared" si="279"/>
        <v>0</v>
      </c>
      <c r="AW141" s="410">
        <f t="shared" si="279"/>
        <v>0</v>
      </c>
      <c r="AX141" s="410">
        <f t="shared" si="279"/>
        <v>0</v>
      </c>
      <c r="AY141" s="410">
        <f t="shared" si="279"/>
        <v>0</v>
      </c>
      <c r="AZ141" s="410">
        <f t="shared" si="279"/>
        <v>0</v>
      </c>
      <c r="BA141" s="410">
        <f t="shared" si="279"/>
        <v>0</v>
      </c>
      <c r="BB141" s="410">
        <f t="shared" si="279"/>
        <v>0</v>
      </c>
      <c r="BC141" s="410">
        <f t="shared" si="279"/>
        <v>0</v>
      </c>
      <c r="BD141" s="410">
        <f t="shared" si="279"/>
        <v>0</v>
      </c>
      <c r="BE141" s="410">
        <f t="shared" si="279"/>
        <v>0</v>
      </c>
      <c r="BF141" s="410">
        <f t="shared" si="279"/>
        <v>0</v>
      </c>
      <c r="BG141" s="410">
        <f t="shared" si="279"/>
        <v>0</v>
      </c>
      <c r="BH141" s="410">
        <f t="shared" si="279"/>
        <v>0</v>
      </c>
      <c r="BI141" s="410">
        <f t="shared" si="279"/>
        <v>0</v>
      </c>
      <c r="BJ141" s="410">
        <f t="shared" si="279"/>
        <v>0</v>
      </c>
      <c r="BK141" s="410">
        <f t="shared" si="279"/>
        <v>0</v>
      </c>
      <c r="BL141" s="410">
        <f t="shared" si="279"/>
        <v>0</v>
      </c>
      <c r="BM141" s="410">
        <f t="shared" si="279"/>
        <v>0</v>
      </c>
      <c r="BN141" s="410">
        <f t="shared" si="279"/>
        <v>0</v>
      </c>
    </row>
    <row r="143" spans="3:66" outlineLevel="1" x14ac:dyDescent="0.25">
      <c r="C143" s="2" t="s">
        <v>78</v>
      </c>
      <c r="D143" s="423"/>
      <c r="E143" s="423"/>
      <c r="F143" s="27"/>
      <c r="G143" s="423"/>
      <c r="H143" s="423"/>
      <c r="I143" s="423"/>
    </row>
    <row r="144" spans="3:66" x14ac:dyDescent="0.25">
      <c r="C144" s="4"/>
    </row>
    <row r="145" spans="3:3" x14ac:dyDescent="0.25">
      <c r="C145" s="4"/>
    </row>
  </sheetData>
  <conditionalFormatting sqref="D17:BN17">
    <cfRule type="cellIs" dxfId="4" priority="2" operator="lessThan">
      <formula>0</formula>
    </cfRule>
  </conditionalFormatting>
  <conditionalFormatting sqref="D29:BN29">
    <cfRule type="cellIs" dxfId="3" priority="1" operator="lessThan">
      <formula>0</formula>
    </cfRule>
  </conditionalFormatting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BBDAA-1CC8-4BD6-8B37-8027C6472FE3}">
  <sheetPr>
    <tabColor theme="4" tint="0.59999389629810485"/>
    <pageSetUpPr autoPageBreaks="0"/>
  </sheetPr>
  <dimension ref="A1:BN145"/>
  <sheetViews>
    <sheetView showGridLines="0" workbookViewId="0">
      <selection activeCell="I18" sqref="I18"/>
    </sheetView>
  </sheetViews>
  <sheetFormatPr defaultColWidth="9.33203125" defaultRowHeight="13.2" outlineLevelRow="1" x14ac:dyDescent="0.25"/>
  <cols>
    <col min="1" max="1" width="9.109375" style="405" customWidth="1"/>
    <col min="2" max="2" width="9.109375" style="2" customWidth="1"/>
    <col min="3" max="3" width="38.44140625" style="2" customWidth="1"/>
    <col min="4" max="5" width="9.33203125" style="2" collapsed="1"/>
    <col min="6" max="6" width="9.33203125" style="12"/>
    <col min="7" max="16384" width="9.33203125" style="2"/>
  </cols>
  <sheetData>
    <row r="1" spans="1:13" x14ac:dyDescent="0.25">
      <c r="A1" s="1">
        <f>SUM(A2:A204)</f>
        <v>0</v>
      </c>
    </row>
    <row r="3" spans="1:13" outlineLevel="1" x14ac:dyDescent="0.25">
      <c r="C3" s="24" t="s">
        <v>854</v>
      </c>
    </row>
    <row r="4" spans="1:13" outlineLevel="1" x14ac:dyDescent="0.25">
      <c r="C4" s="738" t="s">
        <v>6</v>
      </c>
      <c r="D4" s="751" t="str">
        <f>'BP - Monthly'!D4</f>
        <v>FY21</v>
      </c>
      <c r="E4" s="741" t="str">
        <f>'BP - Monthly'!E4</f>
        <v>FY22</v>
      </c>
      <c r="F4" s="743" t="str">
        <f>'BP - Monthly'!F4</f>
        <v>FY23</v>
      </c>
      <c r="G4" s="741" t="str">
        <f>"FY"&amp;RIGHT(F4,2)+1</f>
        <v>FY24</v>
      </c>
      <c r="H4" s="741" t="str">
        <f t="shared" ref="H4:K4" si="0">"FY"&amp;RIGHT(G4,2)+1</f>
        <v>FY25</v>
      </c>
      <c r="I4" s="741" t="str">
        <f t="shared" si="0"/>
        <v>FY26</v>
      </c>
      <c r="J4" s="741" t="str">
        <f t="shared" si="0"/>
        <v>FY27</v>
      </c>
      <c r="K4" s="741" t="str">
        <f t="shared" si="0"/>
        <v>FY28</v>
      </c>
    </row>
    <row r="5" spans="1:13" outlineLevel="1" x14ac:dyDescent="0.25">
      <c r="C5" s="24" t="s">
        <v>855</v>
      </c>
    </row>
    <row r="6" spans="1:13" outlineLevel="1" x14ac:dyDescent="0.25">
      <c r="C6" s="738" t="s">
        <v>6</v>
      </c>
      <c r="D6" s="739" t="str">
        <f>'BP - Monthly'!D6</f>
        <v>Dec'21</v>
      </c>
      <c r="E6" s="742" t="str">
        <f>'BP - Monthly'!E6</f>
        <v>Dec'22</v>
      </c>
      <c r="F6" s="740" t="str">
        <f>'BP - Monthly'!F6</f>
        <v>Dec'23</v>
      </c>
      <c r="G6" s="742" t="str">
        <f>'BP - Monthly'!R6</f>
        <v>Dec'24</v>
      </c>
      <c r="H6" s="742" t="str">
        <f>'BP - Monthly'!AD6</f>
        <v>Dec'25</v>
      </c>
      <c r="I6" s="742" t="str">
        <f>'BP - Monthly'!AP6</f>
        <v>Dec'26</v>
      </c>
      <c r="J6" s="742" t="str">
        <f>'BP - Monthly'!BB6</f>
        <v>Dec'27</v>
      </c>
      <c r="K6" s="742" t="str">
        <f>'BP - Monthly'!BN6</f>
        <v>Dec'28</v>
      </c>
    </row>
    <row r="8" spans="1:13" x14ac:dyDescent="0.25">
      <c r="C8" s="406" t="str">
        <f>"Balans - "&amp;Historiek!$A$2&amp;" - Activa"</f>
        <v>Balans - Dossier - Activa</v>
      </c>
      <c r="D8" s="407"/>
      <c r="E8" s="407"/>
      <c r="F8" s="13"/>
    </row>
    <row r="9" spans="1:13" s="409" customFormat="1" ht="14.1" customHeight="1" x14ac:dyDescent="0.25">
      <c r="A9" s="408"/>
      <c r="C9" s="752" t="str">
        <f>C$6</f>
        <v>k€</v>
      </c>
      <c r="D9" s="742" t="str">
        <f>D$6</f>
        <v>Dec'21</v>
      </c>
      <c r="E9" s="742" t="str">
        <f t="shared" ref="E9:K9" si="1">E$6</f>
        <v>Dec'22</v>
      </c>
      <c r="F9" s="740" t="str">
        <f t="shared" si="1"/>
        <v>Dec'23</v>
      </c>
      <c r="G9" s="742" t="str">
        <f t="shared" si="1"/>
        <v>Dec'24</v>
      </c>
      <c r="H9" s="742" t="str">
        <f t="shared" si="1"/>
        <v>Dec'25</v>
      </c>
      <c r="I9" s="742" t="str">
        <f t="shared" si="1"/>
        <v>Dec'26</v>
      </c>
      <c r="J9" s="742" t="str">
        <f t="shared" si="1"/>
        <v>Dec'27</v>
      </c>
      <c r="K9" s="742" t="str">
        <f t="shared" si="1"/>
        <v>Dec'28</v>
      </c>
      <c r="L9" s="2"/>
      <c r="M9" s="2"/>
    </row>
    <row r="10" spans="1:13" ht="14.1" customHeight="1" x14ac:dyDescent="0.25">
      <c r="C10" s="4" t="s">
        <v>14</v>
      </c>
      <c r="D10" s="4">
        <f>SUM(Balans!D6:D7)</f>
        <v>0</v>
      </c>
      <c r="E10" s="4">
        <f>SUM(Balans!E6:E7)</f>
        <v>0</v>
      </c>
      <c r="F10" s="14">
        <f>SUM(Balans!F6:F7)</f>
        <v>0</v>
      </c>
      <c r="G10" s="4">
        <f>'BP - Monthly'!R10</f>
        <v>0</v>
      </c>
      <c r="H10" s="4">
        <f>'BP - Monthly'!AD10</f>
        <v>0</v>
      </c>
      <c r="I10" s="4">
        <f>'BP - Monthly'!AP10</f>
        <v>0</v>
      </c>
      <c r="J10" s="5">
        <f>'BP - Monthly'!BB10</f>
        <v>0</v>
      </c>
      <c r="K10" s="5">
        <f>'BP - Monthly'!BN10</f>
        <v>0</v>
      </c>
    </row>
    <row r="11" spans="1:13" ht="14.1" customHeight="1" x14ac:dyDescent="0.25">
      <c r="C11" s="4" t="s">
        <v>15</v>
      </c>
      <c r="D11" s="4">
        <f>SUM(Balans!D8)</f>
        <v>0</v>
      </c>
      <c r="E11" s="4">
        <f>SUM(Balans!E8)</f>
        <v>0</v>
      </c>
      <c r="F11" s="14">
        <f>SUM(Balans!F8)</f>
        <v>0</v>
      </c>
      <c r="G11" s="4">
        <f>'BP - Monthly'!R11</f>
        <v>0</v>
      </c>
      <c r="H11" s="4">
        <f>'BP - Monthly'!AD11</f>
        <v>0</v>
      </c>
      <c r="I11" s="4">
        <f>'BP - Monthly'!AP11</f>
        <v>0</v>
      </c>
      <c r="J11" s="5">
        <f>'BP - Monthly'!BB11</f>
        <v>0</v>
      </c>
      <c r="K11" s="5">
        <f>'BP - Monthly'!BN11</f>
        <v>0</v>
      </c>
    </row>
    <row r="12" spans="1:13" ht="14.1" customHeight="1" x14ac:dyDescent="0.25">
      <c r="C12" s="4" t="s">
        <v>16</v>
      </c>
      <c r="D12" s="4">
        <f>Balans!D12</f>
        <v>0</v>
      </c>
      <c r="E12" s="4">
        <f>Balans!E12</f>
        <v>0</v>
      </c>
      <c r="F12" s="14">
        <f>Balans!F12</f>
        <v>0</v>
      </c>
      <c r="G12" s="4">
        <f>'BP - Monthly'!R12</f>
        <v>0</v>
      </c>
      <c r="H12" s="4">
        <f>'BP - Monthly'!AD12</f>
        <v>0</v>
      </c>
      <c r="I12" s="4">
        <f>'BP - Monthly'!AP12</f>
        <v>0</v>
      </c>
      <c r="J12" s="5">
        <f>'BP - Monthly'!BB12</f>
        <v>0</v>
      </c>
      <c r="K12" s="5">
        <f>'BP - Monthly'!BN12</f>
        <v>0</v>
      </c>
    </row>
    <row r="13" spans="1:13" ht="14.1" customHeight="1" x14ac:dyDescent="0.25">
      <c r="C13" s="410" t="s">
        <v>17</v>
      </c>
      <c r="D13" s="410">
        <f>SUM(D10:D12)</f>
        <v>0</v>
      </c>
      <c r="E13" s="410">
        <f t="shared" ref="E13:K13" si="2">SUM(E10:E12)</f>
        <v>0</v>
      </c>
      <c r="F13" s="15">
        <f t="shared" si="2"/>
        <v>0</v>
      </c>
      <c r="G13" s="410">
        <f t="shared" si="2"/>
        <v>0</v>
      </c>
      <c r="H13" s="410">
        <f t="shared" si="2"/>
        <v>0</v>
      </c>
      <c r="I13" s="410">
        <f t="shared" si="2"/>
        <v>0</v>
      </c>
      <c r="J13" s="410">
        <f>SUM(J10:J12)</f>
        <v>0</v>
      </c>
      <c r="K13" s="410">
        <f t="shared" si="2"/>
        <v>0</v>
      </c>
    </row>
    <row r="14" spans="1:13" ht="14.1" customHeight="1" x14ac:dyDescent="0.25">
      <c r="C14" s="4" t="s">
        <v>18</v>
      </c>
      <c r="D14" s="4">
        <f>Balans!D21</f>
        <v>0</v>
      </c>
      <c r="E14" s="4">
        <f>Balans!E21</f>
        <v>0</v>
      </c>
      <c r="F14" s="14">
        <f>Balans!F21</f>
        <v>0</v>
      </c>
      <c r="G14" s="4">
        <f>'BP - Monthly'!R14</f>
        <v>0</v>
      </c>
      <c r="H14" s="4">
        <f>'BP - Monthly'!AD14</f>
        <v>0</v>
      </c>
      <c r="I14" s="4">
        <f>'BP - Monthly'!AP14</f>
        <v>0</v>
      </c>
      <c r="J14" s="5">
        <f>'BP - Monthly'!BB14</f>
        <v>0</v>
      </c>
      <c r="K14" s="5">
        <f>'BP - Monthly'!BN14</f>
        <v>0</v>
      </c>
    </row>
    <row r="15" spans="1:13" ht="14.1" customHeight="1" x14ac:dyDescent="0.25">
      <c r="C15" s="4" t="s">
        <v>19</v>
      </c>
      <c r="D15" s="4">
        <f>Balans!D19</f>
        <v>0</v>
      </c>
      <c r="E15" s="4">
        <f>Balans!E19</f>
        <v>0</v>
      </c>
      <c r="F15" s="14">
        <f>Balans!F19</f>
        <v>0</v>
      </c>
      <c r="G15" s="4">
        <f>'BP - Monthly'!R15</f>
        <v>0</v>
      </c>
      <c r="H15" s="4">
        <f>'BP - Monthly'!AD15</f>
        <v>0</v>
      </c>
      <c r="I15" s="4">
        <f>'BP - Monthly'!AP15</f>
        <v>0</v>
      </c>
      <c r="J15" s="5">
        <f>'BP - Monthly'!BB15</f>
        <v>0</v>
      </c>
      <c r="K15" s="5">
        <f>'BP - Monthly'!BN15</f>
        <v>0</v>
      </c>
    </row>
    <row r="16" spans="1:13" ht="14.1" customHeight="1" x14ac:dyDescent="0.25">
      <c r="C16" s="4" t="s">
        <v>20</v>
      </c>
      <c r="D16" s="4">
        <f>Balans!D22</f>
        <v>0</v>
      </c>
      <c r="E16" s="4">
        <f>Balans!E22</f>
        <v>0</v>
      </c>
      <c r="F16" s="14">
        <f>Balans!F22</f>
        <v>0</v>
      </c>
      <c r="G16" s="4">
        <f>'BP - Monthly'!R16</f>
        <v>0</v>
      </c>
      <c r="H16" s="4">
        <f>'BP - Monthly'!AD16</f>
        <v>0</v>
      </c>
      <c r="I16" s="4">
        <f>'BP - Monthly'!AP16</f>
        <v>0</v>
      </c>
      <c r="J16" s="5">
        <f>'BP - Monthly'!BB16</f>
        <v>0</v>
      </c>
      <c r="K16" s="5">
        <f>'BP - Monthly'!BN16</f>
        <v>0</v>
      </c>
    </row>
    <row r="17" spans="3:17" ht="14.1" customHeight="1" x14ac:dyDescent="0.25">
      <c r="C17" s="4" t="s">
        <v>21</v>
      </c>
      <c r="D17" s="4">
        <f>Balans!D23</f>
        <v>0</v>
      </c>
      <c r="E17" s="4">
        <f>Balans!E23</f>
        <v>0</v>
      </c>
      <c r="F17" s="14">
        <f>Balans!F23</f>
        <v>0</v>
      </c>
      <c r="G17" s="4">
        <f>G98</f>
        <v>0</v>
      </c>
      <c r="H17" s="4">
        <f t="shared" ref="H17:K17" si="3">H98</f>
        <v>0</v>
      </c>
      <c r="I17" s="4">
        <f t="shared" si="3"/>
        <v>0</v>
      </c>
      <c r="J17" s="4">
        <f t="shared" si="3"/>
        <v>0</v>
      </c>
      <c r="K17" s="4">
        <f t="shared" si="3"/>
        <v>0</v>
      </c>
    </row>
    <row r="18" spans="3:17" ht="14.1" customHeight="1" x14ac:dyDescent="0.25">
      <c r="C18" s="4" t="s">
        <v>22</v>
      </c>
      <c r="D18" s="4">
        <f>Balans!D24</f>
        <v>0</v>
      </c>
      <c r="E18" s="4">
        <f>Balans!E24</f>
        <v>0</v>
      </c>
      <c r="F18" s="14">
        <f>Balans!F24</f>
        <v>0</v>
      </c>
      <c r="G18" s="4">
        <f>'BP - Monthly'!R18</f>
        <v>0</v>
      </c>
      <c r="H18" s="4">
        <f>'BP - Monthly'!AD18</f>
        <v>0</v>
      </c>
      <c r="I18" s="4">
        <f>'BP - Monthly'!AP18</f>
        <v>0</v>
      </c>
      <c r="J18" s="5">
        <f>'BP - Monthly'!BB18</f>
        <v>0</v>
      </c>
      <c r="K18" s="5">
        <f>'BP - Monthly'!BN18</f>
        <v>0</v>
      </c>
    </row>
    <row r="19" spans="3:17" ht="14.1" customHeight="1" x14ac:dyDescent="0.25">
      <c r="C19" s="410" t="s">
        <v>23</v>
      </c>
      <c r="D19" s="16">
        <f>SUM(D14:D18)</f>
        <v>0</v>
      </c>
      <c r="E19" s="16">
        <f t="shared" ref="E19:K19" si="4">SUM(E14:E18)</f>
        <v>0</v>
      </c>
      <c r="F19" s="17">
        <f t="shared" si="4"/>
        <v>0</v>
      </c>
      <c r="G19" s="16">
        <f t="shared" si="4"/>
        <v>0</v>
      </c>
      <c r="H19" s="16">
        <f t="shared" si="4"/>
        <v>0</v>
      </c>
      <c r="I19" s="16">
        <f t="shared" si="4"/>
        <v>0</v>
      </c>
      <c r="J19" s="16">
        <f t="shared" si="4"/>
        <v>0</v>
      </c>
      <c r="K19" s="16">
        <f t="shared" si="4"/>
        <v>0</v>
      </c>
    </row>
    <row r="20" spans="3:17" ht="14.1" customHeight="1" x14ac:dyDescent="0.25">
      <c r="C20" s="16" t="s">
        <v>24</v>
      </c>
      <c r="D20" s="16">
        <f>SUM(D13,D19)</f>
        <v>0</v>
      </c>
      <c r="E20" s="16">
        <f t="shared" ref="E20:K20" si="5">SUM(E13,E19)</f>
        <v>0</v>
      </c>
      <c r="F20" s="17">
        <f t="shared" si="5"/>
        <v>0</v>
      </c>
      <c r="G20" s="16">
        <f t="shared" si="5"/>
        <v>0</v>
      </c>
      <c r="H20" s="16">
        <f t="shared" si="5"/>
        <v>0</v>
      </c>
      <c r="I20" s="16">
        <f t="shared" si="5"/>
        <v>0</v>
      </c>
      <c r="J20" s="16">
        <f t="shared" si="5"/>
        <v>0</v>
      </c>
      <c r="K20" s="16">
        <f t="shared" si="5"/>
        <v>0</v>
      </c>
    </row>
    <row r="21" spans="3:17" ht="14.1" customHeight="1" x14ac:dyDescent="0.25">
      <c r="C21" s="4"/>
      <c r="D21" s="4"/>
      <c r="E21" s="4"/>
      <c r="F21" s="14"/>
      <c r="G21" s="4"/>
      <c r="H21" s="4"/>
      <c r="I21" s="4"/>
      <c r="Q21" s="411"/>
    </row>
    <row r="22" spans="3:17" ht="14.1" customHeight="1" x14ac:dyDescent="0.25">
      <c r="C22" s="406" t="str">
        <f>"Balans - "&amp;Historiek!$A$2&amp;" - Passiva"</f>
        <v>Balans - Dossier - Passiva</v>
      </c>
      <c r="D22" s="407"/>
      <c r="E22" s="407"/>
      <c r="F22" s="13"/>
      <c r="G22" s="407"/>
      <c r="H22" s="407"/>
      <c r="I22" s="407"/>
    </row>
    <row r="23" spans="3:17" ht="14.1" customHeight="1" x14ac:dyDescent="0.25">
      <c r="C23" s="738" t="s">
        <v>6</v>
      </c>
      <c r="D23" s="742" t="str">
        <f>D$6</f>
        <v>Dec'21</v>
      </c>
      <c r="E23" s="742" t="str">
        <f t="shared" ref="E23:K23" si="6">E$6</f>
        <v>Dec'22</v>
      </c>
      <c r="F23" s="740" t="str">
        <f t="shared" si="6"/>
        <v>Dec'23</v>
      </c>
      <c r="G23" s="742" t="str">
        <f t="shared" si="6"/>
        <v>Dec'24</v>
      </c>
      <c r="H23" s="742" t="str">
        <f t="shared" si="6"/>
        <v>Dec'25</v>
      </c>
      <c r="I23" s="742" t="str">
        <f t="shared" si="6"/>
        <v>Dec'26</v>
      </c>
      <c r="J23" s="742" t="str">
        <f t="shared" si="6"/>
        <v>Dec'27</v>
      </c>
      <c r="K23" s="742" t="str">
        <f t="shared" si="6"/>
        <v>Dec'28</v>
      </c>
    </row>
    <row r="24" spans="3:17" ht="14.1" customHeight="1" x14ac:dyDescent="0.25">
      <c r="C24" s="4" t="s">
        <v>25</v>
      </c>
      <c r="D24" s="412">
        <f>Balans!D33</f>
        <v>0</v>
      </c>
      <c r="E24" s="412">
        <f>Balans!E33</f>
        <v>0</v>
      </c>
      <c r="F24" s="18">
        <f>Balans!F33</f>
        <v>0</v>
      </c>
      <c r="G24" s="4">
        <f>'BP - Monthly'!R24</f>
        <v>0</v>
      </c>
      <c r="H24" s="4">
        <f>'BP - Monthly'!AD24</f>
        <v>0</v>
      </c>
      <c r="I24" s="4">
        <f>'BP - Monthly'!AP24</f>
        <v>0</v>
      </c>
      <c r="J24" s="5">
        <f>'BP - Monthly'!BB24</f>
        <v>0</v>
      </c>
      <c r="K24" s="5">
        <f>'BP - Monthly'!BN24</f>
        <v>0</v>
      </c>
    </row>
    <row r="25" spans="3:17" ht="14.1" customHeight="1" x14ac:dyDescent="0.25">
      <c r="C25" s="4" t="s">
        <v>26</v>
      </c>
      <c r="D25" s="4">
        <f>Historiek!D85/1000</f>
        <v>0</v>
      </c>
      <c r="E25" s="4">
        <f>Historiek!E85/1000</f>
        <v>0</v>
      </c>
      <c r="F25" s="4">
        <f>Historiek!F85/1000</f>
        <v>0</v>
      </c>
      <c r="G25" s="4">
        <f>'BP - Monthly'!R25</f>
        <v>0</v>
      </c>
      <c r="H25" s="4">
        <f>'BP - Monthly'!AD25</f>
        <v>0</v>
      </c>
      <c r="I25" s="4">
        <f>'BP - Monthly'!AP25</f>
        <v>0</v>
      </c>
      <c r="J25" s="5">
        <f>'BP - Monthly'!BB25</f>
        <v>0</v>
      </c>
      <c r="K25" s="5">
        <f>'BP - Monthly'!BN25</f>
        <v>0</v>
      </c>
    </row>
    <row r="26" spans="3:17" ht="14.1" customHeight="1" x14ac:dyDescent="0.25">
      <c r="C26" s="4" t="s">
        <v>775</v>
      </c>
      <c r="D26" s="4">
        <f>Balans!D36</f>
        <v>0</v>
      </c>
      <c r="E26" s="4">
        <f>Balans!E36</f>
        <v>0</v>
      </c>
      <c r="F26" s="14">
        <f>Balans!F36</f>
        <v>0</v>
      </c>
      <c r="G26" s="4">
        <f>'BP - Monthly'!R26</f>
        <v>0</v>
      </c>
      <c r="H26" s="4">
        <f>'BP - Monthly'!AD26</f>
        <v>0</v>
      </c>
      <c r="I26" s="4">
        <f>'BP - Monthly'!AP26</f>
        <v>0</v>
      </c>
      <c r="J26" s="5">
        <f>'BP - Monthly'!BB26</f>
        <v>0</v>
      </c>
      <c r="K26" s="5">
        <f>'BP - Monthly'!BN26</f>
        <v>0</v>
      </c>
    </row>
    <row r="27" spans="3:17" ht="14.1" customHeight="1" x14ac:dyDescent="0.25">
      <c r="C27" s="4" t="s">
        <v>832</v>
      </c>
      <c r="D27" s="4">
        <f>(Historiek!D91+Historiek!D92)/1000</f>
        <v>0</v>
      </c>
      <c r="E27" s="4">
        <f>(Historiek!E91+Historiek!E92)/1000</f>
        <v>0</v>
      </c>
      <c r="F27" s="4">
        <f>(Historiek!F91+Historiek!F92)/1000</f>
        <v>0</v>
      </c>
      <c r="G27" s="4">
        <f>F27+F28</f>
        <v>0</v>
      </c>
      <c r="H27" s="4">
        <f>G27+G28</f>
        <v>0</v>
      </c>
      <c r="I27" s="4">
        <f>H27+H28</f>
        <v>0</v>
      </c>
      <c r="J27" s="4">
        <f>I27+I28</f>
        <v>0</v>
      </c>
      <c r="K27" s="4">
        <f>J27+J28</f>
        <v>0</v>
      </c>
    </row>
    <row r="28" spans="3:17" ht="14.1" customHeight="1" x14ac:dyDescent="0.25">
      <c r="C28" s="4" t="s">
        <v>1052</v>
      </c>
      <c r="D28" s="4">
        <f>D76</f>
        <v>0</v>
      </c>
      <c r="E28" s="4">
        <f t="shared" ref="E28:K28" si="7">E76</f>
        <v>0</v>
      </c>
      <c r="F28" s="14">
        <f t="shared" si="7"/>
        <v>0</v>
      </c>
      <c r="G28" s="4">
        <f t="shared" si="7"/>
        <v>0</v>
      </c>
      <c r="H28" s="4">
        <f t="shared" si="7"/>
        <v>0</v>
      </c>
      <c r="I28" s="4">
        <f t="shared" si="7"/>
        <v>0</v>
      </c>
      <c r="J28" s="4">
        <f t="shared" si="7"/>
        <v>0</v>
      </c>
      <c r="K28" s="4">
        <f t="shared" si="7"/>
        <v>0</v>
      </c>
    </row>
    <row r="29" spans="3:17" ht="14.1" customHeight="1" x14ac:dyDescent="0.25">
      <c r="C29" s="16" t="s">
        <v>27</v>
      </c>
      <c r="D29" s="16">
        <f t="shared" ref="D29:K29" si="8">SUM(D24:D28)</f>
        <v>0</v>
      </c>
      <c r="E29" s="16">
        <f t="shared" si="8"/>
        <v>0</v>
      </c>
      <c r="F29" s="17">
        <f>SUM(F24:F28)</f>
        <v>0</v>
      </c>
      <c r="G29" s="16">
        <f t="shared" si="8"/>
        <v>0</v>
      </c>
      <c r="H29" s="16">
        <f t="shared" si="8"/>
        <v>0</v>
      </c>
      <c r="I29" s="16">
        <f t="shared" si="8"/>
        <v>0</v>
      </c>
      <c r="J29" s="16">
        <f t="shared" si="8"/>
        <v>0</v>
      </c>
      <c r="K29" s="16">
        <f t="shared" si="8"/>
        <v>0</v>
      </c>
    </row>
    <row r="30" spans="3:17" ht="14.1" customHeight="1" x14ac:dyDescent="0.25">
      <c r="C30" s="16" t="s">
        <v>1011</v>
      </c>
      <c r="D30" s="16">
        <f>Balans!D40</f>
        <v>0</v>
      </c>
      <c r="E30" s="16">
        <f>Balans!E40</f>
        <v>0</v>
      </c>
      <c r="F30" s="17">
        <f>Balans!F40</f>
        <v>0</v>
      </c>
      <c r="G30" s="16">
        <f>'BP - Monthly'!R30</f>
        <v>0</v>
      </c>
      <c r="H30" s="16">
        <f>'BP - Monthly'!AD30</f>
        <v>0</v>
      </c>
      <c r="I30" s="16">
        <f>'BP - Monthly'!AP30</f>
        <v>0</v>
      </c>
      <c r="J30" s="420">
        <f>'BP - Monthly'!BB30</f>
        <v>0</v>
      </c>
      <c r="K30" s="420">
        <f>'BP - Monthly'!BN30</f>
        <v>0</v>
      </c>
    </row>
    <row r="31" spans="3:17" ht="14.1" customHeight="1" x14ac:dyDescent="0.25">
      <c r="C31" s="4" t="s">
        <v>28</v>
      </c>
      <c r="D31" s="4">
        <f>Balans!D44</f>
        <v>0</v>
      </c>
      <c r="E31" s="4">
        <f>Balans!E44</f>
        <v>0</v>
      </c>
      <c r="F31" s="14">
        <f>Balans!F44</f>
        <v>0</v>
      </c>
      <c r="G31" s="4">
        <f>'BP - Monthly'!R31</f>
        <v>0</v>
      </c>
      <c r="H31" s="4">
        <f>'BP - Monthly'!AD31</f>
        <v>0</v>
      </c>
      <c r="I31" s="4">
        <f>'BP - Monthly'!AP31</f>
        <v>0</v>
      </c>
      <c r="J31" s="5">
        <f>'BP - Monthly'!BB31</f>
        <v>0</v>
      </c>
      <c r="K31" s="5">
        <f>'BP - Monthly'!BN31</f>
        <v>0</v>
      </c>
    </row>
    <row r="32" spans="3:17" ht="14.1" customHeight="1" x14ac:dyDescent="0.25">
      <c r="C32" s="4" t="s">
        <v>29</v>
      </c>
      <c r="D32" s="4">
        <f>(Balans!D43+Balans!D45)</f>
        <v>0</v>
      </c>
      <c r="E32" s="4">
        <f>(Balans!E43+Balans!E45)</f>
        <v>0</v>
      </c>
      <c r="F32" s="14">
        <f>(Balans!F43+Balans!F45)</f>
        <v>0</v>
      </c>
      <c r="G32" s="4">
        <f>'BP - Monthly'!R32</f>
        <v>0</v>
      </c>
      <c r="H32" s="4">
        <f>'BP - Monthly'!AD32</f>
        <v>0</v>
      </c>
      <c r="I32" s="4">
        <f>'BP - Monthly'!AP32</f>
        <v>0</v>
      </c>
      <c r="J32" s="5">
        <f>'BP - Monthly'!BB32</f>
        <v>0</v>
      </c>
      <c r="K32" s="5">
        <f>'BP - Monthly'!BN32</f>
        <v>0</v>
      </c>
    </row>
    <row r="33" spans="1:17" ht="14.1" customHeight="1" x14ac:dyDescent="0.25">
      <c r="C33" s="16" t="s">
        <v>30</v>
      </c>
      <c r="D33" s="16">
        <f>SUM(D31:D32)</f>
        <v>0</v>
      </c>
      <c r="E33" s="16">
        <f>SUM(E31:E32)</f>
        <v>0</v>
      </c>
      <c r="F33" s="17">
        <f>SUM(F31:F32)</f>
        <v>0</v>
      </c>
      <c r="G33" s="17">
        <f t="shared" ref="G33:K33" si="9">SUM(G31:G32)</f>
        <v>0</v>
      </c>
      <c r="H33" s="17">
        <f t="shared" si="9"/>
        <v>0</v>
      </c>
      <c r="I33" s="17">
        <f t="shared" si="9"/>
        <v>0</v>
      </c>
      <c r="J33" s="17">
        <f t="shared" si="9"/>
        <v>0</v>
      </c>
      <c r="K33" s="17">
        <f t="shared" si="9"/>
        <v>0</v>
      </c>
    </row>
    <row r="34" spans="1:17" ht="14.1" customHeight="1" x14ac:dyDescent="0.25">
      <c r="C34" s="413" t="s">
        <v>31</v>
      </c>
      <c r="D34" s="4">
        <f>Balans!D47</f>
        <v>0</v>
      </c>
      <c r="E34" s="4">
        <f>Balans!E47</f>
        <v>0</v>
      </c>
      <c r="F34" s="14">
        <f>Balans!F47</f>
        <v>0</v>
      </c>
      <c r="G34" s="4">
        <f>'BP - Monthly'!R34</f>
        <v>0</v>
      </c>
      <c r="H34" s="4">
        <f>'BP - Monthly'!AD34</f>
        <v>0</v>
      </c>
      <c r="I34" s="4">
        <f>'BP - Monthly'!AP34</f>
        <v>0</v>
      </c>
      <c r="J34" s="5">
        <f>'BP - Monthly'!BB34</f>
        <v>0</v>
      </c>
      <c r="K34" s="5">
        <f>'BP - Monthly'!BN34</f>
        <v>0</v>
      </c>
    </row>
    <row r="35" spans="1:17" ht="14.1" customHeight="1" x14ac:dyDescent="0.25">
      <c r="C35" s="413" t="s">
        <v>28</v>
      </c>
      <c r="D35" s="4">
        <f>Balans!D48</f>
        <v>0</v>
      </c>
      <c r="E35" s="4">
        <f>Balans!E48</f>
        <v>0</v>
      </c>
      <c r="F35" s="14">
        <f>Balans!F48</f>
        <v>0</v>
      </c>
      <c r="G35" s="4">
        <f>'BP - Monthly'!R35</f>
        <v>0</v>
      </c>
      <c r="H35" s="4">
        <f>'BP - Monthly'!AD35</f>
        <v>0</v>
      </c>
      <c r="I35" s="4">
        <f>'BP - Monthly'!AP35</f>
        <v>0</v>
      </c>
      <c r="J35" s="5">
        <f>'BP - Monthly'!BB35</f>
        <v>0</v>
      </c>
      <c r="K35" s="5">
        <f>'BP - Monthly'!BN35</f>
        <v>0</v>
      </c>
    </row>
    <row r="36" spans="1:17" ht="14.1" customHeight="1" x14ac:dyDescent="0.25">
      <c r="C36" s="413" t="s">
        <v>32</v>
      </c>
      <c r="D36" s="413">
        <f>Balans!D49</f>
        <v>0</v>
      </c>
      <c r="E36" s="413">
        <f>Balans!E49</f>
        <v>0</v>
      </c>
      <c r="F36" s="19">
        <f>Balans!F49</f>
        <v>0</v>
      </c>
      <c r="G36" s="4">
        <f>'BP - Monthly'!R36</f>
        <v>0</v>
      </c>
      <c r="H36" s="4">
        <f>'BP - Monthly'!AD36</f>
        <v>0</v>
      </c>
      <c r="I36" s="4">
        <f>'BP - Monthly'!AP36</f>
        <v>0</v>
      </c>
      <c r="J36" s="5">
        <f>'BP - Monthly'!BB36</f>
        <v>0</v>
      </c>
      <c r="K36" s="5">
        <f>'BP - Monthly'!BN36</f>
        <v>0</v>
      </c>
    </row>
    <row r="37" spans="1:17" ht="14.1" customHeight="1" x14ac:dyDescent="0.25">
      <c r="C37" s="413" t="s">
        <v>1054</v>
      </c>
      <c r="D37" s="413">
        <f>Balans!D50</f>
        <v>0</v>
      </c>
      <c r="E37" s="413">
        <f>Balans!E50</f>
        <v>0</v>
      </c>
      <c r="F37" s="19">
        <f>Balans!F50</f>
        <v>0</v>
      </c>
      <c r="G37" s="4">
        <f>'BP - Monthly'!R37</f>
        <v>0</v>
      </c>
      <c r="H37" s="4">
        <f>'BP - Monthly'!AD37</f>
        <v>0</v>
      </c>
      <c r="I37" s="4">
        <f>'BP - Monthly'!AP37</f>
        <v>0</v>
      </c>
      <c r="J37" s="5">
        <f>'BP - Monthly'!BB37</f>
        <v>0</v>
      </c>
      <c r="K37" s="5">
        <f>'BP - Monthly'!BN37</f>
        <v>0</v>
      </c>
    </row>
    <row r="38" spans="1:17" ht="14.1" customHeight="1" x14ac:dyDescent="0.25">
      <c r="C38" s="414" t="s">
        <v>33</v>
      </c>
      <c r="D38" s="413">
        <f>Balans!D51</f>
        <v>0</v>
      </c>
      <c r="E38" s="413">
        <f>Balans!E51</f>
        <v>0</v>
      </c>
      <c r="F38" s="19">
        <f>Balans!F51</f>
        <v>0</v>
      </c>
      <c r="G38" s="4">
        <f>'BP - Monthly'!R38</f>
        <v>0</v>
      </c>
      <c r="H38" s="4">
        <f>'BP - Monthly'!AD38</f>
        <v>0</v>
      </c>
      <c r="I38" s="4">
        <f>'BP - Monthly'!AP38</f>
        <v>0</v>
      </c>
      <c r="J38" s="5">
        <f>'BP - Monthly'!BB38</f>
        <v>0</v>
      </c>
      <c r="K38" s="5">
        <f>'BP - Monthly'!BN38</f>
        <v>0</v>
      </c>
    </row>
    <row r="39" spans="1:17" ht="14.1" customHeight="1" x14ac:dyDescent="0.25">
      <c r="C39" s="414" t="s">
        <v>34</v>
      </c>
      <c r="D39" s="413">
        <f>Balans!D52</f>
        <v>0</v>
      </c>
      <c r="E39" s="413">
        <f>Balans!E52</f>
        <v>0</v>
      </c>
      <c r="F39" s="19">
        <f>Balans!F52</f>
        <v>0</v>
      </c>
      <c r="G39" s="4">
        <f>'BP - Monthly'!R39</f>
        <v>0</v>
      </c>
      <c r="H39" s="4">
        <f>'BP - Monthly'!AD39</f>
        <v>0</v>
      </c>
      <c r="I39" s="4">
        <f>'BP - Monthly'!AP39</f>
        <v>0</v>
      </c>
      <c r="J39" s="5">
        <f>'BP - Monthly'!BB39</f>
        <v>0</v>
      </c>
      <c r="K39" s="5">
        <f>'BP - Monthly'!BN39</f>
        <v>0</v>
      </c>
    </row>
    <row r="40" spans="1:17" ht="14.1" customHeight="1" x14ac:dyDescent="0.25">
      <c r="C40" s="4" t="s">
        <v>35</v>
      </c>
      <c r="D40" s="4">
        <f>Balans!D53</f>
        <v>0</v>
      </c>
      <c r="E40" s="4">
        <f>Balans!E53</f>
        <v>0</v>
      </c>
      <c r="F40" s="14">
        <f>Balans!F53</f>
        <v>0</v>
      </c>
      <c r="G40" s="4">
        <f>'BP - Monthly'!R40</f>
        <v>0</v>
      </c>
      <c r="H40" s="4">
        <f>'BP - Monthly'!AD40</f>
        <v>0</v>
      </c>
      <c r="I40" s="4">
        <f>'BP - Monthly'!AP40</f>
        <v>0</v>
      </c>
      <c r="J40" s="5">
        <f>'BP - Monthly'!BB40</f>
        <v>0</v>
      </c>
      <c r="K40" s="5">
        <f>'BP - Monthly'!BN40</f>
        <v>0</v>
      </c>
    </row>
    <row r="41" spans="1:17" ht="14.1" customHeight="1" x14ac:dyDescent="0.25">
      <c r="C41" s="410" t="s">
        <v>36</v>
      </c>
      <c r="D41" s="410">
        <f t="shared" ref="D41:K41" si="10">SUM(D34:D40)</f>
        <v>0</v>
      </c>
      <c r="E41" s="410">
        <f t="shared" si="10"/>
        <v>0</v>
      </c>
      <c r="F41" s="15">
        <f t="shared" si="10"/>
        <v>0</v>
      </c>
      <c r="G41" s="410">
        <f t="shared" si="10"/>
        <v>0</v>
      </c>
      <c r="H41" s="410">
        <f t="shared" si="10"/>
        <v>0</v>
      </c>
      <c r="I41" s="410">
        <f t="shared" si="10"/>
        <v>0</v>
      </c>
      <c r="J41" s="410">
        <f t="shared" si="10"/>
        <v>0</v>
      </c>
      <c r="K41" s="410">
        <f t="shared" si="10"/>
        <v>0</v>
      </c>
    </row>
    <row r="42" spans="1:17" ht="14.1" customHeight="1" x14ac:dyDescent="0.25">
      <c r="C42" s="415" t="s">
        <v>37</v>
      </c>
      <c r="D42" s="16">
        <f t="shared" ref="D42:K42" si="11">SUM(D29,D30,D33,D41)</f>
        <v>0</v>
      </c>
      <c r="E42" s="16">
        <f t="shared" si="11"/>
        <v>0</v>
      </c>
      <c r="F42" s="17">
        <f t="shared" si="11"/>
        <v>0</v>
      </c>
      <c r="G42" s="16">
        <f t="shared" si="11"/>
        <v>0</v>
      </c>
      <c r="H42" s="16">
        <f t="shared" si="11"/>
        <v>0</v>
      </c>
      <c r="I42" s="16">
        <f t="shared" si="11"/>
        <v>0</v>
      </c>
      <c r="J42" s="16">
        <f t="shared" si="11"/>
        <v>0</v>
      </c>
      <c r="K42" s="16">
        <f t="shared" si="11"/>
        <v>0</v>
      </c>
      <c r="Q42" s="411"/>
    </row>
    <row r="43" spans="1:17" ht="14.1" customHeight="1" x14ac:dyDescent="0.25">
      <c r="Q43" s="411"/>
    </row>
    <row r="44" spans="1:17" ht="14.1" customHeight="1" outlineLevel="1" x14ac:dyDescent="0.25">
      <c r="A44" s="10">
        <f>SUM(D44:K44)</f>
        <v>0</v>
      </c>
      <c r="C44" s="8" t="s">
        <v>5</v>
      </c>
      <c r="D44" s="8">
        <f t="shared" ref="D44:K44" si="12">D42-D20</f>
        <v>0</v>
      </c>
      <c r="E44" s="8">
        <f t="shared" si="12"/>
        <v>0</v>
      </c>
      <c r="F44" s="20">
        <f t="shared" si="12"/>
        <v>0</v>
      </c>
      <c r="G44" s="8">
        <f>G42-G20</f>
        <v>0</v>
      </c>
      <c r="H44" s="8">
        <f t="shared" si="12"/>
        <v>0</v>
      </c>
      <c r="I44" s="8">
        <f t="shared" si="12"/>
        <v>0</v>
      </c>
      <c r="J44" s="8">
        <f t="shared" si="12"/>
        <v>0</v>
      </c>
      <c r="K44" s="8">
        <f t="shared" si="12"/>
        <v>0</v>
      </c>
      <c r="Q44" s="411"/>
    </row>
    <row r="45" spans="1:17" ht="14.1" customHeight="1" outlineLevel="1" x14ac:dyDescent="0.25">
      <c r="A45" s="10">
        <f>SUM(D45:K45)</f>
        <v>0</v>
      </c>
      <c r="C45" s="8" t="s">
        <v>5</v>
      </c>
      <c r="D45" s="8">
        <f>D42-Balans!D57</f>
        <v>0</v>
      </c>
      <c r="E45" s="8">
        <f>E42-Balans!E57</f>
        <v>0</v>
      </c>
      <c r="F45" s="20">
        <f>F42-Balans!F57</f>
        <v>0</v>
      </c>
      <c r="G45" s="8"/>
      <c r="H45" s="8"/>
      <c r="I45" s="8"/>
      <c r="J45" s="8"/>
      <c r="K45" s="8"/>
      <c r="Q45" s="411"/>
    </row>
    <row r="46" spans="1:17" ht="14.1" customHeight="1" x14ac:dyDescent="0.25">
      <c r="Q46" s="411"/>
    </row>
    <row r="47" spans="1:17" ht="14.1" customHeight="1" x14ac:dyDescent="0.25">
      <c r="C47" s="406" t="str">
        <f>"Resultatenrekening - "&amp;Historiek!$A$2</f>
        <v>Resultatenrekening - Dossier</v>
      </c>
      <c r="D47" s="407"/>
      <c r="E47" s="407"/>
      <c r="F47" s="13"/>
      <c r="G47" s="407"/>
      <c r="H47" s="407"/>
      <c r="I47" s="407"/>
      <c r="J47" s="3"/>
    </row>
    <row r="48" spans="1:17" ht="14.1" customHeight="1" x14ac:dyDescent="0.25">
      <c r="C48" s="738" t="str">
        <f>C$4</f>
        <v>k€</v>
      </c>
      <c r="D48" s="741" t="str">
        <f t="shared" ref="D48:K48" si="13">D$4</f>
        <v>FY21</v>
      </c>
      <c r="E48" s="741" t="str">
        <f t="shared" si="13"/>
        <v>FY22</v>
      </c>
      <c r="F48" s="743" t="str">
        <f t="shared" si="13"/>
        <v>FY23</v>
      </c>
      <c r="G48" s="741" t="str">
        <f t="shared" si="13"/>
        <v>FY24</v>
      </c>
      <c r="H48" s="741" t="str">
        <f t="shared" si="13"/>
        <v>FY25</v>
      </c>
      <c r="I48" s="741" t="str">
        <f t="shared" si="13"/>
        <v>FY26</v>
      </c>
      <c r="J48" s="741" t="str">
        <f t="shared" si="13"/>
        <v>FY27</v>
      </c>
      <c r="K48" s="741" t="str">
        <f t="shared" si="13"/>
        <v>FY28</v>
      </c>
      <c r="N48" s="416"/>
    </row>
    <row r="49" spans="1:18" ht="14.1" customHeight="1" x14ac:dyDescent="0.25">
      <c r="C49" s="414" t="s">
        <v>847</v>
      </c>
      <c r="D49" s="427"/>
      <c r="E49" s="427"/>
      <c r="F49" s="428"/>
      <c r="G49" s="429">
        <f>SUM('BP - Monthly'!G49:R49)</f>
        <v>0</v>
      </c>
      <c r="H49" s="429">
        <f>SUM('BP - Monthly'!S49:AD49)</f>
        <v>0</v>
      </c>
      <c r="I49" s="429">
        <f>SUM('BP - Monthly'!AE49:AP49)</f>
        <v>0</v>
      </c>
      <c r="J49" s="429">
        <f>SUM('BP - Monthly'!AQ49:BB49)</f>
        <v>0</v>
      </c>
      <c r="K49" s="429">
        <f>SUM('BP - Monthly'!BC49:BN49)</f>
        <v>0</v>
      </c>
      <c r="N49" s="416"/>
    </row>
    <row r="50" spans="1:18" ht="14.1" customHeight="1" x14ac:dyDescent="0.25">
      <c r="C50" s="414" t="s">
        <v>848</v>
      </c>
      <c r="D50" s="427"/>
      <c r="E50" s="427"/>
      <c r="F50" s="428"/>
      <c r="G50" s="429">
        <f>SUM('BP - Monthly'!G50:R50)</f>
        <v>0</v>
      </c>
      <c r="H50" s="429">
        <f>SUM('BP - Monthly'!S50:AD50)</f>
        <v>0</v>
      </c>
      <c r="I50" s="429">
        <f>SUM('BP - Monthly'!AE50:AP50)</f>
        <v>0</v>
      </c>
      <c r="J50" s="429">
        <f>SUM('BP - Monthly'!AQ50:BB50)</f>
        <v>0</v>
      </c>
      <c r="K50" s="429">
        <f>SUM('BP - Monthly'!BC50:BN50)</f>
        <v>0</v>
      </c>
      <c r="M50" s="24" t="s">
        <v>732</v>
      </c>
      <c r="N50" s="416"/>
    </row>
    <row r="51" spans="1:18" ht="14.1" customHeight="1" x14ac:dyDescent="0.25">
      <c r="C51" s="414" t="s">
        <v>849</v>
      </c>
      <c r="D51" s="427"/>
      <c r="E51" s="427"/>
      <c r="F51" s="428"/>
      <c r="G51" s="429">
        <f>SUM('BP - Monthly'!G51:R51)</f>
        <v>0</v>
      </c>
      <c r="H51" s="429">
        <f>SUM('BP - Monthly'!S51:AD51)</f>
        <v>0</v>
      </c>
      <c r="I51" s="429">
        <f>SUM('BP - Monthly'!AE51:AP51)</f>
        <v>0</v>
      </c>
      <c r="J51" s="429">
        <f>SUM('BP - Monthly'!AQ51:BB51)</f>
        <v>0</v>
      </c>
      <c r="K51" s="429">
        <f>SUM('BP - Monthly'!BC51:BN51)</f>
        <v>0</v>
      </c>
      <c r="M51" s="741" t="str">
        <f>G48</f>
        <v>FY24</v>
      </c>
      <c r="N51" s="741" t="str">
        <f t="shared" ref="N51:P51" si="14">H48</f>
        <v>FY25</v>
      </c>
      <c r="O51" s="741" t="str">
        <f t="shared" si="14"/>
        <v>FY26</v>
      </c>
      <c r="P51" s="741" t="str">
        <f t="shared" si="14"/>
        <v>FY27</v>
      </c>
      <c r="Q51" s="741" t="str">
        <f t="shared" ref="Q51" si="15">K48</f>
        <v>FY28</v>
      </c>
      <c r="R51" s="741" t="s">
        <v>834</v>
      </c>
    </row>
    <row r="52" spans="1:18" s="24" customFormat="1" ht="14.1" customHeight="1" x14ac:dyDescent="0.25">
      <c r="A52" s="424"/>
      <c r="C52" s="417" t="s">
        <v>7</v>
      </c>
      <c r="D52" s="420">
        <f>Resultaten!D7</f>
        <v>0</v>
      </c>
      <c r="E52" s="420">
        <f>Resultaten!E7</f>
        <v>0</v>
      </c>
      <c r="F52" s="25">
        <f>Resultaten!F7</f>
        <v>0</v>
      </c>
      <c r="G52" s="25">
        <f>SUM(G49:G51)</f>
        <v>0</v>
      </c>
      <c r="H52" s="25">
        <f>SUM(H49:H51)</f>
        <v>0</v>
      </c>
      <c r="I52" s="25">
        <f>SUM(I49:I51)</f>
        <v>0</v>
      </c>
      <c r="J52" s="25">
        <f>SUM(J49:J51)</f>
        <v>0</v>
      </c>
      <c r="K52" s="25">
        <f>SUM(K49:K51)</f>
        <v>0</v>
      </c>
      <c r="M52" s="92" t="str">
        <f>IFERROR(G52/F52-1,"n/a")</f>
        <v>n/a</v>
      </c>
      <c r="N52" s="92" t="str">
        <f>IFERROR(H52/G52-1,"n/a")</f>
        <v>n/a</v>
      </c>
      <c r="O52" s="92" t="str">
        <f>IFERROR(I52/H52-1,"n/a")</f>
        <v>n/a</v>
      </c>
      <c r="P52" s="92" t="str">
        <f>IFERROR(J52/I52-1,"n/a")</f>
        <v>n/a</v>
      </c>
      <c r="Q52" s="92" t="str">
        <f>IFERROR(K52/J52-1,"n/a")</f>
        <v>n/a</v>
      </c>
      <c r="R52" s="434" t="str">
        <f>IFERROR((K52/G52)^(1/4)-1,"n/a")</f>
        <v>n/a</v>
      </c>
    </row>
    <row r="53" spans="1:18" ht="14.1" customHeight="1" x14ac:dyDescent="0.25">
      <c r="C53" s="414" t="s">
        <v>8</v>
      </c>
      <c r="D53" s="5">
        <f>Resultaten!D8-Resultaten!D9</f>
        <v>0</v>
      </c>
      <c r="E53" s="5">
        <f>Resultaten!E8-Resultaten!E9</f>
        <v>0</v>
      </c>
      <c r="F53" s="21">
        <f>Resultaten!F8-Resultaten!F9</f>
        <v>0</v>
      </c>
      <c r="G53" s="429">
        <f>SUM('BP - Monthly'!G53:R53)</f>
        <v>0</v>
      </c>
      <c r="H53" s="429">
        <f>SUM('BP - Monthly'!S53:AD53)</f>
        <v>0</v>
      </c>
      <c r="I53" s="429">
        <f>SUM('BP - Monthly'!AE53:AP53)</f>
        <v>0</v>
      </c>
      <c r="J53" s="429">
        <f>SUM('BP - Monthly'!AQ53:BB53)</f>
        <v>0</v>
      </c>
      <c r="K53" s="429">
        <f>SUM('BP - Monthly'!BC53:BN53)</f>
        <v>0</v>
      </c>
    </row>
    <row r="54" spans="1:18" ht="14.1" customHeight="1" x14ac:dyDescent="0.25">
      <c r="C54" s="417" t="s">
        <v>9</v>
      </c>
      <c r="D54" s="7">
        <f t="shared" ref="D54:K54" si="16">SUM(D52:D53)</f>
        <v>0</v>
      </c>
      <c r="E54" s="7">
        <f t="shared" si="16"/>
        <v>0</v>
      </c>
      <c r="F54" s="22">
        <f t="shared" si="16"/>
        <v>0</v>
      </c>
      <c r="G54" s="7">
        <f t="shared" si="16"/>
        <v>0</v>
      </c>
      <c r="H54" s="7">
        <f t="shared" si="16"/>
        <v>0</v>
      </c>
      <c r="I54" s="7">
        <f t="shared" si="16"/>
        <v>0</v>
      </c>
      <c r="J54" s="7">
        <f t="shared" si="16"/>
        <v>0</v>
      </c>
      <c r="K54" s="7">
        <f t="shared" si="16"/>
        <v>0</v>
      </c>
    </row>
    <row r="55" spans="1:18" ht="14.1" customHeight="1" x14ac:dyDescent="0.25">
      <c r="C55" s="744" t="s">
        <v>10</v>
      </c>
      <c r="D55" s="745" t="str">
        <f t="shared" ref="D55:K55" si="17">IFERROR(D54/D52,"n/a")</f>
        <v>n/a</v>
      </c>
      <c r="E55" s="745" t="str">
        <f t="shared" si="17"/>
        <v>n/a</v>
      </c>
      <c r="F55" s="746" t="str">
        <f t="shared" si="17"/>
        <v>n/a</v>
      </c>
      <c r="G55" s="745" t="str">
        <f t="shared" si="17"/>
        <v>n/a</v>
      </c>
      <c r="H55" s="745" t="str">
        <f t="shared" si="17"/>
        <v>n/a</v>
      </c>
      <c r="I55" s="745" t="str">
        <f t="shared" si="17"/>
        <v>n/a</v>
      </c>
      <c r="J55" s="745" t="str">
        <f t="shared" si="17"/>
        <v>n/a</v>
      </c>
      <c r="K55" s="745" t="str">
        <f t="shared" si="17"/>
        <v>n/a</v>
      </c>
    </row>
    <row r="56" spans="1:18" ht="14.1" customHeight="1" x14ac:dyDescent="0.25">
      <c r="C56" s="414" t="s">
        <v>11</v>
      </c>
      <c r="D56" s="5">
        <f>-Resultaten!D14</f>
        <v>0</v>
      </c>
      <c r="E56" s="5">
        <f>-Resultaten!E14</f>
        <v>0</v>
      </c>
      <c r="F56" s="21">
        <f>-Resultaten!F14</f>
        <v>0</v>
      </c>
      <c r="G56" s="429">
        <f>SUM('BP - Monthly'!G56:R56)</f>
        <v>0</v>
      </c>
      <c r="H56" s="429">
        <f>SUM('BP - Monthly'!S56:AD56)</f>
        <v>0</v>
      </c>
      <c r="I56" s="429">
        <f>SUM('BP - Monthly'!AE56:AP56)</f>
        <v>0</v>
      </c>
      <c r="J56" s="429">
        <f>SUM('BP - Monthly'!AQ56:BB56)</f>
        <v>0</v>
      </c>
      <c r="K56" s="429">
        <f>SUM('BP - Monthly'!BC56:BN56)</f>
        <v>0</v>
      </c>
    </row>
    <row r="57" spans="1:18" ht="14.1" customHeight="1" x14ac:dyDescent="0.25">
      <c r="C57" s="414" t="s">
        <v>12</v>
      </c>
      <c r="D57" s="5">
        <f>-Resultaten!D21</f>
        <v>0</v>
      </c>
      <c r="E57" s="5">
        <f>-Resultaten!E21</f>
        <v>0</v>
      </c>
      <c r="F57" s="21">
        <f>-Resultaten!F21</f>
        <v>0</v>
      </c>
      <c r="G57" s="429">
        <f>SUM('BP - Monthly'!G57:R57)</f>
        <v>0</v>
      </c>
      <c r="H57" s="429">
        <f>SUM('BP - Monthly'!S57:AD57)</f>
        <v>0</v>
      </c>
      <c r="I57" s="429">
        <f>SUM('BP - Monthly'!AE57:AP57)</f>
        <v>0</v>
      </c>
      <c r="J57" s="429">
        <f>SUM('BP - Monthly'!AQ57:BB57)</f>
        <v>0</v>
      </c>
      <c r="K57" s="429">
        <f>SUM('BP - Monthly'!BC57:BN57)</f>
        <v>0</v>
      </c>
    </row>
    <row r="58" spans="1:18" ht="14.1" customHeight="1" x14ac:dyDescent="0.25">
      <c r="C58" s="414" t="s">
        <v>922</v>
      </c>
      <c r="D58" s="5">
        <f>Resultaten!D15</f>
        <v>0</v>
      </c>
      <c r="E58" s="5">
        <f>Resultaten!E15</f>
        <v>0</v>
      </c>
      <c r="F58" s="5">
        <f>Resultaten!F15</f>
        <v>0</v>
      </c>
      <c r="G58" s="429">
        <f>SUM('BP - Monthly'!G58:R58)</f>
        <v>0</v>
      </c>
      <c r="H58" s="429">
        <f>SUM('BP - Monthly'!S58:AD58)</f>
        <v>0</v>
      </c>
      <c r="I58" s="429">
        <f>SUM('BP - Monthly'!AE58:AP58)</f>
        <v>0</v>
      </c>
      <c r="J58" s="429">
        <f>SUM('BP - Monthly'!AQ58:BB58)</f>
        <v>0</v>
      </c>
      <c r="K58" s="429">
        <f>SUM('BP - Monthly'!BC58:BN58)</f>
        <v>0</v>
      </c>
    </row>
    <row r="59" spans="1:18" ht="14.1" customHeight="1" x14ac:dyDescent="0.25">
      <c r="C59" s="414" t="s">
        <v>833</v>
      </c>
      <c r="D59" s="5">
        <f>Resultaten!D16</f>
        <v>0</v>
      </c>
      <c r="E59" s="5">
        <f>Resultaten!E16</f>
        <v>0</v>
      </c>
      <c r="F59" s="21">
        <f>Resultaten!F16</f>
        <v>0</v>
      </c>
      <c r="G59" s="429">
        <f>SUM('BP - Monthly'!G59:R59)</f>
        <v>0</v>
      </c>
      <c r="H59" s="429">
        <f>SUM('BP - Monthly'!S59:AD59)</f>
        <v>0</v>
      </c>
      <c r="I59" s="429">
        <f>SUM('BP - Monthly'!AE59:AP59)</f>
        <v>0</v>
      </c>
      <c r="J59" s="429">
        <f>SUM('BP - Monthly'!AQ59:BB59)</f>
        <v>0</v>
      </c>
      <c r="K59" s="429">
        <f>SUM('BP - Monthly'!BC59:BN59)</f>
        <v>0</v>
      </c>
    </row>
    <row r="60" spans="1:18" ht="14.1" customHeight="1" x14ac:dyDescent="0.25">
      <c r="C60" s="414" t="s">
        <v>38</v>
      </c>
      <c r="D60" s="5">
        <f>-Resultaten!D22</f>
        <v>0</v>
      </c>
      <c r="E60" s="5">
        <f>-Resultaten!E22</f>
        <v>0</v>
      </c>
      <c r="F60" s="21">
        <f>-Resultaten!F22</f>
        <v>0</v>
      </c>
      <c r="G60" s="429">
        <f>SUM('BP - Monthly'!G60:R60)</f>
        <v>0</v>
      </c>
      <c r="H60" s="429">
        <f>SUM('BP - Monthly'!S60:AD60)</f>
        <v>0</v>
      </c>
      <c r="I60" s="429">
        <f>SUM('BP - Monthly'!AE60:AP60)</f>
        <v>0</v>
      </c>
      <c r="J60" s="429">
        <f>SUM('BP - Monthly'!AQ60:BB60)</f>
        <v>0</v>
      </c>
      <c r="K60" s="429">
        <f>SUM('BP - Monthly'!BC60:BN60)</f>
        <v>0</v>
      </c>
    </row>
    <row r="61" spans="1:18" ht="14.1" customHeight="1" x14ac:dyDescent="0.25">
      <c r="C61" s="417" t="s">
        <v>0</v>
      </c>
      <c r="D61" s="7">
        <f>SUM(D54,D56:D60)</f>
        <v>0</v>
      </c>
      <c r="E61" s="7">
        <f t="shared" ref="E61:K61" si="18">SUM(E54,E56:E60)</f>
        <v>0</v>
      </c>
      <c r="F61" s="22">
        <f t="shared" si="18"/>
        <v>0</v>
      </c>
      <c r="G61" s="7">
        <f t="shared" si="18"/>
        <v>0</v>
      </c>
      <c r="H61" s="7">
        <f t="shared" si="18"/>
        <v>0</v>
      </c>
      <c r="I61" s="7">
        <f t="shared" si="18"/>
        <v>0</v>
      </c>
      <c r="J61" s="7">
        <f t="shared" si="18"/>
        <v>0</v>
      </c>
      <c r="K61" s="7">
        <f t="shared" si="18"/>
        <v>0</v>
      </c>
      <c r="L61" s="3"/>
    </row>
    <row r="62" spans="1:18" ht="14.1" customHeight="1" x14ac:dyDescent="0.25">
      <c r="C62" s="744" t="s">
        <v>13</v>
      </c>
      <c r="D62" s="745" t="str">
        <f t="shared" ref="D62:K62" si="19">IFERROR(D61/D52,"n/a")</f>
        <v>n/a</v>
      </c>
      <c r="E62" s="745" t="str">
        <f t="shared" si="19"/>
        <v>n/a</v>
      </c>
      <c r="F62" s="746" t="str">
        <f t="shared" si="19"/>
        <v>n/a</v>
      </c>
      <c r="G62" s="745" t="str">
        <f t="shared" si="19"/>
        <v>n/a</v>
      </c>
      <c r="H62" s="745" t="str">
        <f t="shared" si="19"/>
        <v>n/a</v>
      </c>
      <c r="I62" s="745" t="str">
        <f t="shared" si="19"/>
        <v>n/a</v>
      </c>
      <c r="J62" s="745" t="str">
        <f t="shared" si="19"/>
        <v>n/a</v>
      </c>
      <c r="K62" s="745" t="str">
        <f t="shared" si="19"/>
        <v>n/a</v>
      </c>
      <c r="L62" s="3"/>
    </row>
    <row r="63" spans="1:18" ht="14.1" customHeight="1" x14ac:dyDescent="0.25">
      <c r="C63" s="414" t="s">
        <v>39</v>
      </c>
      <c r="D63" s="5">
        <f>-Resultaten!D29</f>
        <v>0</v>
      </c>
      <c r="E63" s="5">
        <f>-Resultaten!E29</f>
        <v>0</v>
      </c>
      <c r="F63" s="21">
        <f>-Resultaten!F29</f>
        <v>0</v>
      </c>
      <c r="G63" s="429">
        <f>SUM('BP - Monthly'!G63:R63)</f>
        <v>0</v>
      </c>
      <c r="H63" s="429">
        <f>SUM('BP - Monthly'!S63:AD63)</f>
        <v>0</v>
      </c>
      <c r="I63" s="429">
        <f>SUM('BP - Monthly'!AE63:AP63)</f>
        <v>0</v>
      </c>
      <c r="J63" s="429">
        <f>SUM('BP - Monthly'!AQ63:BB63)</f>
        <v>0</v>
      </c>
      <c r="K63" s="429">
        <f>SUM('BP - Monthly'!BC63:BN63)</f>
        <v>0</v>
      </c>
      <c r="L63" s="3"/>
    </row>
    <row r="64" spans="1:18" ht="14.1" customHeight="1" x14ac:dyDescent="0.25">
      <c r="C64" s="417" t="s">
        <v>3</v>
      </c>
      <c r="D64" s="7">
        <f>D61+D63</f>
        <v>0</v>
      </c>
      <c r="E64" s="7">
        <f t="shared" ref="E64:K64" si="20">E61+E63</f>
        <v>0</v>
      </c>
      <c r="F64" s="22">
        <f t="shared" si="20"/>
        <v>0</v>
      </c>
      <c r="G64" s="7">
        <f t="shared" si="20"/>
        <v>0</v>
      </c>
      <c r="H64" s="7">
        <f t="shared" si="20"/>
        <v>0</v>
      </c>
      <c r="I64" s="7">
        <f t="shared" si="20"/>
        <v>0</v>
      </c>
      <c r="J64" s="7">
        <f t="shared" si="20"/>
        <v>0</v>
      </c>
      <c r="K64" s="7">
        <f t="shared" si="20"/>
        <v>0</v>
      </c>
      <c r="L64" s="3"/>
    </row>
    <row r="65" spans="1:66" ht="14.1" customHeight="1" x14ac:dyDescent="0.25">
      <c r="C65" s="744" t="s">
        <v>40</v>
      </c>
      <c r="D65" s="745" t="str">
        <f t="shared" ref="D65:K65" si="21">IFERROR(D64/D52,"n/a")</f>
        <v>n/a</v>
      </c>
      <c r="E65" s="745" t="str">
        <f t="shared" si="21"/>
        <v>n/a</v>
      </c>
      <c r="F65" s="746" t="str">
        <f t="shared" si="21"/>
        <v>n/a</v>
      </c>
      <c r="G65" s="745" t="str">
        <f t="shared" si="21"/>
        <v>n/a</v>
      </c>
      <c r="H65" s="745" t="str">
        <f t="shared" si="21"/>
        <v>n/a</v>
      </c>
      <c r="I65" s="745" t="str">
        <f t="shared" si="21"/>
        <v>n/a</v>
      </c>
      <c r="J65" s="745" t="str">
        <f t="shared" si="21"/>
        <v>n/a</v>
      </c>
      <c r="K65" s="745" t="str">
        <f t="shared" si="21"/>
        <v>n/a</v>
      </c>
      <c r="L65" s="3"/>
    </row>
    <row r="66" spans="1:66" ht="14.1" customHeight="1" outlineLevel="1" x14ac:dyDescent="0.25">
      <c r="C66" s="432" t="s">
        <v>850</v>
      </c>
      <c r="D66" s="5">
        <f>Historiek!D169/1000</f>
        <v>0</v>
      </c>
      <c r="E66" s="5">
        <f>Historiek!E169/1000</f>
        <v>0</v>
      </c>
      <c r="F66" s="5">
        <f>Historiek!F169/1000</f>
        <v>0</v>
      </c>
      <c r="G66" s="429">
        <f>SUM('BP - Monthly'!G66:R66)</f>
        <v>0</v>
      </c>
      <c r="H66" s="429">
        <f>SUM('BP - Monthly'!S66:AD66)</f>
        <v>0</v>
      </c>
      <c r="I66" s="429">
        <f>SUM('BP - Monthly'!AE66:AP66)</f>
        <v>0</v>
      </c>
      <c r="J66" s="429">
        <f>SUM('BP - Monthly'!AQ66:BB66)</f>
        <v>0</v>
      </c>
      <c r="K66" s="429">
        <f>SUM('BP - Monthly'!BC66:BN66)</f>
        <v>0</v>
      </c>
      <c r="L66" s="3"/>
    </row>
    <row r="67" spans="1:66" ht="14.1" customHeight="1" outlineLevel="1" x14ac:dyDescent="0.25">
      <c r="C67" s="432" t="s">
        <v>851</v>
      </c>
      <c r="D67" s="5">
        <f>-Historiek!D174/1000</f>
        <v>0</v>
      </c>
      <c r="E67" s="5">
        <f>-Historiek!E174/1000</f>
        <v>0</v>
      </c>
      <c r="F67" s="5">
        <f>-Historiek!F174/1000</f>
        <v>0</v>
      </c>
      <c r="G67" s="429">
        <f>SUM('BP - Monthly'!G67:R67)</f>
        <v>0</v>
      </c>
      <c r="H67" s="429">
        <f>SUM('BP - Monthly'!S67:AD67)</f>
        <v>0</v>
      </c>
      <c r="I67" s="429">
        <f>SUM('BP - Monthly'!AE67:AP67)</f>
        <v>0</v>
      </c>
      <c r="J67" s="429">
        <f>SUM('BP - Monthly'!AQ67:BB67)</f>
        <v>0</v>
      </c>
      <c r="K67" s="429">
        <f>SUM('BP - Monthly'!BC67:BN67)</f>
        <v>0</v>
      </c>
      <c r="L67" s="3"/>
    </row>
    <row r="68" spans="1:66" ht="14.1" customHeight="1" x14ac:dyDescent="0.25">
      <c r="C68" s="414" t="s">
        <v>41</v>
      </c>
      <c r="D68" s="5">
        <f>SUM(D66:D67)</f>
        <v>0</v>
      </c>
      <c r="E68" s="5">
        <f t="shared" ref="E68:K68" si="22">SUM(E66:E67)</f>
        <v>0</v>
      </c>
      <c r="F68" s="5">
        <f t="shared" si="22"/>
        <v>0</v>
      </c>
      <c r="G68" s="5">
        <f t="shared" si="22"/>
        <v>0</v>
      </c>
      <c r="H68" s="5">
        <f t="shared" si="22"/>
        <v>0</v>
      </c>
      <c r="I68" s="5">
        <f t="shared" si="22"/>
        <v>0</v>
      </c>
      <c r="J68" s="5">
        <f t="shared" si="22"/>
        <v>0</v>
      </c>
      <c r="K68" s="5">
        <f t="shared" si="22"/>
        <v>0</v>
      </c>
      <c r="L68" s="3"/>
    </row>
    <row r="69" spans="1:66" ht="14.1" customHeight="1" outlineLevel="1" x14ac:dyDescent="0.25">
      <c r="C69" s="432" t="s">
        <v>852</v>
      </c>
      <c r="D69" s="5">
        <f>Historiek!D181/1000</f>
        <v>0</v>
      </c>
      <c r="E69" s="5">
        <f>Historiek!E181/1000</f>
        <v>0</v>
      </c>
      <c r="F69" s="5">
        <f>Historiek!F181/1000</f>
        <v>0</v>
      </c>
      <c r="G69" s="429">
        <f>SUM('BP - Monthly'!G69:R69)</f>
        <v>0</v>
      </c>
      <c r="H69" s="429">
        <f>SUM('BP - Monthly'!S69:AD69)</f>
        <v>0</v>
      </c>
      <c r="I69" s="429">
        <f>SUM('BP - Monthly'!AE69:AP69)</f>
        <v>0</v>
      </c>
      <c r="J69" s="429">
        <f>SUM('BP - Monthly'!AQ69:BB69)</f>
        <v>0</v>
      </c>
      <c r="K69" s="429">
        <f>SUM('BP - Monthly'!BC69:BN69)</f>
        <v>0</v>
      </c>
      <c r="L69" s="3"/>
    </row>
    <row r="70" spans="1:66" ht="14.1" customHeight="1" outlineLevel="1" x14ac:dyDescent="0.25">
      <c r="C70" s="432" t="s">
        <v>853</v>
      </c>
      <c r="D70" s="5">
        <f>-Historiek!D188/1000</f>
        <v>0</v>
      </c>
      <c r="E70" s="5">
        <f>-Historiek!E188/1000</f>
        <v>0</v>
      </c>
      <c r="F70" s="5">
        <f>-Historiek!F188/1000</f>
        <v>0</v>
      </c>
      <c r="G70" s="429">
        <f>SUM('BP - Monthly'!G70:R70)</f>
        <v>0</v>
      </c>
      <c r="H70" s="429">
        <f>SUM('BP - Monthly'!S70:AD70)</f>
        <v>0</v>
      </c>
      <c r="I70" s="429">
        <f>SUM('BP - Monthly'!AE70:AP70)</f>
        <v>0</v>
      </c>
      <c r="J70" s="429">
        <f>SUM('BP - Monthly'!AQ70:BB70)</f>
        <v>0</v>
      </c>
      <c r="K70" s="429">
        <f>SUM('BP - Monthly'!BC70:BN70)</f>
        <v>0</v>
      </c>
      <c r="L70" s="3"/>
    </row>
    <row r="71" spans="1:66" ht="14.1" customHeight="1" x14ac:dyDescent="0.25">
      <c r="C71" s="414" t="s">
        <v>42</v>
      </c>
      <c r="D71" s="5">
        <f>SUM(D69:D70)</f>
        <v>0</v>
      </c>
      <c r="E71" s="5">
        <f t="shared" ref="E71:K71" si="23">SUM(E69:E70)</f>
        <v>0</v>
      </c>
      <c r="F71" s="5">
        <f t="shared" si="23"/>
        <v>0</v>
      </c>
      <c r="G71" s="5">
        <f t="shared" si="23"/>
        <v>0</v>
      </c>
      <c r="H71" s="5">
        <f t="shared" si="23"/>
        <v>0</v>
      </c>
      <c r="I71" s="5">
        <f t="shared" si="23"/>
        <v>0</v>
      </c>
      <c r="J71" s="5">
        <f t="shared" si="23"/>
        <v>0</v>
      </c>
      <c r="K71" s="5">
        <f t="shared" si="23"/>
        <v>0</v>
      </c>
      <c r="L71" s="3"/>
    </row>
    <row r="72" spans="1:66" ht="14.1" customHeight="1" x14ac:dyDescent="0.25">
      <c r="C72" s="417" t="s">
        <v>1</v>
      </c>
      <c r="D72" s="7">
        <f>SUM(D64,D68,D71)</f>
        <v>0</v>
      </c>
      <c r="E72" s="7">
        <f t="shared" ref="E72:K72" si="24">SUM(E64,E68,E71)</f>
        <v>0</v>
      </c>
      <c r="F72" s="22">
        <f t="shared" si="24"/>
        <v>0</v>
      </c>
      <c r="G72" s="7">
        <f t="shared" si="24"/>
        <v>0</v>
      </c>
      <c r="H72" s="7">
        <f t="shared" si="24"/>
        <v>0</v>
      </c>
      <c r="I72" s="7">
        <f t="shared" si="24"/>
        <v>0</v>
      </c>
      <c r="J72" s="7">
        <f t="shared" si="24"/>
        <v>0</v>
      </c>
      <c r="K72" s="7">
        <f t="shared" si="24"/>
        <v>0</v>
      </c>
      <c r="L72" s="3"/>
    </row>
    <row r="73" spans="1:66" ht="14.1" customHeight="1" x14ac:dyDescent="0.25">
      <c r="C73" s="414" t="s">
        <v>43</v>
      </c>
      <c r="D73" s="5">
        <f>Resultaten!D46</f>
        <v>0</v>
      </c>
      <c r="E73" s="5">
        <f>Resultaten!E46</f>
        <v>0</v>
      </c>
      <c r="F73" s="21">
        <f>Resultaten!F46</f>
        <v>0</v>
      </c>
      <c r="G73" s="429">
        <f>SUM('BP - Monthly'!G73:R73)</f>
        <v>0</v>
      </c>
      <c r="H73" s="429">
        <f>SUM('BP - Monthly'!S73:AD73)</f>
        <v>0</v>
      </c>
      <c r="I73" s="429">
        <f>SUM('BP - Monthly'!AE73:AP73)</f>
        <v>0</v>
      </c>
      <c r="J73" s="429">
        <f>SUM('BP - Monthly'!AQ73:BB73)</f>
        <v>0</v>
      </c>
      <c r="K73" s="429">
        <f>SUM('BP - Monthly'!BC73:BN73)</f>
        <v>0</v>
      </c>
      <c r="L73" s="3"/>
    </row>
    <row r="74" spans="1:66" ht="14.1" customHeight="1" x14ac:dyDescent="0.25">
      <c r="C74" s="747" t="s">
        <v>44</v>
      </c>
      <c r="D74" s="748">
        <f>SUM(D72:D73)</f>
        <v>0</v>
      </c>
      <c r="E74" s="748">
        <f t="shared" ref="E74:K74" si="25">SUM(E72:E73)</f>
        <v>0</v>
      </c>
      <c r="F74" s="749">
        <f t="shared" si="25"/>
        <v>0</v>
      </c>
      <c r="G74" s="748">
        <f t="shared" si="25"/>
        <v>0</v>
      </c>
      <c r="H74" s="748">
        <f t="shared" si="25"/>
        <v>0</v>
      </c>
      <c r="I74" s="748">
        <f t="shared" si="25"/>
        <v>0</v>
      </c>
      <c r="J74" s="748">
        <f t="shared" si="25"/>
        <v>0</v>
      </c>
      <c r="K74" s="748">
        <f t="shared" si="25"/>
        <v>0</v>
      </c>
      <c r="L74" s="3"/>
    </row>
    <row r="75" spans="1:66" ht="14.1" customHeight="1" x14ac:dyDescent="0.25">
      <c r="C75" s="2" t="s">
        <v>1050</v>
      </c>
      <c r="D75" s="5">
        <f>(Historiek!D225+Historiek!D229+Historiek!D238+Historiek!D240)/1000</f>
        <v>0</v>
      </c>
      <c r="E75" s="5">
        <f>(Historiek!E225+Historiek!E229+Historiek!E238+Historiek!E240)/1000</f>
        <v>0</v>
      </c>
      <c r="F75" s="5">
        <f>(Historiek!F225+Historiek!F229+Historiek!F238+Historiek!F240)/1000</f>
        <v>0</v>
      </c>
      <c r="G75" s="429">
        <f>SUM('BP - Monthly'!G75:R75)</f>
        <v>0</v>
      </c>
      <c r="H75" s="429">
        <f>SUM('BP - Monthly'!S75:AD75)</f>
        <v>0</v>
      </c>
      <c r="I75" s="429">
        <f>SUM('BP - Monthly'!AE75:AP75)</f>
        <v>0</v>
      </c>
      <c r="J75" s="429">
        <f>SUM('BP - Monthly'!AQ75:BB75)</f>
        <v>0</v>
      </c>
      <c r="K75" s="429">
        <f>SUM('BP - Monthly'!BC75:BN75)</f>
        <v>0</v>
      </c>
      <c r="L75" s="3"/>
    </row>
    <row r="76" spans="1:66" ht="14.1" customHeight="1" x14ac:dyDescent="0.25">
      <c r="C76" s="24" t="s">
        <v>1051</v>
      </c>
      <c r="D76" s="420">
        <f>SUM(D74:D75)</f>
        <v>0</v>
      </c>
      <c r="E76" s="420">
        <f t="shared" ref="E76:K76" si="26">SUM(E74:E75)</f>
        <v>0</v>
      </c>
      <c r="F76" s="420">
        <f t="shared" si="26"/>
        <v>0</v>
      </c>
      <c r="G76" s="420">
        <f t="shared" si="26"/>
        <v>0</v>
      </c>
      <c r="H76" s="420">
        <f t="shared" si="26"/>
        <v>0</v>
      </c>
      <c r="I76" s="420">
        <f t="shared" si="26"/>
        <v>0</v>
      </c>
      <c r="J76" s="420">
        <f t="shared" si="26"/>
        <v>0</v>
      </c>
      <c r="K76" s="420">
        <f t="shared" si="26"/>
        <v>0</v>
      </c>
      <c r="L76" s="420"/>
      <c r="M76" s="420"/>
      <c r="N76" s="420"/>
      <c r="O76" s="420"/>
      <c r="P76" s="420"/>
      <c r="Q76" s="420"/>
      <c r="R76" s="420"/>
      <c r="S76" s="420"/>
      <c r="T76" s="420"/>
      <c r="U76" s="420"/>
      <c r="V76" s="420"/>
      <c r="W76" s="420"/>
      <c r="X76" s="420"/>
      <c r="Y76" s="420"/>
      <c r="Z76" s="420"/>
      <c r="AA76" s="420"/>
      <c r="AB76" s="420"/>
      <c r="AC76" s="420"/>
      <c r="AD76" s="420"/>
      <c r="AE76" s="420"/>
      <c r="AF76" s="420"/>
      <c r="AG76" s="420"/>
      <c r="AH76" s="420"/>
      <c r="AI76" s="420"/>
      <c r="AJ76" s="420"/>
      <c r="AK76" s="420"/>
      <c r="AL76" s="420"/>
      <c r="AM76" s="420"/>
      <c r="AN76" s="420"/>
      <c r="AO76" s="420"/>
      <c r="AP76" s="420"/>
      <c r="AQ76" s="420"/>
      <c r="AR76" s="420"/>
      <c r="AS76" s="420"/>
      <c r="AT76" s="420"/>
      <c r="AU76" s="420"/>
      <c r="AV76" s="420"/>
      <c r="AW76" s="420"/>
      <c r="AX76" s="420"/>
      <c r="AY76" s="420"/>
      <c r="AZ76" s="420"/>
      <c r="BA76" s="420"/>
      <c r="BB76" s="420"/>
      <c r="BC76" s="420"/>
      <c r="BD76" s="420"/>
      <c r="BE76" s="420"/>
      <c r="BF76" s="420"/>
      <c r="BG76" s="420"/>
      <c r="BH76" s="420"/>
      <c r="BI76" s="420"/>
      <c r="BJ76" s="420"/>
      <c r="BK76" s="420"/>
      <c r="BL76" s="420"/>
      <c r="BM76" s="420"/>
      <c r="BN76" s="420"/>
    </row>
    <row r="77" spans="1:66" ht="14.1" customHeight="1" x14ac:dyDescent="0.25">
      <c r="D77" s="9"/>
      <c r="E77" s="9"/>
      <c r="F77" s="23"/>
      <c r="G77" s="9"/>
      <c r="H77" s="9"/>
      <c r="I77" s="9"/>
      <c r="J77" s="3"/>
      <c r="K77" s="3"/>
      <c r="L77" s="3"/>
    </row>
    <row r="78" spans="1:66" ht="14.1" customHeight="1" outlineLevel="1" x14ac:dyDescent="0.25">
      <c r="A78" s="10">
        <f>SUM(D78:K78)</f>
        <v>0</v>
      </c>
      <c r="C78" s="8" t="s">
        <v>5</v>
      </c>
      <c r="D78" s="8">
        <f>D74-Resultaten!D48</f>
        <v>0</v>
      </c>
      <c r="E78" s="8">
        <f>E74-Resultaten!E48</f>
        <v>0</v>
      </c>
      <c r="F78" s="20">
        <f>F74-Resultaten!F48</f>
        <v>0</v>
      </c>
      <c r="G78" s="8"/>
      <c r="H78" s="8"/>
      <c r="I78" s="8"/>
      <c r="J78" s="8"/>
      <c r="K78" s="8"/>
      <c r="L78" s="3"/>
    </row>
    <row r="79" spans="1:66" ht="14.1" customHeight="1" x14ac:dyDescent="0.25">
      <c r="D79" s="9"/>
      <c r="E79" s="9"/>
      <c r="F79" s="23"/>
      <c r="G79" s="8"/>
      <c r="H79" s="8"/>
      <c r="I79" s="8"/>
      <c r="J79" s="8"/>
      <c r="K79" s="8"/>
      <c r="L79" s="3"/>
    </row>
    <row r="80" spans="1:66" x14ac:dyDescent="0.25">
      <c r="C80" s="406" t="str">
        <f>"Cashflow statement - "&amp;Historiek!$A$2</f>
        <v>Cashflow statement - Dossier</v>
      </c>
      <c r="D80" s="407"/>
      <c r="E80" s="407"/>
      <c r="F80" s="13"/>
      <c r="G80" s="407"/>
      <c r="H80" s="407"/>
      <c r="I80" s="407"/>
    </row>
    <row r="81" spans="3:11" x14ac:dyDescent="0.25">
      <c r="C81" s="738" t="str">
        <f>C$4</f>
        <v>k€</v>
      </c>
      <c r="D81" s="741" t="str">
        <f t="shared" ref="D81:K81" si="27">D$4</f>
        <v>FY21</v>
      </c>
      <c r="E81" s="741" t="str">
        <f t="shared" si="27"/>
        <v>FY22</v>
      </c>
      <c r="F81" s="743" t="str">
        <f t="shared" si="27"/>
        <v>FY23</v>
      </c>
      <c r="G81" s="741" t="str">
        <f t="shared" si="27"/>
        <v>FY24</v>
      </c>
      <c r="H81" s="741" t="str">
        <f t="shared" si="27"/>
        <v>FY25</v>
      </c>
      <c r="I81" s="741" t="str">
        <f t="shared" si="27"/>
        <v>FY26</v>
      </c>
      <c r="J81" s="741" t="str">
        <f t="shared" si="27"/>
        <v>FY27</v>
      </c>
      <c r="K81" s="741" t="str">
        <f t="shared" si="27"/>
        <v>FY28</v>
      </c>
    </row>
    <row r="82" spans="3:11" x14ac:dyDescent="0.25">
      <c r="C82" s="16" t="s">
        <v>44</v>
      </c>
      <c r="D82" s="16"/>
      <c r="E82" s="16">
        <f t="shared" ref="E82:K82" si="28">E74</f>
        <v>0</v>
      </c>
      <c r="F82" s="17">
        <f t="shared" si="28"/>
        <v>0</v>
      </c>
      <c r="G82" s="16">
        <f t="shared" si="28"/>
        <v>0</v>
      </c>
      <c r="H82" s="16">
        <f t="shared" si="28"/>
        <v>0</v>
      </c>
      <c r="I82" s="16">
        <f t="shared" si="28"/>
        <v>0</v>
      </c>
      <c r="J82" s="16">
        <f t="shared" si="28"/>
        <v>0</v>
      </c>
      <c r="K82" s="16">
        <f t="shared" si="28"/>
        <v>0</v>
      </c>
    </row>
    <row r="83" spans="3:11" x14ac:dyDescent="0.25">
      <c r="C83" s="418" t="s">
        <v>45</v>
      </c>
      <c r="D83" s="4"/>
      <c r="E83" s="4">
        <f t="shared" ref="E83:K83" si="29">-E63</f>
        <v>0</v>
      </c>
      <c r="F83" s="14">
        <f t="shared" si="29"/>
        <v>0</v>
      </c>
      <c r="G83" s="4">
        <f t="shared" si="29"/>
        <v>0</v>
      </c>
      <c r="H83" s="4">
        <f t="shared" si="29"/>
        <v>0</v>
      </c>
      <c r="I83" s="4">
        <f t="shared" si="29"/>
        <v>0</v>
      </c>
      <c r="J83" s="4">
        <f t="shared" si="29"/>
        <v>0</v>
      </c>
      <c r="K83" s="4">
        <f t="shared" si="29"/>
        <v>0</v>
      </c>
    </row>
    <row r="84" spans="3:11" x14ac:dyDescent="0.25">
      <c r="C84" s="419" t="s">
        <v>46</v>
      </c>
      <c r="D84" s="4"/>
      <c r="E84" s="4">
        <f t="shared" ref="E84:J84" si="30">E113</f>
        <v>0</v>
      </c>
      <c r="F84" s="14">
        <f t="shared" si="30"/>
        <v>0</v>
      </c>
      <c r="G84" s="4">
        <f>G113</f>
        <v>0</v>
      </c>
      <c r="H84" s="4">
        <f t="shared" si="30"/>
        <v>0</v>
      </c>
      <c r="I84" s="4">
        <f t="shared" si="30"/>
        <v>0</v>
      </c>
      <c r="J84" s="4">
        <f t="shared" si="30"/>
        <v>0</v>
      </c>
      <c r="K84" s="4">
        <f>K113</f>
        <v>0</v>
      </c>
    </row>
    <row r="85" spans="3:11" x14ac:dyDescent="0.25">
      <c r="C85" s="410" t="s">
        <v>47</v>
      </c>
      <c r="D85" s="410"/>
      <c r="E85" s="410">
        <f t="shared" ref="E85:K85" si="31">SUM(E82:E84)</f>
        <v>0</v>
      </c>
      <c r="F85" s="15">
        <f t="shared" si="31"/>
        <v>0</v>
      </c>
      <c r="G85" s="410">
        <f t="shared" si="31"/>
        <v>0</v>
      </c>
      <c r="H85" s="410">
        <f t="shared" si="31"/>
        <v>0</v>
      </c>
      <c r="I85" s="410">
        <f t="shared" si="31"/>
        <v>0</v>
      </c>
      <c r="J85" s="410">
        <f t="shared" si="31"/>
        <v>0</v>
      </c>
      <c r="K85" s="410">
        <f t="shared" si="31"/>
        <v>0</v>
      </c>
    </row>
    <row r="86" spans="3:11" x14ac:dyDescent="0.25">
      <c r="C86" s="6" t="s">
        <v>4</v>
      </c>
      <c r="D86" s="4"/>
      <c r="E86" s="413">
        <f>D13-E13-E83</f>
        <v>0</v>
      </c>
      <c r="F86" s="19">
        <f>E13-F13-F83</f>
        <v>0</v>
      </c>
      <c r="G86" s="4">
        <f>SUM('BP - Monthly'!G86:R86)</f>
        <v>0</v>
      </c>
      <c r="H86" s="4">
        <f>SUM('BP - Monthly'!S86:AD86)</f>
        <v>0</v>
      </c>
      <c r="I86" s="4">
        <f>SUM('BP - Monthly'!AE86:AP86)</f>
        <v>0</v>
      </c>
      <c r="J86" s="4">
        <f>SUM('BP - Monthly'!AQ86:BB86)</f>
        <v>0</v>
      </c>
      <c r="K86" s="4">
        <f>SUM('BP - Monthly'!BC86:BN86)</f>
        <v>0</v>
      </c>
    </row>
    <row r="87" spans="3:11" x14ac:dyDescent="0.25">
      <c r="C87" s="410" t="s">
        <v>48</v>
      </c>
      <c r="D87" s="410"/>
      <c r="E87" s="410">
        <f t="shared" ref="E87:K87" si="32">E86</f>
        <v>0</v>
      </c>
      <c r="F87" s="15">
        <f t="shared" si="32"/>
        <v>0</v>
      </c>
      <c r="G87" s="410">
        <f t="shared" si="32"/>
        <v>0</v>
      </c>
      <c r="H87" s="410">
        <f t="shared" si="32"/>
        <v>0</v>
      </c>
      <c r="I87" s="410">
        <f t="shared" si="32"/>
        <v>0</v>
      </c>
      <c r="J87" s="410">
        <f t="shared" si="32"/>
        <v>0</v>
      </c>
      <c r="K87" s="410">
        <f t="shared" si="32"/>
        <v>0</v>
      </c>
    </row>
    <row r="88" spans="3:11" x14ac:dyDescent="0.25">
      <c r="C88" s="414" t="s">
        <v>1053</v>
      </c>
      <c r="D88" s="4"/>
      <c r="E88" s="4">
        <f>Historiek!E240/1000</f>
        <v>0</v>
      </c>
      <c r="F88" s="4">
        <f>Historiek!F240/1000</f>
        <v>0</v>
      </c>
      <c r="G88" s="4">
        <f>SUM('BP - Monthly'!G88:R88)</f>
        <v>0</v>
      </c>
      <c r="H88" s="4">
        <f>SUM('BP - Monthly'!S88:AD88)</f>
        <v>0</v>
      </c>
      <c r="I88" s="4">
        <f>SUM('BP - Monthly'!AE88:AP88)</f>
        <v>0</v>
      </c>
      <c r="J88" s="4">
        <f>SUM('BP - Monthly'!AQ88:BB88)</f>
        <v>0</v>
      </c>
      <c r="K88" s="4">
        <f>SUM('BP - Monthly'!BC88:BN88)</f>
        <v>0</v>
      </c>
    </row>
    <row r="89" spans="3:11" x14ac:dyDescent="0.25">
      <c r="C89" s="414" t="s">
        <v>49</v>
      </c>
      <c r="D89" s="4"/>
      <c r="E89" s="4">
        <f t="shared" ref="E89:K89" si="33">E30-D30</f>
        <v>0</v>
      </c>
      <c r="F89" s="14">
        <f t="shared" si="33"/>
        <v>0</v>
      </c>
      <c r="G89" s="4">
        <f t="shared" si="33"/>
        <v>0</v>
      </c>
      <c r="H89" s="4">
        <f t="shared" si="33"/>
        <v>0</v>
      </c>
      <c r="I89" s="4">
        <f t="shared" si="33"/>
        <v>0</v>
      </c>
      <c r="J89" s="4">
        <f t="shared" si="33"/>
        <v>0</v>
      </c>
      <c r="K89" s="4">
        <f t="shared" si="33"/>
        <v>0</v>
      </c>
    </row>
    <row r="90" spans="3:11" x14ac:dyDescent="0.25">
      <c r="C90" s="414" t="s">
        <v>50</v>
      </c>
      <c r="D90" s="4"/>
      <c r="E90" s="4">
        <f t="shared" ref="E90:K92" si="34">E33-D33</f>
        <v>0</v>
      </c>
      <c r="F90" s="14">
        <f t="shared" si="34"/>
        <v>0</v>
      </c>
      <c r="G90" s="4">
        <f t="shared" si="34"/>
        <v>0</v>
      </c>
      <c r="H90" s="4">
        <f t="shared" si="34"/>
        <v>0</v>
      </c>
      <c r="I90" s="4">
        <f t="shared" si="34"/>
        <v>0</v>
      </c>
      <c r="J90" s="4">
        <f t="shared" si="34"/>
        <v>0</v>
      </c>
      <c r="K90" s="4">
        <f t="shared" si="34"/>
        <v>0</v>
      </c>
    </row>
    <row r="91" spans="3:11" x14ac:dyDescent="0.25">
      <c r="C91" s="414" t="s">
        <v>51</v>
      </c>
      <c r="D91" s="4"/>
      <c r="E91" s="4">
        <f t="shared" si="34"/>
        <v>0</v>
      </c>
      <c r="F91" s="14">
        <f t="shared" si="34"/>
        <v>0</v>
      </c>
      <c r="G91" s="4">
        <f t="shared" si="34"/>
        <v>0</v>
      </c>
      <c r="H91" s="4">
        <f t="shared" si="34"/>
        <v>0</v>
      </c>
      <c r="I91" s="4">
        <f t="shared" si="34"/>
        <v>0</v>
      </c>
      <c r="J91" s="4">
        <f t="shared" si="34"/>
        <v>0</v>
      </c>
      <c r="K91" s="4">
        <f t="shared" si="34"/>
        <v>0</v>
      </c>
    </row>
    <row r="92" spans="3:11" x14ac:dyDescent="0.25">
      <c r="C92" s="414" t="s">
        <v>52</v>
      </c>
      <c r="D92" s="4"/>
      <c r="E92" s="4">
        <f t="shared" si="34"/>
        <v>0</v>
      </c>
      <c r="F92" s="14">
        <f t="shared" si="34"/>
        <v>0</v>
      </c>
      <c r="G92" s="4">
        <f t="shared" si="34"/>
        <v>0</v>
      </c>
      <c r="H92" s="4">
        <f t="shared" si="34"/>
        <v>0</v>
      </c>
      <c r="I92" s="4">
        <f t="shared" si="34"/>
        <v>0</v>
      </c>
      <c r="J92" s="4">
        <f t="shared" si="34"/>
        <v>0</v>
      </c>
      <c r="K92" s="4">
        <f t="shared" si="34"/>
        <v>0</v>
      </c>
    </row>
    <row r="93" spans="3:11" x14ac:dyDescent="0.25">
      <c r="C93" s="417" t="s">
        <v>53</v>
      </c>
      <c r="D93" s="410"/>
      <c r="E93" s="410">
        <f t="shared" ref="E93:K93" si="35">SUM(E88:E92)</f>
        <v>0</v>
      </c>
      <c r="F93" s="15">
        <f t="shared" si="35"/>
        <v>0</v>
      </c>
      <c r="G93" s="410">
        <f t="shared" si="35"/>
        <v>0</v>
      </c>
      <c r="H93" s="410">
        <f t="shared" si="35"/>
        <v>0</v>
      </c>
      <c r="I93" s="410">
        <f t="shared" si="35"/>
        <v>0</v>
      </c>
      <c r="J93" s="410">
        <f t="shared" si="35"/>
        <v>0</v>
      </c>
      <c r="K93" s="410">
        <f t="shared" si="35"/>
        <v>0</v>
      </c>
    </row>
    <row r="94" spans="3:11" x14ac:dyDescent="0.25">
      <c r="C94" s="750" t="s">
        <v>54</v>
      </c>
      <c r="D94" s="748"/>
      <c r="E94" s="748">
        <f t="shared" ref="E94:K94" si="36">SUM(E85,E87,E93)</f>
        <v>0</v>
      </c>
      <c r="F94" s="749">
        <f t="shared" si="36"/>
        <v>0</v>
      </c>
      <c r="G94" s="748">
        <f t="shared" si="36"/>
        <v>0</v>
      </c>
      <c r="H94" s="748">
        <f t="shared" si="36"/>
        <v>0</v>
      </c>
      <c r="I94" s="748">
        <f t="shared" si="36"/>
        <v>0</v>
      </c>
      <c r="J94" s="748">
        <f t="shared" si="36"/>
        <v>0</v>
      </c>
      <c r="K94" s="748">
        <f t="shared" si="36"/>
        <v>0</v>
      </c>
    </row>
    <row r="96" spans="3:11" x14ac:dyDescent="0.25">
      <c r="C96" s="24" t="s">
        <v>55</v>
      </c>
      <c r="D96" s="420"/>
      <c r="E96" s="420">
        <f>D98</f>
        <v>0</v>
      </c>
      <c r="F96" s="25">
        <f t="shared" ref="F96:K96" si="37">E98</f>
        <v>0</v>
      </c>
      <c r="G96" s="420">
        <f t="shared" si="37"/>
        <v>0</v>
      </c>
      <c r="H96" s="420">
        <f t="shared" si="37"/>
        <v>0</v>
      </c>
      <c r="I96" s="420">
        <f t="shared" si="37"/>
        <v>0</v>
      </c>
      <c r="J96" s="420">
        <f t="shared" si="37"/>
        <v>0</v>
      </c>
      <c r="K96" s="420">
        <f t="shared" si="37"/>
        <v>0</v>
      </c>
    </row>
    <row r="97" spans="1:11" x14ac:dyDescent="0.25">
      <c r="C97" s="2" t="s">
        <v>56</v>
      </c>
      <c r="D97" s="5"/>
      <c r="E97" s="5">
        <f>E94</f>
        <v>0</v>
      </c>
      <c r="F97" s="21">
        <f t="shared" ref="F97:K97" si="38">F94</f>
        <v>0</v>
      </c>
      <c r="G97" s="5">
        <f t="shared" si="38"/>
        <v>0</v>
      </c>
      <c r="H97" s="5">
        <f t="shared" si="38"/>
        <v>0</v>
      </c>
      <c r="I97" s="5">
        <f t="shared" si="38"/>
        <v>0</v>
      </c>
      <c r="J97" s="5">
        <f t="shared" si="38"/>
        <v>0</v>
      </c>
      <c r="K97" s="5">
        <f t="shared" si="38"/>
        <v>0</v>
      </c>
    </row>
    <row r="98" spans="1:11" x14ac:dyDescent="0.25">
      <c r="C98" s="24" t="s">
        <v>57</v>
      </c>
      <c r="D98" s="420">
        <f>D17</f>
        <v>0</v>
      </c>
      <c r="E98" s="420">
        <f>SUM(E96:E97)</f>
        <v>0</v>
      </c>
      <c r="F98" s="25">
        <f t="shared" ref="F98:K98" si="39">SUM(F96:F97)</f>
        <v>0</v>
      </c>
      <c r="G98" s="420">
        <f t="shared" si="39"/>
        <v>0</v>
      </c>
      <c r="H98" s="420">
        <f t="shared" si="39"/>
        <v>0</v>
      </c>
      <c r="I98" s="420">
        <f t="shared" si="39"/>
        <v>0</v>
      </c>
      <c r="J98" s="420">
        <f t="shared" si="39"/>
        <v>0</v>
      </c>
      <c r="K98" s="420">
        <f t="shared" si="39"/>
        <v>0</v>
      </c>
    </row>
    <row r="99" spans="1:11" x14ac:dyDescent="0.25">
      <c r="D99" s="5"/>
      <c r="E99" s="5"/>
    </row>
    <row r="100" spans="1:11" outlineLevel="1" x14ac:dyDescent="0.25">
      <c r="A100" s="10">
        <v>0</v>
      </c>
      <c r="C100" s="8" t="s">
        <v>5</v>
      </c>
      <c r="D100" s="8">
        <f>D98-D17</f>
        <v>0</v>
      </c>
      <c r="E100" s="8">
        <f>E98-E17</f>
        <v>0</v>
      </c>
      <c r="F100" s="20">
        <f>F98-F17</f>
        <v>0</v>
      </c>
      <c r="G100" s="8"/>
      <c r="H100" s="8"/>
      <c r="I100" s="8"/>
      <c r="J100" s="8"/>
      <c r="K100" s="8"/>
    </row>
    <row r="102" spans="1:11" x14ac:dyDescent="0.25">
      <c r="C102" s="406" t="str">
        <f>"NWK evolutie - "&amp;Historiek!$A$2</f>
        <v>NWK evolutie - Dossier</v>
      </c>
      <c r="D102" s="407"/>
      <c r="E102" s="407"/>
      <c r="F102" s="13"/>
      <c r="G102" s="407"/>
      <c r="H102" s="407"/>
      <c r="I102" s="407"/>
    </row>
    <row r="103" spans="1:11" x14ac:dyDescent="0.25">
      <c r="C103" s="738" t="str">
        <f>C$4</f>
        <v>k€</v>
      </c>
      <c r="D103" s="741" t="str">
        <f t="shared" ref="D103:K103" si="40">D$4</f>
        <v>FY21</v>
      </c>
      <c r="E103" s="741" t="str">
        <f t="shared" si="40"/>
        <v>FY22</v>
      </c>
      <c r="F103" s="743" t="str">
        <f t="shared" si="40"/>
        <v>FY23</v>
      </c>
      <c r="G103" s="741" t="str">
        <f t="shared" si="40"/>
        <v>FY24</v>
      </c>
      <c r="H103" s="741" t="str">
        <f t="shared" si="40"/>
        <v>FY25</v>
      </c>
      <c r="I103" s="741" t="str">
        <f t="shared" si="40"/>
        <v>FY26</v>
      </c>
      <c r="J103" s="741" t="str">
        <f t="shared" si="40"/>
        <v>FY27</v>
      </c>
      <c r="K103" s="741" t="str">
        <f t="shared" si="40"/>
        <v>FY28</v>
      </c>
    </row>
    <row r="104" spans="1:11" x14ac:dyDescent="0.25">
      <c r="C104" s="418" t="s">
        <v>58</v>
      </c>
      <c r="D104" s="5"/>
      <c r="E104" s="5">
        <f t="shared" ref="E104:K108" si="41">D118-E118</f>
        <v>0</v>
      </c>
      <c r="F104" s="21">
        <f t="shared" si="41"/>
        <v>0</v>
      </c>
      <c r="G104" s="5">
        <f t="shared" si="41"/>
        <v>0</v>
      </c>
      <c r="H104" s="5">
        <f t="shared" si="41"/>
        <v>0</v>
      </c>
      <c r="I104" s="5">
        <f t="shared" si="41"/>
        <v>0</v>
      </c>
      <c r="J104" s="5">
        <f t="shared" si="41"/>
        <v>0</v>
      </c>
      <c r="K104" s="5">
        <f t="shared" si="41"/>
        <v>0</v>
      </c>
    </row>
    <row r="105" spans="1:11" x14ac:dyDescent="0.25">
      <c r="C105" s="418" t="s">
        <v>59</v>
      </c>
      <c r="D105" s="5"/>
      <c r="E105" s="5">
        <f t="shared" si="41"/>
        <v>0</v>
      </c>
      <c r="F105" s="21">
        <f t="shared" si="41"/>
        <v>0</v>
      </c>
      <c r="G105" s="5">
        <f t="shared" si="41"/>
        <v>0</v>
      </c>
      <c r="H105" s="5">
        <f t="shared" si="41"/>
        <v>0</v>
      </c>
      <c r="I105" s="5">
        <f t="shared" si="41"/>
        <v>0</v>
      </c>
      <c r="J105" s="5">
        <f t="shared" si="41"/>
        <v>0</v>
      </c>
      <c r="K105" s="5">
        <f t="shared" si="41"/>
        <v>0</v>
      </c>
    </row>
    <row r="106" spans="1:11" x14ac:dyDescent="0.25">
      <c r="C106" s="418" t="s">
        <v>60</v>
      </c>
      <c r="D106" s="5"/>
      <c r="E106" s="5">
        <f t="shared" si="41"/>
        <v>0</v>
      </c>
      <c r="F106" s="21">
        <f t="shared" si="41"/>
        <v>0</v>
      </c>
      <c r="G106" s="5">
        <f t="shared" si="41"/>
        <v>0</v>
      </c>
      <c r="H106" s="5">
        <f t="shared" si="41"/>
        <v>0</v>
      </c>
      <c r="I106" s="5">
        <f t="shared" si="41"/>
        <v>0</v>
      </c>
      <c r="J106" s="5">
        <f t="shared" si="41"/>
        <v>0</v>
      </c>
      <c r="K106" s="5">
        <f t="shared" si="41"/>
        <v>0</v>
      </c>
    </row>
    <row r="107" spans="1:11" x14ac:dyDescent="0.25">
      <c r="C107" s="419" t="s">
        <v>61</v>
      </c>
      <c r="D107" s="5"/>
      <c r="E107" s="5">
        <f>D121-E121</f>
        <v>0</v>
      </c>
      <c r="F107" s="21">
        <f t="shared" si="41"/>
        <v>0</v>
      </c>
      <c r="G107" s="5">
        <f t="shared" si="41"/>
        <v>0</v>
      </c>
      <c r="H107" s="5">
        <f t="shared" si="41"/>
        <v>0</v>
      </c>
      <c r="I107" s="5">
        <f t="shared" si="41"/>
        <v>0</v>
      </c>
      <c r="J107" s="5">
        <f t="shared" si="41"/>
        <v>0</v>
      </c>
      <c r="K107" s="5">
        <f t="shared" si="41"/>
        <v>0</v>
      </c>
    </row>
    <row r="108" spans="1:11" x14ac:dyDescent="0.25">
      <c r="C108" s="419" t="s">
        <v>1055</v>
      </c>
      <c r="D108" s="5"/>
      <c r="E108" s="5">
        <f t="shared" si="41"/>
        <v>0</v>
      </c>
      <c r="F108" s="21">
        <f t="shared" si="41"/>
        <v>0</v>
      </c>
      <c r="G108" s="5">
        <f t="shared" si="41"/>
        <v>0</v>
      </c>
      <c r="H108" s="5">
        <f t="shared" si="41"/>
        <v>0</v>
      </c>
      <c r="I108" s="5">
        <f t="shared" si="41"/>
        <v>0</v>
      </c>
      <c r="J108" s="5">
        <f t="shared" si="41"/>
        <v>0</v>
      </c>
      <c r="K108" s="5">
        <f t="shared" si="41"/>
        <v>0</v>
      </c>
    </row>
    <row r="109" spans="1:11" x14ac:dyDescent="0.25">
      <c r="C109" s="421" t="s">
        <v>62</v>
      </c>
      <c r="D109" s="5"/>
      <c r="E109" s="5">
        <f t="shared" ref="E109:E112" si="42">D123-E123</f>
        <v>0</v>
      </c>
      <c r="F109" s="21">
        <f t="shared" ref="F109:F112" si="43">E123-F123</f>
        <v>0</v>
      </c>
      <c r="G109" s="5">
        <f t="shared" ref="G109:G112" si="44">F123-G123</f>
        <v>0</v>
      </c>
      <c r="H109" s="5">
        <f t="shared" ref="H109:H112" si="45">G123-H123</f>
        <v>0</v>
      </c>
      <c r="I109" s="5">
        <f t="shared" ref="I109:I112" si="46">H123-I123</f>
        <v>0</v>
      </c>
      <c r="J109" s="5">
        <f t="shared" ref="J109:J112" si="47">I123-J123</f>
        <v>0</v>
      </c>
      <c r="K109" s="5">
        <f t="shared" ref="K109:K112" si="48">J123-K123</f>
        <v>0</v>
      </c>
    </row>
    <row r="110" spans="1:11" x14ac:dyDescent="0.25">
      <c r="C110" s="419" t="s">
        <v>63</v>
      </c>
      <c r="D110" s="5"/>
      <c r="E110" s="5">
        <f t="shared" si="42"/>
        <v>0</v>
      </c>
      <c r="F110" s="21">
        <f t="shared" si="43"/>
        <v>0</v>
      </c>
      <c r="G110" s="5">
        <f t="shared" si="44"/>
        <v>0</v>
      </c>
      <c r="H110" s="5">
        <f t="shared" si="45"/>
        <v>0</v>
      </c>
      <c r="I110" s="5">
        <f t="shared" si="46"/>
        <v>0</v>
      </c>
      <c r="J110" s="5">
        <f t="shared" si="47"/>
        <v>0</v>
      </c>
      <c r="K110" s="5">
        <f t="shared" si="48"/>
        <v>0</v>
      </c>
    </row>
    <row r="111" spans="1:11" x14ac:dyDescent="0.25">
      <c r="C111" s="421" t="s">
        <v>64</v>
      </c>
      <c r="D111" s="5"/>
      <c r="E111" s="5">
        <f t="shared" si="42"/>
        <v>0</v>
      </c>
      <c r="F111" s="21">
        <f t="shared" si="43"/>
        <v>0</v>
      </c>
      <c r="G111" s="5">
        <f t="shared" si="44"/>
        <v>0</v>
      </c>
      <c r="H111" s="5">
        <f t="shared" si="45"/>
        <v>0</v>
      </c>
      <c r="I111" s="5">
        <f t="shared" si="46"/>
        <v>0</v>
      </c>
      <c r="J111" s="5">
        <f t="shared" si="47"/>
        <v>0</v>
      </c>
      <c r="K111" s="5">
        <f t="shared" si="48"/>
        <v>0</v>
      </c>
    </row>
    <row r="112" spans="1:11" x14ac:dyDescent="0.25">
      <c r="C112" s="421" t="s">
        <v>65</v>
      </c>
      <c r="D112" s="5"/>
      <c r="E112" s="5">
        <f t="shared" si="42"/>
        <v>0</v>
      </c>
      <c r="F112" s="21">
        <f t="shared" si="43"/>
        <v>0</v>
      </c>
      <c r="G112" s="5">
        <f t="shared" si="44"/>
        <v>0</v>
      </c>
      <c r="H112" s="5">
        <f t="shared" si="45"/>
        <v>0</v>
      </c>
      <c r="I112" s="5">
        <f t="shared" si="46"/>
        <v>0</v>
      </c>
      <c r="J112" s="5">
        <f t="shared" si="47"/>
        <v>0</v>
      </c>
      <c r="K112" s="5">
        <f t="shared" si="48"/>
        <v>0</v>
      </c>
    </row>
    <row r="113" spans="3:11" x14ac:dyDescent="0.25">
      <c r="C113" s="410" t="s">
        <v>66</v>
      </c>
      <c r="D113" s="410"/>
      <c r="E113" s="410">
        <f t="shared" ref="E113:K113" si="49">SUM(E104:E112)</f>
        <v>0</v>
      </c>
      <c r="F113" s="15">
        <f t="shared" si="49"/>
        <v>0</v>
      </c>
      <c r="G113" s="410">
        <f t="shared" si="49"/>
        <v>0</v>
      </c>
      <c r="H113" s="410">
        <f t="shared" si="49"/>
        <v>0</v>
      </c>
      <c r="I113" s="410">
        <f t="shared" si="49"/>
        <v>0</v>
      </c>
      <c r="J113" s="410">
        <f t="shared" si="49"/>
        <v>0</v>
      </c>
      <c r="K113" s="410">
        <f t="shared" si="49"/>
        <v>0</v>
      </c>
    </row>
    <row r="116" spans="3:11" x14ac:dyDescent="0.25">
      <c r="C116" s="406" t="str">
        <f>"NWK - "&amp;Historiek!$A$2</f>
        <v>NWK - Dossier</v>
      </c>
      <c r="D116" s="407"/>
      <c r="E116" s="407"/>
      <c r="F116" s="13"/>
      <c r="G116" s="407"/>
      <c r="H116" s="407"/>
      <c r="I116" s="407"/>
    </row>
    <row r="117" spans="3:11" x14ac:dyDescent="0.25">
      <c r="C117" s="738" t="s">
        <v>6</v>
      </c>
      <c r="D117" s="742" t="str">
        <f>D$6</f>
        <v>Dec'21</v>
      </c>
      <c r="E117" s="742" t="str">
        <f t="shared" ref="E117:K117" si="50">E$6</f>
        <v>Dec'22</v>
      </c>
      <c r="F117" s="740" t="str">
        <f t="shared" si="50"/>
        <v>Dec'23</v>
      </c>
      <c r="G117" s="742" t="str">
        <f t="shared" si="50"/>
        <v>Dec'24</v>
      </c>
      <c r="H117" s="742" t="str">
        <f t="shared" si="50"/>
        <v>Dec'25</v>
      </c>
      <c r="I117" s="742" t="str">
        <f t="shared" si="50"/>
        <v>Dec'26</v>
      </c>
      <c r="J117" s="742" t="str">
        <f t="shared" si="50"/>
        <v>Dec'27</v>
      </c>
      <c r="K117" s="742" t="str">
        <f t="shared" si="50"/>
        <v>Dec'28</v>
      </c>
    </row>
    <row r="118" spans="3:11" x14ac:dyDescent="0.25">
      <c r="C118" s="418" t="s">
        <v>18</v>
      </c>
      <c r="D118" s="5">
        <f t="shared" ref="D118:K120" si="51">D14</f>
        <v>0</v>
      </c>
      <c r="E118" s="5">
        <f t="shared" si="51"/>
        <v>0</v>
      </c>
      <c r="F118" s="21">
        <f t="shared" si="51"/>
        <v>0</v>
      </c>
      <c r="G118" s="5">
        <f t="shared" si="51"/>
        <v>0</v>
      </c>
      <c r="H118" s="5">
        <f t="shared" si="51"/>
        <v>0</v>
      </c>
      <c r="I118" s="5">
        <f t="shared" si="51"/>
        <v>0</v>
      </c>
      <c r="J118" s="5">
        <f t="shared" si="51"/>
        <v>0</v>
      </c>
      <c r="K118" s="5">
        <f t="shared" si="51"/>
        <v>0</v>
      </c>
    </row>
    <row r="119" spans="3:11" x14ac:dyDescent="0.25">
      <c r="C119" s="418" t="s">
        <v>19</v>
      </c>
      <c r="D119" s="5">
        <f t="shared" si="51"/>
        <v>0</v>
      </c>
      <c r="E119" s="5">
        <f t="shared" si="51"/>
        <v>0</v>
      </c>
      <c r="F119" s="21">
        <f t="shared" si="51"/>
        <v>0</v>
      </c>
      <c r="G119" s="5">
        <f t="shared" si="51"/>
        <v>0</v>
      </c>
      <c r="H119" s="5">
        <f t="shared" si="51"/>
        <v>0</v>
      </c>
      <c r="I119" s="5">
        <f t="shared" si="51"/>
        <v>0</v>
      </c>
      <c r="J119" s="5">
        <f t="shared" si="51"/>
        <v>0</v>
      </c>
      <c r="K119" s="5">
        <f t="shared" si="51"/>
        <v>0</v>
      </c>
    </row>
    <row r="120" spans="3:11" x14ac:dyDescent="0.25">
      <c r="C120" s="418" t="s">
        <v>20</v>
      </c>
      <c r="D120" s="5">
        <f t="shared" si="51"/>
        <v>0</v>
      </c>
      <c r="E120" s="5">
        <f t="shared" si="51"/>
        <v>0</v>
      </c>
      <c r="F120" s="21">
        <f t="shared" si="51"/>
        <v>0</v>
      </c>
      <c r="G120" s="5">
        <f t="shared" si="51"/>
        <v>0</v>
      </c>
      <c r="H120" s="5">
        <f t="shared" si="51"/>
        <v>0</v>
      </c>
      <c r="I120" s="5">
        <f t="shared" si="51"/>
        <v>0</v>
      </c>
      <c r="J120" s="5">
        <f t="shared" si="51"/>
        <v>0</v>
      </c>
      <c r="K120" s="5">
        <f t="shared" si="51"/>
        <v>0</v>
      </c>
    </row>
    <row r="121" spans="3:11" x14ac:dyDescent="0.25">
      <c r="C121" s="419" t="s">
        <v>32</v>
      </c>
      <c r="D121" s="5">
        <f t="shared" ref="D121:K121" si="52">-D36</f>
        <v>0</v>
      </c>
      <c r="E121" s="5">
        <f t="shared" si="52"/>
        <v>0</v>
      </c>
      <c r="F121" s="21">
        <f t="shared" si="52"/>
        <v>0</v>
      </c>
      <c r="G121" s="5">
        <f t="shared" si="52"/>
        <v>0</v>
      </c>
      <c r="H121" s="5">
        <f t="shared" si="52"/>
        <v>0</v>
      </c>
      <c r="I121" s="5">
        <f t="shared" si="52"/>
        <v>0</v>
      </c>
      <c r="J121" s="5">
        <f t="shared" si="52"/>
        <v>0</v>
      </c>
      <c r="K121" s="5">
        <f t="shared" si="52"/>
        <v>0</v>
      </c>
    </row>
    <row r="122" spans="3:11" x14ac:dyDescent="0.25">
      <c r="C122" s="419" t="s">
        <v>1054</v>
      </c>
      <c r="D122" s="5">
        <f>-D37</f>
        <v>0</v>
      </c>
      <c r="E122" s="5">
        <f t="shared" ref="E122:K122" si="53">-E37</f>
        <v>0</v>
      </c>
      <c r="F122" s="5">
        <f t="shared" si="53"/>
        <v>0</v>
      </c>
      <c r="G122" s="5">
        <f t="shared" si="53"/>
        <v>0</v>
      </c>
      <c r="H122" s="5">
        <f t="shared" si="53"/>
        <v>0</v>
      </c>
      <c r="I122" s="5">
        <f t="shared" si="53"/>
        <v>0</v>
      </c>
      <c r="J122" s="5">
        <f t="shared" si="53"/>
        <v>0</v>
      </c>
      <c r="K122" s="5">
        <f t="shared" si="53"/>
        <v>0</v>
      </c>
    </row>
    <row r="123" spans="3:11" x14ac:dyDescent="0.25">
      <c r="C123" s="421" t="s">
        <v>67</v>
      </c>
      <c r="D123" s="5">
        <f>-D38</f>
        <v>0</v>
      </c>
      <c r="E123" s="5">
        <f t="shared" ref="E123:K124" si="54">-E38</f>
        <v>0</v>
      </c>
      <c r="F123" s="21">
        <f t="shared" si="54"/>
        <v>0</v>
      </c>
      <c r="G123" s="21">
        <f t="shared" si="54"/>
        <v>0</v>
      </c>
      <c r="H123" s="21">
        <f t="shared" si="54"/>
        <v>0</v>
      </c>
      <c r="I123" s="21">
        <f t="shared" si="54"/>
        <v>0</v>
      </c>
      <c r="J123" s="21">
        <f t="shared" si="54"/>
        <v>0</v>
      </c>
      <c r="K123" s="21">
        <f t="shared" si="54"/>
        <v>0</v>
      </c>
    </row>
    <row r="124" spans="3:11" x14ac:dyDescent="0.25">
      <c r="C124" s="419" t="s">
        <v>34</v>
      </c>
      <c r="D124" s="5">
        <f>-D39</f>
        <v>0</v>
      </c>
      <c r="E124" s="5">
        <f t="shared" si="54"/>
        <v>0</v>
      </c>
      <c r="F124" s="21">
        <f t="shared" si="54"/>
        <v>0</v>
      </c>
      <c r="G124" s="21">
        <f t="shared" si="54"/>
        <v>0</v>
      </c>
      <c r="H124" s="21">
        <f t="shared" si="54"/>
        <v>0</v>
      </c>
      <c r="I124" s="21">
        <f t="shared" si="54"/>
        <v>0</v>
      </c>
      <c r="J124" s="21">
        <f t="shared" si="54"/>
        <v>0</v>
      </c>
      <c r="K124" s="21">
        <f t="shared" si="54"/>
        <v>0</v>
      </c>
    </row>
    <row r="125" spans="3:11" x14ac:dyDescent="0.25">
      <c r="C125" s="421" t="s">
        <v>68</v>
      </c>
      <c r="D125" s="5">
        <f t="shared" ref="D125:K125" si="55">D18</f>
        <v>0</v>
      </c>
      <c r="E125" s="5">
        <f t="shared" si="55"/>
        <v>0</v>
      </c>
      <c r="F125" s="21">
        <f t="shared" si="55"/>
        <v>0</v>
      </c>
      <c r="G125" s="21">
        <f t="shared" si="55"/>
        <v>0</v>
      </c>
      <c r="H125" s="21">
        <f t="shared" si="55"/>
        <v>0</v>
      </c>
      <c r="I125" s="21">
        <f t="shared" si="55"/>
        <v>0</v>
      </c>
      <c r="J125" s="21">
        <f t="shared" si="55"/>
        <v>0</v>
      </c>
      <c r="K125" s="21">
        <f t="shared" si="55"/>
        <v>0</v>
      </c>
    </row>
    <row r="126" spans="3:11" x14ac:dyDescent="0.25">
      <c r="C126" s="421" t="s">
        <v>69</v>
      </c>
      <c r="D126" s="5">
        <f t="shared" ref="D126:K126" si="56">-D40</f>
        <v>0</v>
      </c>
      <c r="E126" s="5">
        <f t="shared" si="56"/>
        <v>0</v>
      </c>
      <c r="F126" s="21">
        <f t="shared" si="56"/>
        <v>0</v>
      </c>
      <c r="G126" s="21">
        <f t="shared" si="56"/>
        <v>0</v>
      </c>
      <c r="H126" s="21">
        <f t="shared" si="56"/>
        <v>0</v>
      </c>
      <c r="I126" s="21">
        <f t="shared" si="56"/>
        <v>0</v>
      </c>
      <c r="J126" s="21">
        <f t="shared" si="56"/>
        <v>0</v>
      </c>
      <c r="K126" s="21">
        <f t="shared" si="56"/>
        <v>0</v>
      </c>
    </row>
    <row r="127" spans="3:11" x14ac:dyDescent="0.25">
      <c r="C127" s="410" t="s">
        <v>70</v>
      </c>
      <c r="D127" s="410">
        <f t="shared" ref="D127:K127" si="57">SUM(D118:D126)</f>
        <v>0</v>
      </c>
      <c r="E127" s="410">
        <f t="shared" si="57"/>
        <v>0</v>
      </c>
      <c r="F127" s="15">
        <f t="shared" si="57"/>
        <v>0</v>
      </c>
      <c r="G127" s="15">
        <f t="shared" si="57"/>
        <v>0</v>
      </c>
      <c r="H127" s="15">
        <f t="shared" si="57"/>
        <v>0</v>
      </c>
      <c r="I127" s="15">
        <f t="shared" si="57"/>
        <v>0</v>
      </c>
      <c r="J127" s="15">
        <f t="shared" si="57"/>
        <v>0</v>
      </c>
      <c r="K127" s="15">
        <f t="shared" si="57"/>
        <v>0</v>
      </c>
    </row>
    <row r="128" spans="3:11" x14ac:dyDescent="0.25">
      <c r="F128" s="21"/>
      <c r="G128" s="5"/>
      <c r="H128" s="5"/>
      <c r="I128" s="5"/>
    </row>
    <row r="129" spans="3:11" outlineLevel="1" x14ac:dyDescent="0.25">
      <c r="C129" s="2" t="s">
        <v>71</v>
      </c>
      <c r="D129" s="412"/>
      <c r="E129" s="412"/>
      <c r="F129" s="18"/>
      <c r="G129" s="412"/>
      <c r="H129" s="412"/>
      <c r="I129" s="412"/>
    </row>
    <row r="130" spans="3:11" outlineLevel="1" x14ac:dyDescent="0.25">
      <c r="C130" s="2" t="s">
        <v>72</v>
      </c>
      <c r="D130" s="412"/>
      <c r="E130" s="412"/>
      <c r="F130" s="18"/>
      <c r="G130" s="412"/>
      <c r="H130" s="412"/>
      <c r="I130" s="412"/>
    </row>
    <row r="131" spans="3:11" outlineLevel="1" x14ac:dyDescent="0.25">
      <c r="C131" s="2" t="s">
        <v>73</v>
      </c>
      <c r="D131" s="412"/>
      <c r="E131" s="412"/>
      <c r="F131" s="18"/>
      <c r="G131" s="412"/>
      <c r="H131" s="412"/>
      <c r="I131" s="412"/>
    </row>
    <row r="132" spans="3:11" outlineLevel="1" x14ac:dyDescent="0.25">
      <c r="C132" s="2" t="s">
        <v>74</v>
      </c>
      <c r="D132" s="422"/>
      <c r="E132" s="422"/>
      <c r="F132" s="26"/>
      <c r="G132" s="422"/>
      <c r="H132" s="422"/>
      <c r="I132" s="422"/>
    </row>
    <row r="134" spans="3:11" x14ac:dyDescent="0.25">
      <c r="C134" s="406" t="str">
        <f>"NFD - "&amp;Historiek!$A$2</f>
        <v>NFD - Dossier</v>
      </c>
      <c r="D134" s="407"/>
      <c r="E134" s="407"/>
      <c r="F134" s="13"/>
      <c r="G134" s="407"/>
      <c r="H134" s="407"/>
      <c r="I134" s="407"/>
    </row>
    <row r="135" spans="3:11" x14ac:dyDescent="0.25">
      <c r="C135" s="738" t="s">
        <v>6</v>
      </c>
      <c r="D135" s="742" t="str">
        <f>D$6</f>
        <v>Dec'21</v>
      </c>
      <c r="E135" s="742" t="str">
        <f t="shared" ref="E135:K135" si="58">E$6</f>
        <v>Dec'22</v>
      </c>
      <c r="F135" s="740" t="str">
        <f t="shared" si="58"/>
        <v>Dec'23</v>
      </c>
      <c r="G135" s="742" t="str">
        <f t="shared" si="58"/>
        <v>Dec'24</v>
      </c>
      <c r="H135" s="742" t="str">
        <f t="shared" si="58"/>
        <v>Dec'25</v>
      </c>
      <c r="I135" s="742" t="str">
        <f t="shared" si="58"/>
        <v>Dec'26</v>
      </c>
      <c r="J135" s="742" t="str">
        <f t="shared" si="58"/>
        <v>Dec'27</v>
      </c>
      <c r="K135" s="742" t="str">
        <f t="shared" si="58"/>
        <v>Dec'28</v>
      </c>
    </row>
    <row r="136" spans="3:11" x14ac:dyDescent="0.25">
      <c r="C136" s="4" t="s">
        <v>21</v>
      </c>
      <c r="D136" s="5">
        <f t="shared" ref="D136:K136" si="59">D17</f>
        <v>0</v>
      </c>
      <c r="E136" s="5">
        <f t="shared" si="59"/>
        <v>0</v>
      </c>
      <c r="F136" s="21">
        <f t="shared" si="59"/>
        <v>0</v>
      </c>
      <c r="G136" s="5">
        <f t="shared" si="59"/>
        <v>0</v>
      </c>
      <c r="H136" s="5">
        <f t="shared" si="59"/>
        <v>0</v>
      </c>
      <c r="I136" s="5">
        <f t="shared" si="59"/>
        <v>0</v>
      </c>
      <c r="J136" s="5">
        <f t="shared" si="59"/>
        <v>0</v>
      </c>
      <c r="K136" s="5">
        <f t="shared" si="59"/>
        <v>0</v>
      </c>
    </row>
    <row r="137" spans="3:11" x14ac:dyDescent="0.25">
      <c r="C137" s="4" t="s">
        <v>75</v>
      </c>
      <c r="D137" s="5">
        <f t="shared" ref="D137:K138" si="60">-D31</f>
        <v>0</v>
      </c>
      <c r="E137" s="5">
        <f t="shared" si="60"/>
        <v>0</v>
      </c>
      <c r="F137" s="21">
        <f t="shared" si="60"/>
        <v>0</v>
      </c>
      <c r="G137" s="5">
        <f t="shared" si="60"/>
        <v>0</v>
      </c>
      <c r="H137" s="5">
        <f t="shared" si="60"/>
        <v>0</v>
      </c>
      <c r="I137" s="5">
        <f t="shared" si="60"/>
        <v>0</v>
      </c>
      <c r="J137" s="5">
        <f t="shared" si="60"/>
        <v>0</v>
      </c>
      <c r="K137" s="5">
        <f t="shared" si="60"/>
        <v>0</v>
      </c>
    </row>
    <row r="138" spans="3:11" x14ac:dyDescent="0.25">
      <c r="C138" s="4" t="s">
        <v>29</v>
      </c>
      <c r="D138" s="5">
        <f t="shared" si="60"/>
        <v>0</v>
      </c>
      <c r="E138" s="5">
        <f t="shared" si="60"/>
        <v>0</v>
      </c>
      <c r="F138" s="21">
        <f t="shared" si="60"/>
        <v>0</v>
      </c>
      <c r="G138" s="5">
        <f t="shared" si="60"/>
        <v>0</v>
      </c>
      <c r="H138" s="5">
        <f t="shared" si="60"/>
        <v>0</v>
      </c>
      <c r="I138" s="5">
        <f t="shared" si="60"/>
        <v>0</v>
      </c>
      <c r="J138" s="5">
        <f t="shared" si="60"/>
        <v>0</v>
      </c>
      <c r="K138" s="5">
        <f t="shared" si="60"/>
        <v>0</v>
      </c>
    </row>
    <row r="139" spans="3:11" x14ac:dyDescent="0.25">
      <c r="C139" s="413" t="s">
        <v>31</v>
      </c>
      <c r="D139" s="5">
        <f t="shared" ref="D139:K140" si="61">-D34</f>
        <v>0</v>
      </c>
      <c r="E139" s="5">
        <f t="shared" si="61"/>
        <v>0</v>
      </c>
      <c r="F139" s="21">
        <f t="shared" si="61"/>
        <v>0</v>
      </c>
      <c r="G139" s="5">
        <f t="shared" si="61"/>
        <v>0</v>
      </c>
      <c r="H139" s="5">
        <f t="shared" si="61"/>
        <v>0</v>
      </c>
      <c r="I139" s="5">
        <f t="shared" si="61"/>
        <v>0</v>
      </c>
      <c r="J139" s="5">
        <f t="shared" si="61"/>
        <v>0</v>
      </c>
      <c r="K139" s="5">
        <f t="shared" si="61"/>
        <v>0</v>
      </c>
    </row>
    <row r="140" spans="3:11" x14ac:dyDescent="0.25">
      <c r="C140" s="413" t="s">
        <v>76</v>
      </c>
      <c r="D140" s="5">
        <f t="shared" si="61"/>
        <v>0</v>
      </c>
      <c r="E140" s="5">
        <f t="shared" si="61"/>
        <v>0</v>
      </c>
      <c r="F140" s="21">
        <f t="shared" si="61"/>
        <v>0</v>
      </c>
      <c r="G140" s="5">
        <f t="shared" si="61"/>
        <v>0</v>
      </c>
      <c r="H140" s="5">
        <f t="shared" si="61"/>
        <v>0</v>
      </c>
      <c r="I140" s="5">
        <f t="shared" si="61"/>
        <v>0</v>
      </c>
      <c r="J140" s="5">
        <f t="shared" si="61"/>
        <v>0</v>
      </c>
      <c r="K140" s="5">
        <f t="shared" si="61"/>
        <v>0</v>
      </c>
    </row>
    <row r="141" spans="3:11" x14ac:dyDescent="0.25">
      <c r="C141" s="410" t="s">
        <v>77</v>
      </c>
      <c r="D141" s="410">
        <f>SUM(D136:D140)</f>
        <v>0</v>
      </c>
      <c r="E141" s="410">
        <f t="shared" ref="E141:K141" si="62">SUM(E136:E140)</f>
        <v>0</v>
      </c>
      <c r="F141" s="15">
        <f t="shared" si="62"/>
        <v>0</v>
      </c>
      <c r="G141" s="410">
        <f t="shared" si="62"/>
        <v>0</v>
      </c>
      <c r="H141" s="410">
        <f t="shared" si="62"/>
        <v>0</v>
      </c>
      <c r="I141" s="410">
        <f t="shared" si="62"/>
        <v>0</v>
      </c>
      <c r="J141" s="410">
        <f t="shared" si="62"/>
        <v>0</v>
      </c>
      <c r="K141" s="410">
        <f t="shared" si="62"/>
        <v>0</v>
      </c>
    </row>
    <row r="143" spans="3:11" outlineLevel="1" x14ac:dyDescent="0.25">
      <c r="C143" s="2" t="s">
        <v>78</v>
      </c>
      <c r="D143" s="423"/>
      <c r="E143" s="423"/>
      <c r="F143" s="27"/>
      <c r="G143" s="423"/>
      <c r="H143" s="423"/>
      <c r="I143" s="423"/>
    </row>
    <row r="144" spans="3:11" x14ac:dyDescent="0.25">
      <c r="C144" s="4"/>
    </row>
    <row r="145" spans="3:3" x14ac:dyDescent="0.25">
      <c r="C145" s="4"/>
    </row>
  </sheetData>
  <conditionalFormatting sqref="D17:K17">
    <cfRule type="cellIs" dxfId="2" priority="3" operator="lessThan">
      <formula>0</formula>
    </cfRule>
  </conditionalFormatting>
  <conditionalFormatting sqref="D29:K29">
    <cfRule type="cellIs" dxfId="1" priority="1" operator="lessThan">
      <formula>0</formula>
    </cfRule>
  </conditionalFormatting>
  <conditionalFormatting sqref="D98:K98">
    <cfRule type="cellIs" dxfId="0" priority="2" operator="lessThan">
      <formula>0</formula>
    </cfRule>
  </conditionalFormatting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05C60-9C5D-4CC5-8576-B81563104705}">
  <sheetPr>
    <tabColor theme="4" tint="0.59999389629810485"/>
  </sheetPr>
  <dimension ref="C3:K9"/>
  <sheetViews>
    <sheetView showGridLines="0" workbookViewId="0">
      <selection activeCell="K42" sqref="K42"/>
    </sheetView>
  </sheetViews>
  <sheetFormatPr defaultColWidth="9.33203125" defaultRowHeight="13.2" x14ac:dyDescent="0.25"/>
  <cols>
    <col min="1" max="2" width="9.109375" style="497" customWidth="1"/>
    <col min="3" max="3" width="29.88671875" style="497" customWidth="1"/>
    <col min="4" max="16384" width="9.33203125" style="497"/>
  </cols>
  <sheetData>
    <row r="3" spans="3:11" x14ac:dyDescent="0.25">
      <c r="F3" s="499"/>
    </row>
    <row r="4" spans="3:11" x14ac:dyDescent="0.25">
      <c r="C4" s="500" t="str">
        <f>"Omzet &amp; EBITDA evolutie - "&amp;Historiek!A2</f>
        <v>Omzet &amp; EBITDA evolutie - Dossier</v>
      </c>
      <c r="D4" s="501"/>
      <c r="E4" s="501"/>
      <c r="F4" s="501"/>
      <c r="G4" s="502"/>
      <c r="H4" s="501"/>
      <c r="I4" s="501"/>
      <c r="J4" s="501"/>
    </row>
    <row r="5" spans="3:11" x14ac:dyDescent="0.25">
      <c r="C5" s="753" t="str">
        <f>'BP - Annual'!C48</f>
        <v>k€</v>
      </c>
      <c r="D5" s="754" t="str">
        <f>'BP - Annual'!D48</f>
        <v>FY21</v>
      </c>
      <c r="E5" s="754" t="str">
        <f>'BP - Annual'!E48</f>
        <v>FY22</v>
      </c>
      <c r="F5" s="755" t="str">
        <f>'BP - Annual'!F48</f>
        <v>FY23</v>
      </c>
      <c r="G5" s="754" t="str">
        <f>'BP - Annual'!G48</f>
        <v>FY24</v>
      </c>
      <c r="H5" s="754" t="str">
        <f>'BP - Annual'!H48</f>
        <v>FY25</v>
      </c>
      <c r="I5" s="754" t="str">
        <f>'BP - Annual'!I48</f>
        <v>FY26</v>
      </c>
      <c r="J5" s="754" t="str">
        <f>'BP - Annual'!J48</f>
        <v>FY27</v>
      </c>
      <c r="K5" s="754" t="str">
        <f>'BP - Annual'!K48</f>
        <v>FY28</v>
      </c>
    </row>
    <row r="6" spans="3:11" x14ac:dyDescent="0.25">
      <c r="C6" s="414" t="s">
        <v>7</v>
      </c>
      <c r="D6" s="503">
        <f>'BP - Annual'!D52</f>
        <v>0</v>
      </c>
      <c r="E6" s="503">
        <f>'BP - Annual'!E52</f>
        <v>0</v>
      </c>
      <c r="F6" s="504">
        <f>'BP - Annual'!F52</f>
        <v>0</v>
      </c>
      <c r="G6" s="503">
        <f>'BP - Annual'!G52</f>
        <v>0</v>
      </c>
      <c r="H6" s="503">
        <f>'BP - Annual'!H52</f>
        <v>0</v>
      </c>
      <c r="I6" s="503">
        <f>'BP - Annual'!I52</f>
        <v>0</v>
      </c>
      <c r="J6" s="503">
        <f>'BP - Annual'!J52</f>
        <v>0</v>
      </c>
      <c r="K6" s="503">
        <f>'BP - Annual'!K52</f>
        <v>0</v>
      </c>
    </row>
    <row r="7" spans="3:11" x14ac:dyDescent="0.25">
      <c r="C7" s="414" t="s">
        <v>922</v>
      </c>
      <c r="D7" s="503">
        <f>'BP - Annual'!D58</f>
        <v>0</v>
      </c>
      <c r="E7" s="503">
        <f>'BP - Annual'!E58</f>
        <v>0</v>
      </c>
      <c r="F7" s="504">
        <f>'BP - Annual'!F58</f>
        <v>0</v>
      </c>
      <c r="G7" s="503">
        <f>'BP - Annual'!G58</f>
        <v>0</v>
      </c>
      <c r="H7" s="503">
        <f>'BP - Annual'!H58</f>
        <v>0</v>
      </c>
      <c r="I7" s="503">
        <f>'BP - Annual'!I58</f>
        <v>0</v>
      </c>
      <c r="J7" s="503">
        <f>'BP - Annual'!J58</f>
        <v>0</v>
      </c>
      <c r="K7" s="503">
        <f>'BP - Annual'!K58</f>
        <v>0</v>
      </c>
    </row>
    <row r="8" spans="3:11" x14ac:dyDescent="0.25">
      <c r="C8" s="414" t="s">
        <v>0</v>
      </c>
      <c r="D8" s="505">
        <f>'BP - Annual'!D61</f>
        <v>0</v>
      </c>
      <c r="E8" s="505">
        <f>'BP - Annual'!E61</f>
        <v>0</v>
      </c>
      <c r="F8" s="506">
        <f>'BP - Annual'!F61</f>
        <v>0</v>
      </c>
      <c r="G8" s="505">
        <f>'BP - Annual'!G61</f>
        <v>0</v>
      </c>
      <c r="H8" s="505">
        <f>'BP - Annual'!H61</f>
        <v>0</v>
      </c>
      <c r="I8" s="505">
        <f>'BP - Annual'!I61</f>
        <v>0</v>
      </c>
      <c r="J8" s="505">
        <f>'BP - Annual'!J61</f>
        <v>0</v>
      </c>
      <c r="K8" s="505">
        <f>'BP - Annual'!K61</f>
        <v>0</v>
      </c>
    </row>
    <row r="9" spans="3:11" x14ac:dyDescent="0.25">
      <c r="C9" s="417" t="s">
        <v>923</v>
      </c>
      <c r="D9" s="507">
        <f t="shared" ref="D9:J9" si="0">D8-D7</f>
        <v>0</v>
      </c>
      <c r="E9" s="507">
        <f t="shared" si="0"/>
        <v>0</v>
      </c>
      <c r="F9" s="508">
        <f t="shared" si="0"/>
        <v>0</v>
      </c>
      <c r="G9" s="507">
        <f>G8-G7</f>
        <v>0</v>
      </c>
      <c r="H9" s="507">
        <f t="shared" si="0"/>
        <v>0</v>
      </c>
      <c r="I9" s="507">
        <f t="shared" si="0"/>
        <v>0</v>
      </c>
      <c r="J9" s="507">
        <f t="shared" si="0"/>
        <v>0</v>
      </c>
      <c r="K9" s="507">
        <f t="shared" ref="K9" si="1">K8-K7</f>
        <v>0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43F8E-C872-4859-9060-1FED659E55CD}">
  <sheetPr>
    <tabColor theme="4" tint="0.79998168889431442"/>
  </sheetPr>
  <dimension ref="A1:CJ47"/>
  <sheetViews>
    <sheetView showGridLines="0" workbookViewId="0">
      <selection activeCell="H56" sqref="H56"/>
    </sheetView>
  </sheetViews>
  <sheetFormatPr defaultColWidth="0" defaultRowHeight="13.2" outlineLevelRow="1" x14ac:dyDescent="0.25"/>
  <cols>
    <col min="1" max="1" width="9.109375" style="405" customWidth="1"/>
    <col min="2" max="2" width="9.109375" style="2" customWidth="1"/>
    <col min="3" max="3" width="38.44140625" style="2" customWidth="1"/>
    <col min="4" max="5" width="9.33203125" style="2" customWidth="1" collapsed="1"/>
    <col min="6" max="6" width="9.33203125" style="12" customWidth="1"/>
    <col min="7" max="67" width="9.33203125" style="2" customWidth="1"/>
    <col min="68" max="88" width="0" style="2" hidden="1" customWidth="1"/>
    <col min="89" max="16384" width="9.109375" style="2" hidden="1"/>
  </cols>
  <sheetData>
    <row r="1" spans="1:67" x14ac:dyDescent="0.25">
      <c r="A1" s="1">
        <f>SUM(A2:A200)</f>
        <v>0</v>
      </c>
    </row>
    <row r="3" spans="1:67" ht="14.1" customHeight="1" x14ac:dyDescent="0.25">
      <c r="C3" s="406" t="str">
        <f>"Analyse verkopen - "&amp;Historiek!A2</f>
        <v>Analyse verkopen - Dossier</v>
      </c>
      <c r="D3" s="407"/>
      <c r="E3" s="407"/>
      <c r="F3" s="13"/>
      <c r="G3" s="407"/>
      <c r="H3" s="407"/>
      <c r="I3" s="407"/>
      <c r="J3" s="3"/>
    </row>
    <row r="4" spans="1:67" ht="14.1" customHeight="1" x14ac:dyDescent="0.25">
      <c r="C4" s="738" t="str">
        <f>'BP - Monthly'!C4</f>
        <v>k€</v>
      </c>
      <c r="D4" s="741" t="str">
        <f>'BP - Monthly'!D4</f>
        <v>FY21</v>
      </c>
      <c r="E4" s="741" t="str">
        <f>'BP - Monthly'!E4</f>
        <v>FY22</v>
      </c>
      <c r="F4" s="743" t="str">
        <f>'BP - Monthly'!F4</f>
        <v>FY23</v>
      </c>
      <c r="G4" s="741" t="str">
        <f>'BP - Monthly'!G4</f>
        <v>Jan'24</v>
      </c>
      <c r="H4" s="741" t="str">
        <f>'BP - Monthly'!H4</f>
        <v>Feb'24</v>
      </c>
      <c r="I4" s="741" t="str">
        <f>'BP - Monthly'!I4</f>
        <v>Mrt'24</v>
      </c>
      <c r="J4" s="741" t="str">
        <f>'BP - Monthly'!J4</f>
        <v>Apr'24</v>
      </c>
      <c r="K4" s="741" t="str">
        <f>'BP - Monthly'!K4</f>
        <v>Mei'24</v>
      </c>
      <c r="L4" s="741" t="str">
        <f>'BP - Monthly'!L4</f>
        <v>Jun'24</v>
      </c>
      <c r="M4" s="741" t="str">
        <f>'BP - Monthly'!M4</f>
        <v>Jul'24</v>
      </c>
      <c r="N4" s="741" t="str">
        <f>'BP - Monthly'!N4</f>
        <v>Aug'24</v>
      </c>
      <c r="O4" s="741" t="str">
        <f>'BP - Monthly'!O4</f>
        <v>Sep'24</v>
      </c>
      <c r="P4" s="741" t="str">
        <f>'BP - Monthly'!P4</f>
        <v>Okt'24</v>
      </c>
      <c r="Q4" s="741" t="str">
        <f>'BP - Monthly'!Q4</f>
        <v>Nov'24</v>
      </c>
      <c r="R4" s="741" t="str">
        <f>'BP - Monthly'!R4</f>
        <v>Dec'24</v>
      </c>
      <c r="S4" s="741" t="str">
        <f>'BP - Monthly'!S4</f>
        <v>Jan'25</v>
      </c>
      <c r="T4" s="741" t="str">
        <f>'BP - Monthly'!T4</f>
        <v>Feb'25</v>
      </c>
      <c r="U4" s="741" t="str">
        <f>'BP - Monthly'!U4</f>
        <v>Mrt'25</v>
      </c>
      <c r="V4" s="741" t="str">
        <f>'BP - Monthly'!V4</f>
        <v>Apr'25</v>
      </c>
      <c r="W4" s="741" t="str">
        <f>'BP - Monthly'!W4</f>
        <v>Mei'25</v>
      </c>
      <c r="X4" s="741" t="str">
        <f>'BP - Monthly'!X4</f>
        <v>Jun'25</v>
      </c>
      <c r="Y4" s="741" t="str">
        <f>'BP - Monthly'!Y4</f>
        <v>Jul'25</v>
      </c>
      <c r="Z4" s="741" t="str">
        <f>'BP - Monthly'!Z4</f>
        <v>Aug'25</v>
      </c>
      <c r="AA4" s="741" t="str">
        <f>'BP - Monthly'!AA4</f>
        <v>Sep'25</v>
      </c>
      <c r="AB4" s="741" t="str">
        <f>'BP - Monthly'!AB4</f>
        <v>Okt'25</v>
      </c>
      <c r="AC4" s="741" t="str">
        <f>'BP - Monthly'!AC4</f>
        <v>Nov'25</v>
      </c>
      <c r="AD4" s="741" t="str">
        <f>'BP - Monthly'!AD4</f>
        <v>Dec'25</v>
      </c>
      <c r="AE4" s="741" t="str">
        <f>'BP - Monthly'!AE4</f>
        <v>Jan'26</v>
      </c>
      <c r="AF4" s="741" t="str">
        <f>'BP - Monthly'!AF4</f>
        <v>Feb'26</v>
      </c>
      <c r="AG4" s="741" t="str">
        <f>'BP - Monthly'!AG4</f>
        <v>Mrt'26</v>
      </c>
      <c r="AH4" s="741" t="str">
        <f>'BP - Monthly'!AH4</f>
        <v>Apr'26</v>
      </c>
      <c r="AI4" s="741" t="str">
        <f>'BP - Monthly'!AI4</f>
        <v>Mei'26</v>
      </c>
      <c r="AJ4" s="741" t="str">
        <f>'BP - Monthly'!AJ4</f>
        <v>Jun'26</v>
      </c>
      <c r="AK4" s="741" t="str">
        <f>'BP - Monthly'!AK4</f>
        <v>Jul'26</v>
      </c>
      <c r="AL4" s="741" t="str">
        <f>'BP - Monthly'!AL4</f>
        <v>Aug'26</v>
      </c>
      <c r="AM4" s="741" t="str">
        <f>'BP - Monthly'!AM4</f>
        <v>Sep'26</v>
      </c>
      <c r="AN4" s="741" t="str">
        <f>'BP - Monthly'!AN4</f>
        <v>Okt'26</v>
      </c>
      <c r="AO4" s="741" t="str">
        <f>'BP - Monthly'!AO4</f>
        <v>Nov'26</v>
      </c>
      <c r="AP4" s="741" t="str">
        <f>'BP - Monthly'!AP4</f>
        <v>Dec'26</v>
      </c>
      <c r="AQ4" s="741" t="str">
        <f>'BP - Monthly'!AQ4</f>
        <v>Jan'27</v>
      </c>
      <c r="AR4" s="741" t="str">
        <f>'BP - Monthly'!AR4</f>
        <v>Feb'27</v>
      </c>
      <c r="AS4" s="741" t="str">
        <f>'BP - Monthly'!AS4</f>
        <v>Mrt'27</v>
      </c>
      <c r="AT4" s="741" t="str">
        <f>'BP - Monthly'!AT4</f>
        <v>Apr'27</v>
      </c>
      <c r="AU4" s="741" t="str">
        <f>'BP - Monthly'!AU4</f>
        <v>Mei'27</v>
      </c>
      <c r="AV4" s="741" t="str">
        <f>'BP - Monthly'!AV4</f>
        <v>Jun'27</v>
      </c>
      <c r="AW4" s="741" t="str">
        <f>'BP - Monthly'!AW4</f>
        <v>Jul'27</v>
      </c>
      <c r="AX4" s="741" t="str">
        <f>'BP - Monthly'!AX4</f>
        <v>Aug'27</v>
      </c>
      <c r="AY4" s="741" t="str">
        <f>'BP - Monthly'!AY4</f>
        <v>Sep'27</v>
      </c>
      <c r="AZ4" s="741" t="str">
        <f>'BP - Monthly'!AZ4</f>
        <v>Okt'27</v>
      </c>
      <c r="BA4" s="741" t="str">
        <f>'BP - Monthly'!BA4</f>
        <v>Nov'27</v>
      </c>
      <c r="BB4" s="741" t="str">
        <f>'BP - Monthly'!BB4</f>
        <v>Dec'27</v>
      </c>
      <c r="BC4" s="741" t="str">
        <f>'BP - Monthly'!BC4</f>
        <v>Jan'28</v>
      </c>
      <c r="BD4" s="741" t="str">
        <f>'BP - Monthly'!BD4</f>
        <v>Feb'28</v>
      </c>
      <c r="BE4" s="741" t="str">
        <f>'BP - Monthly'!BE4</f>
        <v>Mrt'28</v>
      </c>
      <c r="BF4" s="741" t="str">
        <f>'BP - Monthly'!BF4</f>
        <v>Apr'28</v>
      </c>
      <c r="BG4" s="741" t="str">
        <f>'BP - Monthly'!BG4</f>
        <v>Mei'28</v>
      </c>
      <c r="BH4" s="741" t="str">
        <f>'BP - Monthly'!BH4</f>
        <v>Jun'28</v>
      </c>
      <c r="BI4" s="741" t="str">
        <f>'BP - Monthly'!BI4</f>
        <v>Jul'28</v>
      </c>
      <c r="BJ4" s="741" t="str">
        <f>'BP - Monthly'!BJ4</f>
        <v>Aug'28</v>
      </c>
      <c r="BK4" s="741" t="str">
        <f>'BP - Monthly'!BK4</f>
        <v>Sep'28</v>
      </c>
      <c r="BL4" s="741" t="str">
        <f>'BP - Monthly'!BL4</f>
        <v>Okt'28</v>
      </c>
      <c r="BM4" s="741" t="str">
        <f>'BP - Monthly'!BM4</f>
        <v>Nov'28</v>
      </c>
      <c r="BN4" s="741" t="str">
        <f>'BP - Monthly'!BN4</f>
        <v>Dec'28</v>
      </c>
    </row>
    <row r="5" spans="1:67" ht="14.1" customHeight="1" x14ac:dyDescent="0.25">
      <c r="C5" s="414" t="s">
        <v>835</v>
      </c>
      <c r="D5" s="425"/>
      <c r="E5" s="425"/>
      <c r="F5" s="426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</row>
    <row r="6" spans="1:67" ht="14.1" customHeight="1" x14ac:dyDescent="0.25">
      <c r="C6" s="414" t="s">
        <v>836</v>
      </c>
      <c r="D6" s="425"/>
      <c r="E6" s="425"/>
      <c r="F6" s="426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</row>
    <row r="7" spans="1:67" ht="14.1" customHeight="1" x14ac:dyDescent="0.25">
      <c r="C7" s="417" t="s">
        <v>831</v>
      </c>
      <c r="D7" s="425"/>
      <c r="E7" s="425"/>
      <c r="F7" s="426"/>
      <c r="G7" s="420">
        <f>G5*G6</f>
        <v>0</v>
      </c>
      <c r="H7" s="420">
        <f t="shared" ref="H7:BN7" si="0">H5*H6</f>
        <v>0</v>
      </c>
      <c r="I7" s="420">
        <f t="shared" si="0"/>
        <v>0</v>
      </c>
      <c r="J7" s="420">
        <f t="shared" si="0"/>
        <v>0</v>
      </c>
      <c r="K7" s="420">
        <f t="shared" si="0"/>
        <v>0</v>
      </c>
      <c r="L7" s="420">
        <f t="shared" si="0"/>
        <v>0</v>
      </c>
      <c r="M7" s="420">
        <f t="shared" si="0"/>
        <v>0</v>
      </c>
      <c r="N7" s="420">
        <f t="shared" si="0"/>
        <v>0</v>
      </c>
      <c r="O7" s="420">
        <f t="shared" si="0"/>
        <v>0</v>
      </c>
      <c r="P7" s="420">
        <f t="shared" si="0"/>
        <v>0</v>
      </c>
      <c r="Q7" s="420">
        <f t="shared" si="0"/>
        <v>0</v>
      </c>
      <c r="R7" s="420">
        <f t="shared" si="0"/>
        <v>0</v>
      </c>
      <c r="S7" s="420">
        <f t="shared" si="0"/>
        <v>0</v>
      </c>
      <c r="T7" s="420">
        <f t="shared" si="0"/>
        <v>0</v>
      </c>
      <c r="U7" s="420">
        <f t="shared" si="0"/>
        <v>0</v>
      </c>
      <c r="V7" s="420">
        <f t="shared" si="0"/>
        <v>0</v>
      </c>
      <c r="W7" s="420">
        <f t="shared" si="0"/>
        <v>0</v>
      </c>
      <c r="X7" s="420">
        <f t="shared" si="0"/>
        <v>0</v>
      </c>
      <c r="Y7" s="420">
        <f t="shared" si="0"/>
        <v>0</v>
      </c>
      <c r="Z7" s="420">
        <f t="shared" si="0"/>
        <v>0</v>
      </c>
      <c r="AA7" s="420">
        <f t="shared" si="0"/>
        <v>0</v>
      </c>
      <c r="AB7" s="420">
        <f t="shared" si="0"/>
        <v>0</v>
      </c>
      <c r="AC7" s="420">
        <f t="shared" si="0"/>
        <v>0</v>
      </c>
      <c r="AD7" s="420">
        <f t="shared" si="0"/>
        <v>0</v>
      </c>
      <c r="AE7" s="420">
        <f t="shared" si="0"/>
        <v>0</v>
      </c>
      <c r="AF7" s="420">
        <f t="shared" si="0"/>
        <v>0</v>
      </c>
      <c r="AG7" s="420">
        <f t="shared" si="0"/>
        <v>0</v>
      </c>
      <c r="AH7" s="420">
        <f t="shared" si="0"/>
        <v>0</v>
      </c>
      <c r="AI7" s="420">
        <f t="shared" si="0"/>
        <v>0</v>
      </c>
      <c r="AJ7" s="420">
        <f t="shared" si="0"/>
        <v>0</v>
      </c>
      <c r="AK7" s="420">
        <f t="shared" si="0"/>
        <v>0</v>
      </c>
      <c r="AL7" s="420">
        <f t="shared" si="0"/>
        <v>0</v>
      </c>
      <c r="AM7" s="420">
        <f t="shared" si="0"/>
        <v>0</v>
      </c>
      <c r="AN7" s="420">
        <f t="shared" si="0"/>
        <v>0</v>
      </c>
      <c r="AO7" s="420">
        <f t="shared" si="0"/>
        <v>0</v>
      </c>
      <c r="AP7" s="420">
        <f t="shared" si="0"/>
        <v>0</v>
      </c>
      <c r="AQ7" s="420">
        <f t="shared" si="0"/>
        <v>0</v>
      </c>
      <c r="AR7" s="420">
        <f t="shared" si="0"/>
        <v>0</v>
      </c>
      <c r="AS7" s="420">
        <f t="shared" si="0"/>
        <v>0</v>
      </c>
      <c r="AT7" s="420">
        <f t="shared" si="0"/>
        <v>0</v>
      </c>
      <c r="AU7" s="420">
        <f t="shared" si="0"/>
        <v>0</v>
      </c>
      <c r="AV7" s="420">
        <f t="shared" si="0"/>
        <v>0</v>
      </c>
      <c r="AW7" s="420">
        <f t="shared" si="0"/>
        <v>0</v>
      </c>
      <c r="AX7" s="420">
        <f t="shared" si="0"/>
        <v>0</v>
      </c>
      <c r="AY7" s="420">
        <f t="shared" si="0"/>
        <v>0</v>
      </c>
      <c r="AZ7" s="420">
        <f t="shared" si="0"/>
        <v>0</v>
      </c>
      <c r="BA7" s="420">
        <f t="shared" si="0"/>
        <v>0</v>
      </c>
      <c r="BB7" s="420">
        <f t="shared" si="0"/>
        <v>0</v>
      </c>
      <c r="BC7" s="420">
        <f t="shared" si="0"/>
        <v>0</v>
      </c>
      <c r="BD7" s="420">
        <f t="shared" si="0"/>
        <v>0</v>
      </c>
      <c r="BE7" s="420">
        <f t="shared" si="0"/>
        <v>0</v>
      </c>
      <c r="BF7" s="420">
        <f t="shared" si="0"/>
        <v>0</v>
      </c>
      <c r="BG7" s="420">
        <f t="shared" si="0"/>
        <v>0</v>
      </c>
      <c r="BH7" s="420">
        <f t="shared" si="0"/>
        <v>0</v>
      </c>
      <c r="BI7" s="420">
        <f t="shared" si="0"/>
        <v>0</v>
      </c>
      <c r="BJ7" s="420">
        <f t="shared" si="0"/>
        <v>0</v>
      </c>
      <c r="BK7" s="420">
        <f t="shared" si="0"/>
        <v>0</v>
      </c>
      <c r="BL7" s="420">
        <f t="shared" si="0"/>
        <v>0</v>
      </c>
      <c r="BM7" s="420">
        <f t="shared" si="0"/>
        <v>0</v>
      </c>
      <c r="BN7" s="420">
        <f t="shared" si="0"/>
        <v>0</v>
      </c>
    </row>
    <row r="8" spans="1:67" ht="14.1" customHeight="1" x14ac:dyDescent="0.25">
      <c r="C8" s="414" t="s">
        <v>837</v>
      </c>
      <c r="D8" s="425"/>
      <c r="E8" s="425"/>
      <c r="F8" s="426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</row>
    <row r="9" spans="1:67" ht="14.1" customHeight="1" x14ac:dyDescent="0.25">
      <c r="C9" s="414" t="s">
        <v>838</v>
      </c>
      <c r="D9" s="425"/>
      <c r="E9" s="425"/>
      <c r="F9" s="426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</row>
    <row r="10" spans="1:67" ht="14.1" customHeight="1" x14ac:dyDescent="0.25">
      <c r="C10" s="414" t="s">
        <v>840</v>
      </c>
      <c r="D10" s="425"/>
      <c r="E10" s="425"/>
      <c r="F10" s="426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</row>
    <row r="11" spans="1:67" ht="14.1" customHeight="1" x14ac:dyDescent="0.25">
      <c r="C11" s="414" t="s">
        <v>839</v>
      </c>
      <c r="D11" s="425"/>
      <c r="E11" s="425"/>
      <c r="F11" s="426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</row>
    <row r="12" spans="1:67" ht="14.1" customHeight="1" x14ac:dyDescent="0.25">
      <c r="C12" s="414" t="s">
        <v>841</v>
      </c>
      <c r="D12" s="425"/>
      <c r="E12" s="425"/>
      <c r="F12" s="426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</row>
    <row r="13" spans="1:67" ht="14.1" customHeight="1" x14ac:dyDescent="0.25">
      <c r="C13" s="414" t="s">
        <v>843</v>
      </c>
      <c r="D13" s="425"/>
      <c r="E13" s="425"/>
      <c r="F13" s="426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</row>
    <row r="14" spans="1:67" ht="14.1" customHeight="1" x14ac:dyDescent="0.25">
      <c r="C14" s="414" t="s">
        <v>844</v>
      </c>
      <c r="D14" s="425"/>
      <c r="E14" s="425"/>
      <c r="F14" s="426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</row>
    <row r="15" spans="1:67" ht="14.1" customHeight="1" x14ac:dyDescent="0.25">
      <c r="C15" s="417" t="s">
        <v>842</v>
      </c>
      <c r="D15" s="425"/>
      <c r="E15" s="425"/>
      <c r="F15" s="426"/>
      <c r="G15" s="420">
        <f t="shared" ref="G15" si="1">SUM(G8:G14)</f>
        <v>0</v>
      </c>
      <c r="H15" s="420">
        <f t="shared" ref="H15" si="2">SUM(H8:H14)</f>
        <v>0</v>
      </c>
      <c r="I15" s="420">
        <f t="shared" ref="I15" si="3">SUM(I8:I14)</f>
        <v>0</v>
      </c>
      <c r="J15" s="420">
        <f t="shared" ref="J15" si="4">SUM(J8:J14)</f>
        <v>0</v>
      </c>
      <c r="K15" s="420">
        <f t="shared" ref="K15" si="5">SUM(K8:K14)</f>
        <v>0</v>
      </c>
      <c r="L15" s="420">
        <f t="shared" ref="L15" si="6">SUM(L8:L14)</f>
        <v>0</v>
      </c>
      <c r="M15" s="420">
        <f t="shared" ref="M15" si="7">SUM(M8:M14)</f>
        <v>0</v>
      </c>
      <c r="N15" s="420">
        <f t="shared" ref="N15" si="8">SUM(N8:N14)</f>
        <v>0</v>
      </c>
      <c r="O15" s="420">
        <f t="shared" ref="O15" si="9">SUM(O8:O14)</f>
        <v>0</v>
      </c>
      <c r="P15" s="420">
        <f t="shared" ref="P15" si="10">SUM(P8:P14)</f>
        <v>0</v>
      </c>
      <c r="Q15" s="420">
        <f t="shared" ref="Q15" si="11">SUM(Q8:Q14)</f>
        <v>0</v>
      </c>
      <c r="R15" s="420">
        <f t="shared" ref="R15" si="12">SUM(R8:R14)</f>
        <v>0</v>
      </c>
      <c r="S15" s="420">
        <f t="shared" ref="S15" si="13">SUM(S8:S14)</f>
        <v>0</v>
      </c>
      <c r="T15" s="420">
        <f t="shared" ref="T15" si="14">SUM(T8:T14)</f>
        <v>0</v>
      </c>
      <c r="U15" s="420">
        <f t="shared" ref="U15" si="15">SUM(U8:U14)</f>
        <v>0</v>
      </c>
      <c r="V15" s="420">
        <f t="shared" ref="V15" si="16">SUM(V8:V14)</f>
        <v>0</v>
      </c>
      <c r="W15" s="420">
        <f t="shared" ref="W15" si="17">SUM(W8:W14)</f>
        <v>0</v>
      </c>
      <c r="X15" s="420">
        <f t="shared" ref="X15" si="18">SUM(X8:X14)</f>
        <v>0</v>
      </c>
      <c r="Y15" s="420">
        <f t="shared" ref="Y15" si="19">SUM(Y8:Y14)</f>
        <v>0</v>
      </c>
      <c r="Z15" s="420">
        <f t="shared" ref="Z15" si="20">SUM(Z8:Z14)</f>
        <v>0</v>
      </c>
      <c r="AA15" s="420">
        <f t="shared" ref="AA15" si="21">SUM(AA8:AA14)</f>
        <v>0</v>
      </c>
      <c r="AB15" s="420">
        <f t="shared" ref="AB15" si="22">SUM(AB8:AB14)</f>
        <v>0</v>
      </c>
      <c r="AC15" s="420">
        <f t="shared" ref="AC15" si="23">SUM(AC8:AC14)</f>
        <v>0</v>
      </c>
      <c r="AD15" s="420">
        <f t="shared" ref="AD15" si="24">SUM(AD8:AD14)</f>
        <v>0</v>
      </c>
      <c r="AE15" s="420">
        <f t="shared" ref="AE15" si="25">SUM(AE8:AE14)</f>
        <v>0</v>
      </c>
      <c r="AF15" s="420">
        <f t="shared" ref="AF15" si="26">SUM(AF8:AF14)</f>
        <v>0</v>
      </c>
      <c r="AG15" s="420">
        <f t="shared" ref="AG15" si="27">SUM(AG8:AG14)</f>
        <v>0</v>
      </c>
      <c r="AH15" s="420">
        <f t="shared" ref="AH15" si="28">SUM(AH8:AH14)</f>
        <v>0</v>
      </c>
      <c r="AI15" s="420">
        <f t="shared" ref="AI15" si="29">SUM(AI8:AI14)</f>
        <v>0</v>
      </c>
      <c r="AJ15" s="420">
        <f t="shared" ref="AJ15" si="30">SUM(AJ8:AJ14)</f>
        <v>0</v>
      </c>
      <c r="AK15" s="420">
        <f t="shared" ref="AK15" si="31">SUM(AK8:AK14)</f>
        <v>0</v>
      </c>
      <c r="AL15" s="420">
        <f t="shared" ref="AL15" si="32">SUM(AL8:AL14)</f>
        <v>0</v>
      </c>
      <c r="AM15" s="420">
        <f t="shared" ref="AM15" si="33">SUM(AM8:AM14)</f>
        <v>0</v>
      </c>
      <c r="AN15" s="420">
        <f t="shared" ref="AN15" si="34">SUM(AN8:AN14)</f>
        <v>0</v>
      </c>
      <c r="AO15" s="420">
        <f t="shared" ref="AO15" si="35">SUM(AO8:AO14)</f>
        <v>0</v>
      </c>
      <c r="AP15" s="420">
        <f t="shared" ref="AP15" si="36">SUM(AP8:AP14)</f>
        <v>0</v>
      </c>
      <c r="AQ15" s="420">
        <f t="shared" ref="AQ15" si="37">SUM(AQ8:AQ14)</f>
        <v>0</v>
      </c>
      <c r="AR15" s="420">
        <f t="shared" ref="AR15" si="38">SUM(AR8:AR14)</f>
        <v>0</v>
      </c>
      <c r="AS15" s="420">
        <f t="shared" ref="AS15" si="39">SUM(AS8:AS14)</f>
        <v>0</v>
      </c>
      <c r="AT15" s="420">
        <f t="shared" ref="AT15" si="40">SUM(AT8:AT14)</f>
        <v>0</v>
      </c>
      <c r="AU15" s="420">
        <f t="shared" ref="AU15" si="41">SUM(AU8:AU14)</f>
        <v>0</v>
      </c>
      <c r="AV15" s="420">
        <f t="shared" ref="AV15" si="42">SUM(AV8:AV14)</f>
        <v>0</v>
      </c>
      <c r="AW15" s="420">
        <f t="shared" ref="AW15" si="43">SUM(AW8:AW14)</f>
        <v>0</v>
      </c>
      <c r="AX15" s="420">
        <f t="shared" ref="AX15" si="44">SUM(AX8:AX14)</f>
        <v>0</v>
      </c>
      <c r="AY15" s="420">
        <f t="shared" ref="AY15" si="45">SUM(AY8:AY14)</f>
        <v>0</v>
      </c>
      <c r="AZ15" s="420">
        <f t="shared" ref="AZ15" si="46">SUM(AZ8:AZ14)</f>
        <v>0</v>
      </c>
      <c r="BA15" s="420">
        <f t="shared" ref="BA15" si="47">SUM(BA8:BA14)</f>
        <v>0</v>
      </c>
      <c r="BB15" s="420">
        <f t="shared" ref="BB15" si="48">SUM(BB8:BB14)</f>
        <v>0</v>
      </c>
      <c r="BC15" s="420">
        <f t="shared" ref="BC15" si="49">SUM(BC8:BC14)</f>
        <v>0</v>
      </c>
      <c r="BD15" s="420">
        <f t="shared" ref="BD15" si="50">SUM(BD8:BD14)</f>
        <v>0</v>
      </c>
      <c r="BE15" s="420">
        <f t="shared" ref="BE15" si="51">SUM(BE8:BE14)</f>
        <v>0</v>
      </c>
      <c r="BF15" s="420">
        <f t="shared" ref="BF15" si="52">SUM(BF8:BF14)</f>
        <v>0</v>
      </c>
      <c r="BG15" s="420">
        <f t="shared" ref="BG15" si="53">SUM(BG8:BG14)</f>
        <v>0</v>
      </c>
      <c r="BH15" s="420">
        <f t="shared" ref="BH15" si="54">SUM(BH8:BH14)</f>
        <v>0</v>
      </c>
      <c r="BI15" s="420">
        <f t="shared" ref="BI15" si="55">SUM(BI8:BI14)</f>
        <v>0</v>
      </c>
      <c r="BJ15" s="420">
        <f t="shared" ref="BJ15" si="56">SUM(BJ8:BJ14)</f>
        <v>0</v>
      </c>
      <c r="BK15" s="420">
        <f t="shared" ref="BK15" si="57">SUM(BK8:BK14)</f>
        <v>0</v>
      </c>
      <c r="BL15" s="420">
        <f t="shared" ref="BL15" si="58">SUM(BL8:BL14)</f>
        <v>0</v>
      </c>
      <c r="BM15" s="420">
        <f t="shared" ref="BM15" si="59">SUM(BM8:BM14)</f>
        <v>0</v>
      </c>
      <c r="BN15" s="420">
        <f t="shared" ref="BN15" si="60">SUM(BN8:BN14)</f>
        <v>0</v>
      </c>
    </row>
    <row r="16" spans="1:67" ht="14.1" customHeight="1" x14ac:dyDescent="0.25">
      <c r="C16" s="417"/>
      <c r="D16" s="5"/>
      <c r="E16" s="5"/>
      <c r="F16" s="21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</row>
    <row r="17" spans="1:66" ht="14.1" customHeight="1" outlineLevel="1" x14ac:dyDescent="0.25">
      <c r="A17" s="431">
        <f>SUM(G17:BN17)</f>
        <v>0</v>
      </c>
      <c r="B17" s="430" t="s">
        <v>5</v>
      </c>
      <c r="C17" s="417"/>
      <c r="D17" s="5"/>
      <c r="E17" s="5"/>
      <c r="F17" s="21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</row>
    <row r="18" spans="1:66" ht="14.1" customHeight="1" x14ac:dyDescent="0.25">
      <c r="C18" s="417"/>
      <c r="D18" s="5"/>
      <c r="E18" s="5"/>
      <c r="F18" s="21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</row>
    <row r="19" spans="1:66" ht="14.1" customHeight="1" x14ac:dyDescent="0.25">
      <c r="C19" s="406" t="str">
        <f>"Aantal eenheden - maandelijks - "&amp;Historiek!A2</f>
        <v>Aantal eenheden - maandelijks - Dossier</v>
      </c>
      <c r="D19" s="407"/>
      <c r="E19" s="407"/>
      <c r="F19" s="13"/>
      <c r="G19" s="407"/>
      <c r="H19" s="407"/>
      <c r="I19" s="407"/>
      <c r="J19" s="3"/>
    </row>
    <row r="20" spans="1:66" ht="14.1" customHeight="1" x14ac:dyDescent="0.25">
      <c r="C20" s="738" t="str">
        <f>'BP - Monthly'!C4</f>
        <v>k€</v>
      </c>
      <c r="D20" s="741" t="str">
        <f>'BP - Monthly'!D4</f>
        <v>FY21</v>
      </c>
      <c r="E20" s="741" t="str">
        <f>'BP - Monthly'!E4</f>
        <v>FY22</v>
      </c>
      <c r="F20" s="743" t="str">
        <f>'BP - Monthly'!F4</f>
        <v>FY23</v>
      </c>
      <c r="G20" s="741" t="str">
        <f>'BP - Monthly'!G4</f>
        <v>Jan'24</v>
      </c>
      <c r="H20" s="741" t="str">
        <f>'BP - Monthly'!H4</f>
        <v>Feb'24</v>
      </c>
      <c r="I20" s="741" t="str">
        <f>'BP - Monthly'!I4</f>
        <v>Mrt'24</v>
      </c>
      <c r="J20" s="741" t="str">
        <f>'BP - Monthly'!J4</f>
        <v>Apr'24</v>
      </c>
      <c r="K20" s="741" t="str">
        <f>'BP - Monthly'!K4</f>
        <v>Mei'24</v>
      </c>
      <c r="L20" s="741" t="str">
        <f>'BP - Monthly'!L4</f>
        <v>Jun'24</v>
      </c>
      <c r="M20" s="741" t="str">
        <f>'BP - Monthly'!M4</f>
        <v>Jul'24</v>
      </c>
      <c r="N20" s="741" t="str">
        <f>'BP - Monthly'!N4</f>
        <v>Aug'24</v>
      </c>
      <c r="O20" s="741" t="str">
        <f>'BP - Monthly'!O4</f>
        <v>Sep'24</v>
      </c>
      <c r="P20" s="741" t="str">
        <f>'BP - Monthly'!P4</f>
        <v>Okt'24</v>
      </c>
      <c r="Q20" s="741" t="str">
        <f>'BP - Monthly'!Q4</f>
        <v>Nov'24</v>
      </c>
      <c r="R20" s="741" t="str">
        <f>'BP - Monthly'!R4</f>
        <v>Dec'24</v>
      </c>
      <c r="S20" s="741" t="str">
        <f>'BP - Monthly'!S4</f>
        <v>Jan'25</v>
      </c>
      <c r="T20" s="741" t="str">
        <f>'BP - Monthly'!T4</f>
        <v>Feb'25</v>
      </c>
      <c r="U20" s="741" t="str">
        <f>'BP - Monthly'!U4</f>
        <v>Mrt'25</v>
      </c>
      <c r="V20" s="741" t="str">
        <f>'BP - Monthly'!V4</f>
        <v>Apr'25</v>
      </c>
      <c r="W20" s="741" t="str">
        <f>'BP - Monthly'!W4</f>
        <v>Mei'25</v>
      </c>
      <c r="X20" s="741" t="str">
        <f>'BP - Monthly'!X4</f>
        <v>Jun'25</v>
      </c>
      <c r="Y20" s="741" t="str">
        <f>'BP - Monthly'!Y4</f>
        <v>Jul'25</v>
      </c>
      <c r="Z20" s="741" t="str">
        <f>'BP - Monthly'!Z4</f>
        <v>Aug'25</v>
      </c>
      <c r="AA20" s="741" t="str">
        <f>'BP - Monthly'!AA4</f>
        <v>Sep'25</v>
      </c>
      <c r="AB20" s="741" t="str">
        <f>'BP - Monthly'!AB4</f>
        <v>Okt'25</v>
      </c>
      <c r="AC20" s="741" t="str">
        <f>'BP - Monthly'!AC4</f>
        <v>Nov'25</v>
      </c>
      <c r="AD20" s="741" t="str">
        <f>'BP - Monthly'!AD4</f>
        <v>Dec'25</v>
      </c>
      <c r="AE20" s="741" t="str">
        <f>'BP - Monthly'!AE4</f>
        <v>Jan'26</v>
      </c>
      <c r="AF20" s="741" t="str">
        <f>'BP - Monthly'!AF4</f>
        <v>Feb'26</v>
      </c>
      <c r="AG20" s="741" t="str">
        <f>'BP - Monthly'!AG4</f>
        <v>Mrt'26</v>
      </c>
      <c r="AH20" s="741" t="str">
        <f>'BP - Monthly'!AH4</f>
        <v>Apr'26</v>
      </c>
      <c r="AI20" s="741" t="str">
        <f>'BP - Monthly'!AI4</f>
        <v>Mei'26</v>
      </c>
      <c r="AJ20" s="741" t="str">
        <f>'BP - Monthly'!AJ4</f>
        <v>Jun'26</v>
      </c>
      <c r="AK20" s="741" t="str">
        <f>'BP - Monthly'!AK4</f>
        <v>Jul'26</v>
      </c>
      <c r="AL20" s="741" t="str">
        <f>'BP - Monthly'!AL4</f>
        <v>Aug'26</v>
      </c>
      <c r="AM20" s="741" t="str">
        <f>'BP - Monthly'!AM4</f>
        <v>Sep'26</v>
      </c>
      <c r="AN20" s="741" t="str">
        <f>'BP - Monthly'!AN4</f>
        <v>Okt'26</v>
      </c>
      <c r="AO20" s="741" t="str">
        <f>'BP - Monthly'!AO4</f>
        <v>Nov'26</v>
      </c>
      <c r="AP20" s="741" t="str">
        <f>'BP - Monthly'!AP4</f>
        <v>Dec'26</v>
      </c>
      <c r="AQ20" s="741" t="str">
        <f>'BP - Monthly'!AQ4</f>
        <v>Jan'27</v>
      </c>
      <c r="AR20" s="741" t="str">
        <f>'BP - Monthly'!AR4</f>
        <v>Feb'27</v>
      </c>
      <c r="AS20" s="741" t="str">
        <f>'BP - Monthly'!AS4</f>
        <v>Mrt'27</v>
      </c>
      <c r="AT20" s="741" t="str">
        <f>'BP - Monthly'!AT4</f>
        <v>Apr'27</v>
      </c>
      <c r="AU20" s="741" t="str">
        <f>'BP - Monthly'!AU4</f>
        <v>Mei'27</v>
      </c>
      <c r="AV20" s="741" t="str">
        <f>'BP - Monthly'!AV4</f>
        <v>Jun'27</v>
      </c>
      <c r="AW20" s="741" t="str">
        <f>'BP - Monthly'!AW4</f>
        <v>Jul'27</v>
      </c>
      <c r="AX20" s="741" t="str">
        <f>'BP - Monthly'!AX4</f>
        <v>Aug'27</v>
      </c>
      <c r="AY20" s="741" t="str">
        <f>'BP - Monthly'!AY4</f>
        <v>Sep'27</v>
      </c>
      <c r="AZ20" s="741" t="str">
        <f>'BP - Monthly'!AZ4</f>
        <v>Okt'27</v>
      </c>
      <c r="BA20" s="741" t="str">
        <f>'BP - Monthly'!BA4</f>
        <v>Nov'27</v>
      </c>
      <c r="BB20" s="741" t="str">
        <f>'BP - Monthly'!BB4</f>
        <v>Dec'27</v>
      </c>
      <c r="BC20" s="741" t="str">
        <f>'BP - Monthly'!BC4</f>
        <v>Jan'28</v>
      </c>
      <c r="BD20" s="741" t="str">
        <f>'BP - Monthly'!BD4</f>
        <v>Feb'28</v>
      </c>
      <c r="BE20" s="741" t="str">
        <f>'BP - Monthly'!BE4</f>
        <v>Mrt'28</v>
      </c>
      <c r="BF20" s="741" t="str">
        <f>'BP - Monthly'!BF4</f>
        <v>Apr'28</v>
      </c>
      <c r="BG20" s="741" t="str">
        <f>'BP - Monthly'!BG4</f>
        <v>Mei'28</v>
      </c>
      <c r="BH20" s="741" t="str">
        <f>'BP - Monthly'!BH4</f>
        <v>Jun'28</v>
      </c>
      <c r="BI20" s="741" t="str">
        <f>'BP - Monthly'!BI4</f>
        <v>Jul'28</v>
      </c>
      <c r="BJ20" s="741" t="str">
        <f>'BP - Monthly'!BJ4</f>
        <v>Aug'28</v>
      </c>
      <c r="BK20" s="741" t="str">
        <f>'BP - Monthly'!BK4</f>
        <v>Sep'28</v>
      </c>
      <c r="BL20" s="741" t="str">
        <f>'BP - Monthly'!BL4</f>
        <v>Okt'28</v>
      </c>
      <c r="BM20" s="741" t="str">
        <f>'BP - Monthly'!BM4</f>
        <v>Nov'28</v>
      </c>
      <c r="BN20" s="741" t="str">
        <f>'BP - Monthly'!BN4</f>
        <v>Dec'28</v>
      </c>
    </row>
    <row r="21" spans="1:66" ht="14.1" customHeight="1" x14ac:dyDescent="0.25">
      <c r="C21" s="414" t="s">
        <v>835</v>
      </c>
      <c r="D21" s="425"/>
      <c r="E21" s="425"/>
      <c r="F21" s="426"/>
      <c r="G21" s="5">
        <f t="shared" ref="G21:AL21" si="61">G5</f>
        <v>0</v>
      </c>
      <c r="H21" s="5">
        <f t="shared" si="61"/>
        <v>0</v>
      </c>
      <c r="I21" s="5">
        <f t="shared" si="61"/>
        <v>0</v>
      </c>
      <c r="J21" s="5">
        <f t="shared" si="61"/>
        <v>0</v>
      </c>
      <c r="K21" s="5">
        <f t="shared" si="61"/>
        <v>0</v>
      </c>
      <c r="L21" s="5">
        <f t="shared" si="61"/>
        <v>0</v>
      </c>
      <c r="M21" s="5">
        <f t="shared" si="61"/>
        <v>0</v>
      </c>
      <c r="N21" s="5">
        <f t="shared" si="61"/>
        <v>0</v>
      </c>
      <c r="O21" s="5">
        <f t="shared" si="61"/>
        <v>0</v>
      </c>
      <c r="P21" s="5">
        <f t="shared" si="61"/>
        <v>0</v>
      </c>
      <c r="Q21" s="5">
        <f t="shared" si="61"/>
        <v>0</v>
      </c>
      <c r="R21" s="5">
        <f t="shared" si="61"/>
        <v>0</v>
      </c>
      <c r="S21" s="5">
        <f t="shared" si="61"/>
        <v>0</v>
      </c>
      <c r="T21" s="5">
        <f t="shared" si="61"/>
        <v>0</v>
      </c>
      <c r="U21" s="5">
        <f t="shared" si="61"/>
        <v>0</v>
      </c>
      <c r="V21" s="5">
        <f t="shared" si="61"/>
        <v>0</v>
      </c>
      <c r="W21" s="5">
        <f t="shared" si="61"/>
        <v>0</v>
      </c>
      <c r="X21" s="5">
        <f t="shared" si="61"/>
        <v>0</v>
      </c>
      <c r="Y21" s="5">
        <f t="shared" si="61"/>
        <v>0</v>
      </c>
      <c r="Z21" s="5">
        <f t="shared" si="61"/>
        <v>0</v>
      </c>
      <c r="AA21" s="5">
        <f t="shared" si="61"/>
        <v>0</v>
      </c>
      <c r="AB21" s="5">
        <f t="shared" si="61"/>
        <v>0</v>
      </c>
      <c r="AC21" s="5">
        <f t="shared" si="61"/>
        <v>0</v>
      </c>
      <c r="AD21" s="5">
        <f t="shared" si="61"/>
        <v>0</v>
      </c>
      <c r="AE21" s="5">
        <f t="shared" si="61"/>
        <v>0</v>
      </c>
      <c r="AF21" s="5">
        <f t="shared" si="61"/>
        <v>0</v>
      </c>
      <c r="AG21" s="5">
        <f t="shared" si="61"/>
        <v>0</v>
      </c>
      <c r="AH21" s="5">
        <f t="shared" si="61"/>
        <v>0</v>
      </c>
      <c r="AI21" s="5">
        <f t="shared" si="61"/>
        <v>0</v>
      </c>
      <c r="AJ21" s="5">
        <f t="shared" si="61"/>
        <v>0</v>
      </c>
      <c r="AK21" s="5">
        <f t="shared" si="61"/>
        <v>0</v>
      </c>
      <c r="AL21" s="5">
        <f t="shared" si="61"/>
        <v>0</v>
      </c>
      <c r="AM21" s="5">
        <f t="shared" ref="AM21:BN21" si="62">AM5</f>
        <v>0</v>
      </c>
      <c r="AN21" s="5">
        <f t="shared" si="62"/>
        <v>0</v>
      </c>
      <c r="AO21" s="5">
        <f t="shared" si="62"/>
        <v>0</v>
      </c>
      <c r="AP21" s="5">
        <f t="shared" si="62"/>
        <v>0</v>
      </c>
      <c r="AQ21" s="5">
        <f t="shared" si="62"/>
        <v>0</v>
      </c>
      <c r="AR21" s="5">
        <f t="shared" si="62"/>
        <v>0</v>
      </c>
      <c r="AS21" s="5">
        <f t="shared" si="62"/>
        <v>0</v>
      </c>
      <c r="AT21" s="5">
        <f t="shared" si="62"/>
        <v>0</v>
      </c>
      <c r="AU21" s="5">
        <f t="shared" si="62"/>
        <v>0</v>
      </c>
      <c r="AV21" s="5">
        <f t="shared" si="62"/>
        <v>0</v>
      </c>
      <c r="AW21" s="5">
        <f t="shared" si="62"/>
        <v>0</v>
      </c>
      <c r="AX21" s="5">
        <f t="shared" si="62"/>
        <v>0</v>
      </c>
      <c r="AY21" s="5">
        <f t="shared" si="62"/>
        <v>0</v>
      </c>
      <c r="AZ21" s="5">
        <f t="shared" si="62"/>
        <v>0</v>
      </c>
      <c r="BA21" s="5">
        <f t="shared" si="62"/>
        <v>0</v>
      </c>
      <c r="BB21" s="5">
        <f t="shared" si="62"/>
        <v>0</v>
      </c>
      <c r="BC21" s="5">
        <f t="shared" si="62"/>
        <v>0</v>
      </c>
      <c r="BD21" s="5">
        <f t="shared" si="62"/>
        <v>0</v>
      </c>
      <c r="BE21" s="5">
        <f t="shared" si="62"/>
        <v>0</v>
      </c>
      <c r="BF21" s="5">
        <f t="shared" si="62"/>
        <v>0</v>
      </c>
      <c r="BG21" s="5">
        <f t="shared" si="62"/>
        <v>0</v>
      </c>
      <c r="BH21" s="5">
        <f t="shared" si="62"/>
        <v>0</v>
      </c>
      <c r="BI21" s="5">
        <f t="shared" si="62"/>
        <v>0</v>
      </c>
      <c r="BJ21" s="5">
        <f t="shared" si="62"/>
        <v>0</v>
      </c>
      <c r="BK21" s="5">
        <f t="shared" si="62"/>
        <v>0</v>
      </c>
      <c r="BL21" s="5">
        <f t="shared" si="62"/>
        <v>0</v>
      </c>
      <c r="BM21" s="5">
        <f t="shared" si="62"/>
        <v>0</v>
      </c>
      <c r="BN21" s="5">
        <f t="shared" si="62"/>
        <v>0</v>
      </c>
    </row>
    <row r="22" spans="1:66" ht="14.1" customHeight="1" x14ac:dyDescent="0.25">
      <c r="C22" s="417" t="s">
        <v>845</v>
      </c>
      <c r="D22" s="425"/>
      <c r="E22" s="425"/>
      <c r="F22" s="426"/>
      <c r="G22" s="5">
        <f>G21</f>
        <v>0</v>
      </c>
      <c r="H22" s="5">
        <f>G22+H21</f>
        <v>0</v>
      </c>
      <c r="I22" s="5">
        <f t="shared" ref="I22:BN22" si="63">H22+I21</f>
        <v>0</v>
      </c>
      <c r="J22" s="5">
        <f t="shared" si="63"/>
        <v>0</v>
      </c>
      <c r="K22" s="5">
        <f t="shared" si="63"/>
        <v>0</v>
      </c>
      <c r="L22" s="5">
        <f t="shared" si="63"/>
        <v>0</v>
      </c>
      <c r="M22" s="5">
        <f t="shared" si="63"/>
        <v>0</v>
      </c>
      <c r="N22" s="5">
        <f t="shared" si="63"/>
        <v>0</v>
      </c>
      <c r="O22" s="5">
        <f t="shared" si="63"/>
        <v>0</v>
      </c>
      <c r="P22" s="5">
        <f t="shared" si="63"/>
        <v>0</v>
      </c>
      <c r="Q22" s="5">
        <f t="shared" si="63"/>
        <v>0</v>
      </c>
      <c r="R22" s="5">
        <f t="shared" si="63"/>
        <v>0</v>
      </c>
      <c r="S22" s="5">
        <f t="shared" si="63"/>
        <v>0</v>
      </c>
      <c r="T22" s="5">
        <f t="shared" si="63"/>
        <v>0</v>
      </c>
      <c r="U22" s="5">
        <f t="shared" si="63"/>
        <v>0</v>
      </c>
      <c r="V22" s="5">
        <f t="shared" si="63"/>
        <v>0</v>
      </c>
      <c r="W22" s="5">
        <f t="shared" si="63"/>
        <v>0</v>
      </c>
      <c r="X22" s="5">
        <f t="shared" si="63"/>
        <v>0</v>
      </c>
      <c r="Y22" s="5">
        <f t="shared" si="63"/>
        <v>0</v>
      </c>
      <c r="Z22" s="5">
        <f t="shared" si="63"/>
        <v>0</v>
      </c>
      <c r="AA22" s="5">
        <f t="shared" si="63"/>
        <v>0</v>
      </c>
      <c r="AB22" s="5">
        <f t="shared" si="63"/>
        <v>0</v>
      </c>
      <c r="AC22" s="5">
        <f t="shared" si="63"/>
        <v>0</v>
      </c>
      <c r="AD22" s="5">
        <f t="shared" si="63"/>
        <v>0</v>
      </c>
      <c r="AE22" s="5">
        <f t="shared" si="63"/>
        <v>0</v>
      </c>
      <c r="AF22" s="5">
        <f t="shared" si="63"/>
        <v>0</v>
      </c>
      <c r="AG22" s="5">
        <f t="shared" si="63"/>
        <v>0</v>
      </c>
      <c r="AH22" s="5">
        <f t="shared" si="63"/>
        <v>0</v>
      </c>
      <c r="AI22" s="5">
        <f t="shared" si="63"/>
        <v>0</v>
      </c>
      <c r="AJ22" s="5">
        <f t="shared" si="63"/>
        <v>0</v>
      </c>
      <c r="AK22" s="5">
        <f t="shared" si="63"/>
        <v>0</v>
      </c>
      <c r="AL22" s="5">
        <f t="shared" si="63"/>
        <v>0</v>
      </c>
      <c r="AM22" s="5">
        <f t="shared" si="63"/>
        <v>0</v>
      </c>
      <c r="AN22" s="5">
        <f t="shared" si="63"/>
        <v>0</v>
      </c>
      <c r="AO22" s="5">
        <f t="shared" si="63"/>
        <v>0</v>
      </c>
      <c r="AP22" s="5">
        <f t="shared" si="63"/>
        <v>0</v>
      </c>
      <c r="AQ22" s="5">
        <f t="shared" si="63"/>
        <v>0</v>
      </c>
      <c r="AR22" s="5">
        <f t="shared" si="63"/>
        <v>0</v>
      </c>
      <c r="AS22" s="5">
        <f t="shared" si="63"/>
        <v>0</v>
      </c>
      <c r="AT22" s="5">
        <f t="shared" si="63"/>
        <v>0</v>
      </c>
      <c r="AU22" s="5">
        <f t="shared" si="63"/>
        <v>0</v>
      </c>
      <c r="AV22" s="5">
        <f t="shared" si="63"/>
        <v>0</v>
      </c>
      <c r="AW22" s="5">
        <f t="shared" si="63"/>
        <v>0</v>
      </c>
      <c r="AX22" s="5">
        <f t="shared" si="63"/>
        <v>0</v>
      </c>
      <c r="AY22" s="5">
        <f t="shared" si="63"/>
        <v>0</v>
      </c>
      <c r="AZ22" s="5">
        <f t="shared" si="63"/>
        <v>0</v>
      </c>
      <c r="BA22" s="5">
        <f t="shared" si="63"/>
        <v>0</v>
      </c>
      <c r="BB22" s="5">
        <f t="shared" si="63"/>
        <v>0</v>
      </c>
      <c r="BC22" s="5">
        <f t="shared" si="63"/>
        <v>0</v>
      </c>
      <c r="BD22" s="5">
        <f t="shared" si="63"/>
        <v>0</v>
      </c>
      <c r="BE22" s="5">
        <f t="shared" si="63"/>
        <v>0</v>
      </c>
      <c r="BF22" s="5">
        <f t="shared" si="63"/>
        <v>0</v>
      </c>
      <c r="BG22" s="5">
        <f t="shared" si="63"/>
        <v>0</v>
      </c>
      <c r="BH22" s="5">
        <f t="shared" si="63"/>
        <v>0</v>
      </c>
      <c r="BI22" s="5">
        <f t="shared" si="63"/>
        <v>0</v>
      </c>
      <c r="BJ22" s="5">
        <f t="shared" si="63"/>
        <v>0</v>
      </c>
      <c r="BK22" s="5">
        <f t="shared" si="63"/>
        <v>0</v>
      </c>
      <c r="BL22" s="5">
        <f t="shared" si="63"/>
        <v>0</v>
      </c>
      <c r="BM22" s="5">
        <f t="shared" si="63"/>
        <v>0</v>
      </c>
      <c r="BN22" s="5">
        <f t="shared" si="63"/>
        <v>0</v>
      </c>
    </row>
    <row r="23" spans="1:66" ht="14.1" customHeight="1" x14ac:dyDescent="0.25">
      <c r="C23" s="417"/>
      <c r="D23" s="417"/>
      <c r="E23" s="417"/>
      <c r="F23" s="417"/>
      <c r="G23" s="417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</row>
    <row r="24" spans="1:66" ht="14.1" customHeight="1" x14ac:dyDescent="0.25">
      <c r="C24" s="417"/>
      <c r="D24" s="417"/>
      <c r="E24" s="417"/>
      <c r="F24" s="417"/>
      <c r="G24" s="417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</row>
    <row r="25" spans="1:66" ht="14.1" customHeight="1" x14ac:dyDescent="0.25">
      <c r="C25" s="406" t="str">
        <f>"Aantal eenheden - jaarlijks - "&amp;Historiek!A2</f>
        <v>Aantal eenheden - jaarlijks - Dossier</v>
      </c>
      <c r="D25" s="407"/>
      <c r="E25" s="407"/>
      <c r="F25" s="13"/>
      <c r="G25" s="407"/>
      <c r="H25" s="407"/>
      <c r="I25" s="407"/>
      <c r="J25" s="3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</row>
    <row r="26" spans="1:66" ht="14.1" customHeight="1" x14ac:dyDescent="0.25">
      <c r="C26" s="738" t="str">
        <f>'BP - Annual'!C4</f>
        <v>k€</v>
      </c>
      <c r="D26" s="741" t="str">
        <f>'BP - Annual'!D4</f>
        <v>FY21</v>
      </c>
      <c r="E26" s="741" t="str">
        <f>'BP - Annual'!E4</f>
        <v>FY22</v>
      </c>
      <c r="F26" s="743" t="str">
        <f>'BP - Annual'!F4</f>
        <v>FY23</v>
      </c>
      <c r="G26" s="741" t="str">
        <f>'BP - Annual'!G4</f>
        <v>FY24</v>
      </c>
      <c r="H26" s="741" t="str">
        <f>'BP - Annual'!H4</f>
        <v>FY25</v>
      </c>
      <c r="I26" s="741" t="str">
        <f>'BP - Annual'!I4</f>
        <v>FY26</v>
      </c>
      <c r="J26" s="741" t="str">
        <f>'BP - Annual'!J4</f>
        <v>FY27</v>
      </c>
      <c r="K26" s="741" t="str">
        <f>'BP - Annual'!K4</f>
        <v>FY28</v>
      </c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</row>
    <row r="27" spans="1:66" ht="14.1" customHeight="1" x14ac:dyDescent="0.25">
      <c r="C27" s="414" t="s">
        <v>835</v>
      </c>
      <c r="D27" s="425"/>
      <c r="E27" s="425"/>
      <c r="F27" s="426"/>
      <c r="G27" s="5">
        <f>SUM(G21:R21)</f>
        <v>0</v>
      </c>
      <c r="H27" s="5">
        <f>SUM(S21:AD21)</f>
        <v>0</v>
      </c>
      <c r="I27" s="5">
        <f>SUM(AE21:AP21)</f>
        <v>0</v>
      </c>
      <c r="J27" s="5">
        <f>SUM(AQ21:BB21)</f>
        <v>0</v>
      </c>
      <c r="K27" s="5">
        <f>SUM(BC21:BN21)</f>
        <v>0</v>
      </c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</row>
    <row r="28" spans="1:66" ht="14.1" customHeight="1" x14ac:dyDescent="0.25">
      <c r="C28" s="417" t="s">
        <v>845</v>
      </c>
      <c r="D28" s="425"/>
      <c r="E28" s="425"/>
      <c r="F28" s="426"/>
      <c r="G28" s="5">
        <f>G27</f>
        <v>0</v>
      </c>
      <c r="H28" s="5">
        <f>G28+H27</f>
        <v>0</v>
      </c>
      <c r="I28" s="5">
        <f t="shared" ref="I28" si="64">H28+I27</f>
        <v>0</v>
      </c>
      <c r="J28" s="5">
        <f t="shared" ref="J28" si="65">I28+J27</f>
        <v>0</v>
      </c>
      <c r="K28" s="5">
        <f t="shared" ref="K28" si="66">J28+K27</f>
        <v>0</v>
      </c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</row>
    <row r="29" spans="1:66" ht="14.1" customHeight="1" x14ac:dyDescent="0.25"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</row>
    <row r="30" spans="1:66" ht="14.1" customHeight="1" outlineLevel="1" x14ac:dyDescent="0.25">
      <c r="A30" s="431">
        <f>SUM(G30:K30)</f>
        <v>0</v>
      </c>
      <c r="B30" s="430" t="s">
        <v>5</v>
      </c>
      <c r="C30" s="417"/>
      <c r="D30" s="5"/>
      <c r="E30" s="5"/>
      <c r="F30" s="21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</row>
    <row r="31" spans="1:66" ht="14.1" customHeight="1" x14ac:dyDescent="0.25">
      <c r="C31" s="417"/>
      <c r="D31" s="5"/>
      <c r="E31" s="5"/>
      <c r="F31" s="21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</row>
    <row r="32" spans="1:66" ht="14.1" customHeight="1" x14ac:dyDescent="0.25">
      <c r="C32" s="417"/>
      <c r="D32" s="5"/>
      <c r="E32" s="5"/>
      <c r="F32" s="21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</row>
    <row r="33" spans="3:66" ht="14.1" customHeight="1" x14ac:dyDescent="0.25">
      <c r="C33" s="417"/>
      <c r="D33" s="5"/>
      <c r="E33" s="5"/>
      <c r="F33" s="21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</row>
    <row r="34" spans="3:66" ht="14.1" customHeight="1" x14ac:dyDescent="0.25">
      <c r="C34" s="417"/>
      <c r="D34" s="5"/>
      <c r="E34" s="5"/>
      <c r="F34" s="21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</row>
    <row r="35" spans="3:66" ht="14.1" customHeight="1" x14ac:dyDescent="0.25">
      <c r="C35" s="417"/>
      <c r="D35" s="5"/>
      <c r="E35" s="5"/>
      <c r="F35" s="21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</row>
    <row r="36" spans="3:66" ht="14.1" customHeight="1" x14ac:dyDescent="0.25">
      <c r="C36" s="417"/>
      <c r="D36" s="5"/>
      <c r="E36" s="5"/>
      <c r="F36" s="21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</row>
    <row r="37" spans="3:66" ht="14.1" customHeight="1" x14ac:dyDescent="0.25">
      <c r="C37" s="417"/>
      <c r="D37" s="5"/>
      <c r="E37" s="5"/>
      <c r="F37" s="21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</row>
    <row r="38" spans="3:66" ht="14.1" customHeight="1" x14ac:dyDescent="0.25">
      <c r="C38" s="417"/>
      <c r="D38" s="5"/>
      <c r="E38" s="5"/>
      <c r="F38" s="21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</row>
    <row r="39" spans="3:66" ht="14.1" customHeight="1" x14ac:dyDescent="0.25">
      <c r="C39" s="417"/>
      <c r="D39" s="5"/>
      <c r="E39" s="5"/>
      <c r="F39" s="21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</row>
    <row r="40" spans="3:66" ht="14.1" customHeight="1" x14ac:dyDescent="0.25">
      <c r="C40" s="417"/>
      <c r="D40" s="5"/>
      <c r="E40" s="5"/>
      <c r="F40" s="21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</row>
    <row r="41" spans="3:66" ht="14.1" customHeight="1" x14ac:dyDescent="0.25">
      <c r="C41" s="417"/>
      <c r="D41" s="5"/>
      <c r="E41" s="5"/>
      <c r="F41" s="21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</row>
    <row r="42" spans="3:66" ht="14.1" customHeight="1" x14ac:dyDescent="0.25">
      <c r="C42" s="417"/>
      <c r="D42" s="5"/>
      <c r="E42" s="5"/>
      <c r="F42" s="21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</row>
    <row r="43" spans="3:66" ht="14.1" customHeight="1" x14ac:dyDescent="0.25">
      <c r="C43" s="417"/>
      <c r="D43" s="5"/>
      <c r="E43" s="5"/>
      <c r="F43" s="21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</row>
    <row r="44" spans="3:66" ht="14.1" customHeight="1" x14ac:dyDescent="0.25">
      <c r="C44" s="417"/>
      <c r="D44" s="5"/>
      <c r="E44" s="5"/>
      <c r="F44" s="21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</row>
    <row r="45" spans="3:66" ht="14.1" customHeight="1" x14ac:dyDescent="0.25">
      <c r="C45" s="417"/>
      <c r="D45" s="5"/>
      <c r="E45" s="5"/>
      <c r="F45" s="21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</row>
    <row r="46" spans="3:66" ht="14.1" customHeight="1" x14ac:dyDescent="0.25">
      <c r="C46" s="417"/>
      <c r="D46" s="5"/>
      <c r="E46" s="5"/>
      <c r="F46" s="21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</row>
    <row r="47" spans="3:66" ht="14.1" customHeight="1" x14ac:dyDescent="0.25">
      <c r="D47" s="9"/>
      <c r="E47" s="9"/>
      <c r="F47" s="23"/>
      <c r="G47" s="9"/>
      <c r="H47" s="9"/>
      <c r="I47" s="9"/>
      <c r="J47" s="3"/>
      <c r="K47" s="3"/>
      <c r="L47" s="3"/>
    </row>
  </sheetData>
  <pageMargins left="0.7" right="0.7" top="0.75" bottom="0.75" header="0.3" footer="0.3"/>
  <pageSetup paperSize="9" orientation="portrait" verticalDpi="0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4F159-6CEB-47AC-BC42-5573D2F40BBB}">
  <sheetPr>
    <tabColor theme="4" tint="0.79998168889431442"/>
  </sheetPr>
  <dimension ref="A1:CJ35"/>
  <sheetViews>
    <sheetView showGridLines="0" workbookViewId="0">
      <selection activeCell="K36" sqref="K36"/>
    </sheetView>
  </sheetViews>
  <sheetFormatPr defaultColWidth="0" defaultRowHeight="13.2" outlineLevelRow="1" x14ac:dyDescent="0.25"/>
  <cols>
    <col min="1" max="1" width="9.109375" style="405" customWidth="1"/>
    <col min="2" max="2" width="9.109375" style="2" customWidth="1"/>
    <col min="3" max="3" width="38.44140625" style="2" customWidth="1"/>
    <col min="4" max="5" width="9.33203125" style="2" customWidth="1" collapsed="1"/>
    <col min="6" max="6" width="9.33203125" style="12" customWidth="1"/>
    <col min="7" max="67" width="9.33203125" style="2" customWidth="1"/>
    <col min="68" max="88" width="0" style="2" hidden="1" customWidth="1"/>
    <col min="89" max="16384" width="9.109375" style="2" hidden="1"/>
  </cols>
  <sheetData>
    <row r="1" spans="1:66" x14ac:dyDescent="0.25">
      <c r="A1" s="1">
        <f>SUM(A2:A200)</f>
        <v>0</v>
      </c>
    </row>
    <row r="3" spans="1:66" x14ac:dyDescent="0.25">
      <c r="C3" s="406" t="str">
        <f>"Analyse D&amp;DG - maandelijks - "&amp;Historiek!A2</f>
        <v>Analyse D&amp;DG - maandelijks - Dossier</v>
      </c>
    </row>
    <row r="4" spans="1:66" ht="14.1" customHeight="1" x14ac:dyDescent="0.25">
      <c r="C4" s="738" t="str">
        <f>'BP - Monthly'!C4</f>
        <v>k€</v>
      </c>
      <c r="D4" s="741" t="str">
        <f>'BP - Monthly'!D4</f>
        <v>FY21</v>
      </c>
      <c r="E4" s="741" t="str">
        <f>'BP - Monthly'!E4</f>
        <v>FY22</v>
      </c>
      <c r="F4" s="743" t="str">
        <f>'BP - Monthly'!F4</f>
        <v>FY23</v>
      </c>
      <c r="G4" s="741" t="str">
        <f>'BP - Monthly'!G4</f>
        <v>Jan'24</v>
      </c>
      <c r="H4" s="741" t="str">
        <f>'BP - Monthly'!H4</f>
        <v>Feb'24</v>
      </c>
      <c r="I4" s="741" t="str">
        <f>'BP - Monthly'!I4</f>
        <v>Mrt'24</v>
      </c>
      <c r="J4" s="741" t="str">
        <f>'BP - Monthly'!J4</f>
        <v>Apr'24</v>
      </c>
      <c r="K4" s="741" t="str">
        <f>'BP - Monthly'!K4</f>
        <v>Mei'24</v>
      </c>
      <c r="L4" s="741" t="str">
        <f>'BP - Monthly'!L4</f>
        <v>Jun'24</v>
      </c>
      <c r="M4" s="741" t="str">
        <f>'BP - Monthly'!M4</f>
        <v>Jul'24</v>
      </c>
      <c r="N4" s="741" t="str">
        <f>'BP - Monthly'!N4</f>
        <v>Aug'24</v>
      </c>
      <c r="O4" s="741" t="str">
        <f>'BP - Monthly'!O4</f>
        <v>Sep'24</v>
      </c>
      <c r="P4" s="741" t="str">
        <f>'BP - Monthly'!P4</f>
        <v>Okt'24</v>
      </c>
      <c r="Q4" s="741" t="str">
        <f>'BP - Monthly'!Q4</f>
        <v>Nov'24</v>
      </c>
      <c r="R4" s="741" t="str">
        <f>'BP - Monthly'!R4</f>
        <v>Dec'24</v>
      </c>
      <c r="S4" s="741" t="str">
        <f>'BP - Monthly'!S4</f>
        <v>Jan'25</v>
      </c>
      <c r="T4" s="741" t="str">
        <f>'BP - Monthly'!T4</f>
        <v>Feb'25</v>
      </c>
      <c r="U4" s="741" t="str">
        <f>'BP - Monthly'!U4</f>
        <v>Mrt'25</v>
      </c>
      <c r="V4" s="741" t="str">
        <f>'BP - Monthly'!V4</f>
        <v>Apr'25</v>
      </c>
      <c r="W4" s="741" t="str">
        <f>'BP - Monthly'!W4</f>
        <v>Mei'25</v>
      </c>
      <c r="X4" s="741" t="str">
        <f>'BP - Monthly'!X4</f>
        <v>Jun'25</v>
      </c>
      <c r="Y4" s="741" t="str">
        <f>'BP - Monthly'!Y4</f>
        <v>Jul'25</v>
      </c>
      <c r="Z4" s="741" t="str">
        <f>'BP - Monthly'!Z4</f>
        <v>Aug'25</v>
      </c>
      <c r="AA4" s="741" t="str">
        <f>'BP - Monthly'!AA4</f>
        <v>Sep'25</v>
      </c>
      <c r="AB4" s="741" t="str">
        <f>'BP - Monthly'!AB4</f>
        <v>Okt'25</v>
      </c>
      <c r="AC4" s="741" t="str">
        <f>'BP - Monthly'!AC4</f>
        <v>Nov'25</v>
      </c>
      <c r="AD4" s="741" t="str">
        <f>'BP - Monthly'!AD4</f>
        <v>Dec'25</v>
      </c>
      <c r="AE4" s="741" t="str">
        <f>'BP - Monthly'!AE4</f>
        <v>Jan'26</v>
      </c>
      <c r="AF4" s="741" t="str">
        <f>'BP - Monthly'!AF4</f>
        <v>Feb'26</v>
      </c>
      <c r="AG4" s="741" t="str">
        <f>'BP - Monthly'!AG4</f>
        <v>Mrt'26</v>
      </c>
      <c r="AH4" s="741" t="str">
        <f>'BP - Monthly'!AH4</f>
        <v>Apr'26</v>
      </c>
      <c r="AI4" s="741" t="str">
        <f>'BP - Monthly'!AI4</f>
        <v>Mei'26</v>
      </c>
      <c r="AJ4" s="741" t="str">
        <f>'BP - Monthly'!AJ4</f>
        <v>Jun'26</v>
      </c>
      <c r="AK4" s="741" t="str">
        <f>'BP - Monthly'!AK4</f>
        <v>Jul'26</v>
      </c>
      <c r="AL4" s="741" t="str">
        <f>'BP - Monthly'!AL4</f>
        <v>Aug'26</v>
      </c>
      <c r="AM4" s="741" t="str">
        <f>'BP - Monthly'!AM4</f>
        <v>Sep'26</v>
      </c>
      <c r="AN4" s="741" t="str">
        <f>'BP - Monthly'!AN4</f>
        <v>Okt'26</v>
      </c>
      <c r="AO4" s="741" t="str">
        <f>'BP - Monthly'!AO4</f>
        <v>Nov'26</v>
      </c>
      <c r="AP4" s="741" t="str">
        <f>'BP - Monthly'!AP4</f>
        <v>Dec'26</v>
      </c>
      <c r="AQ4" s="741" t="str">
        <f>'BP - Monthly'!AQ4</f>
        <v>Jan'27</v>
      </c>
      <c r="AR4" s="741" t="str">
        <f>'BP - Monthly'!AR4</f>
        <v>Feb'27</v>
      </c>
      <c r="AS4" s="741" t="str">
        <f>'BP - Monthly'!AS4</f>
        <v>Mrt'27</v>
      </c>
      <c r="AT4" s="741" t="str">
        <f>'BP - Monthly'!AT4</f>
        <v>Apr'27</v>
      </c>
      <c r="AU4" s="741" t="str">
        <f>'BP - Monthly'!AU4</f>
        <v>Mei'27</v>
      </c>
      <c r="AV4" s="741" t="str">
        <f>'BP - Monthly'!AV4</f>
        <v>Jun'27</v>
      </c>
      <c r="AW4" s="741" t="str">
        <f>'BP - Monthly'!AW4</f>
        <v>Jul'27</v>
      </c>
      <c r="AX4" s="741" t="str">
        <f>'BP - Monthly'!AX4</f>
        <v>Aug'27</v>
      </c>
      <c r="AY4" s="741" t="str">
        <f>'BP - Monthly'!AY4</f>
        <v>Sep'27</v>
      </c>
      <c r="AZ4" s="741" t="str">
        <f>'BP - Monthly'!AZ4</f>
        <v>Okt'27</v>
      </c>
      <c r="BA4" s="741" t="str">
        <f>'BP - Monthly'!BA4</f>
        <v>Nov'27</v>
      </c>
      <c r="BB4" s="741" t="str">
        <f>'BP - Monthly'!BB4</f>
        <v>Dec'27</v>
      </c>
      <c r="BC4" s="741" t="str">
        <f>'BP - Monthly'!BC4</f>
        <v>Jan'28</v>
      </c>
      <c r="BD4" s="741" t="str">
        <f>'BP - Monthly'!BD4</f>
        <v>Feb'28</v>
      </c>
      <c r="BE4" s="741" t="str">
        <f>'BP - Monthly'!BE4</f>
        <v>Mrt'28</v>
      </c>
      <c r="BF4" s="741" t="str">
        <f>'BP - Monthly'!BF4</f>
        <v>Apr'28</v>
      </c>
      <c r="BG4" s="741" t="str">
        <f>'BP - Monthly'!BG4</f>
        <v>Mei'28</v>
      </c>
      <c r="BH4" s="741" t="str">
        <f>'BP - Monthly'!BH4</f>
        <v>Jun'28</v>
      </c>
      <c r="BI4" s="741" t="str">
        <f>'BP - Monthly'!BI4</f>
        <v>Jul'28</v>
      </c>
      <c r="BJ4" s="741" t="str">
        <f>'BP - Monthly'!BJ4</f>
        <v>Aug'28</v>
      </c>
      <c r="BK4" s="741" t="str">
        <f>'BP - Monthly'!BK4</f>
        <v>Sep'28</v>
      </c>
      <c r="BL4" s="741" t="str">
        <f>'BP - Monthly'!BL4</f>
        <v>Okt'28</v>
      </c>
      <c r="BM4" s="741" t="str">
        <f>'BP - Monthly'!BM4</f>
        <v>Nov'28</v>
      </c>
      <c r="BN4" s="741" t="str">
        <f>'BP - Monthly'!BN4</f>
        <v>Dec'28</v>
      </c>
    </row>
    <row r="5" spans="1:66" ht="14.1" customHeight="1" x14ac:dyDescent="0.25">
      <c r="C5" s="414" t="s">
        <v>918</v>
      </c>
      <c r="D5" s="425"/>
      <c r="E5" s="425"/>
      <c r="F5" s="426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</row>
    <row r="6" spans="1:66" ht="14.1" customHeight="1" x14ac:dyDescent="0.25">
      <c r="C6" s="414" t="s">
        <v>881</v>
      </c>
      <c r="D6" s="425"/>
      <c r="E6" s="425"/>
      <c r="F6" s="426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</row>
    <row r="7" spans="1:66" ht="14.1" customHeight="1" x14ac:dyDescent="0.25">
      <c r="C7" s="414" t="s">
        <v>882</v>
      </c>
      <c r="D7" s="425"/>
      <c r="E7" s="425"/>
      <c r="F7" s="426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</row>
    <row r="8" spans="1:66" ht="14.1" customHeight="1" x14ac:dyDescent="0.25">
      <c r="C8" s="414" t="s">
        <v>919</v>
      </c>
      <c r="D8" s="425"/>
      <c r="E8" s="425"/>
      <c r="F8" s="426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</row>
    <row r="9" spans="1:66" ht="14.1" customHeight="1" x14ac:dyDescent="0.25">
      <c r="C9" s="414" t="s">
        <v>920</v>
      </c>
      <c r="D9" s="425"/>
      <c r="E9" s="425"/>
      <c r="F9" s="426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</row>
    <row r="10" spans="1:66" ht="14.1" customHeight="1" x14ac:dyDescent="0.25">
      <c r="C10" s="414" t="s">
        <v>883</v>
      </c>
      <c r="D10" s="425"/>
      <c r="E10" s="425"/>
      <c r="F10" s="426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</row>
    <row r="11" spans="1:66" ht="14.1" customHeight="1" x14ac:dyDescent="0.25">
      <c r="C11" s="414" t="s">
        <v>884</v>
      </c>
      <c r="D11" s="425"/>
      <c r="E11" s="425"/>
      <c r="F11" s="426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</row>
    <row r="12" spans="1:66" ht="14.1" customHeight="1" x14ac:dyDescent="0.25">
      <c r="C12" s="414" t="s">
        <v>830</v>
      </c>
      <c r="D12" s="425"/>
      <c r="E12" s="425"/>
      <c r="F12" s="426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</row>
    <row r="13" spans="1:66" ht="14.1" customHeight="1" x14ac:dyDescent="0.25">
      <c r="C13" s="414" t="s">
        <v>829</v>
      </c>
      <c r="D13" s="425"/>
      <c r="E13" s="425"/>
      <c r="F13" s="426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</row>
    <row r="14" spans="1:66" ht="14.1" customHeight="1" x14ac:dyDescent="0.25">
      <c r="C14" s="414" t="s">
        <v>921</v>
      </c>
      <c r="D14" s="425"/>
      <c r="E14" s="425"/>
      <c r="F14" s="426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</row>
    <row r="15" spans="1:66" ht="14.1" customHeight="1" x14ac:dyDescent="0.25">
      <c r="C15" s="417" t="s">
        <v>885</v>
      </c>
      <c r="D15" s="425"/>
      <c r="E15" s="425"/>
      <c r="F15" s="426"/>
      <c r="G15" s="420">
        <f t="shared" ref="G15:AL15" si="0">SUM(G5:G14)</f>
        <v>0</v>
      </c>
      <c r="H15" s="420">
        <f t="shared" si="0"/>
        <v>0</v>
      </c>
      <c r="I15" s="420">
        <f t="shared" si="0"/>
        <v>0</v>
      </c>
      <c r="J15" s="420">
        <f t="shared" si="0"/>
        <v>0</v>
      </c>
      <c r="K15" s="420">
        <f t="shared" si="0"/>
        <v>0</v>
      </c>
      <c r="L15" s="420">
        <f t="shared" si="0"/>
        <v>0</v>
      </c>
      <c r="M15" s="420">
        <f t="shared" si="0"/>
        <v>0</v>
      </c>
      <c r="N15" s="420">
        <f t="shared" si="0"/>
        <v>0</v>
      </c>
      <c r="O15" s="420">
        <f t="shared" si="0"/>
        <v>0</v>
      </c>
      <c r="P15" s="420">
        <f t="shared" si="0"/>
        <v>0</v>
      </c>
      <c r="Q15" s="420">
        <f t="shared" si="0"/>
        <v>0</v>
      </c>
      <c r="R15" s="420">
        <f t="shared" si="0"/>
        <v>0</v>
      </c>
      <c r="S15" s="420">
        <f t="shared" si="0"/>
        <v>0</v>
      </c>
      <c r="T15" s="420">
        <f t="shared" si="0"/>
        <v>0</v>
      </c>
      <c r="U15" s="420">
        <f t="shared" si="0"/>
        <v>0</v>
      </c>
      <c r="V15" s="420">
        <f t="shared" si="0"/>
        <v>0</v>
      </c>
      <c r="W15" s="420">
        <f t="shared" si="0"/>
        <v>0</v>
      </c>
      <c r="X15" s="420">
        <f t="shared" si="0"/>
        <v>0</v>
      </c>
      <c r="Y15" s="420">
        <f t="shared" si="0"/>
        <v>0</v>
      </c>
      <c r="Z15" s="420">
        <f t="shared" si="0"/>
        <v>0</v>
      </c>
      <c r="AA15" s="420">
        <f t="shared" si="0"/>
        <v>0</v>
      </c>
      <c r="AB15" s="420">
        <f t="shared" si="0"/>
        <v>0</v>
      </c>
      <c r="AC15" s="420">
        <f t="shared" si="0"/>
        <v>0</v>
      </c>
      <c r="AD15" s="420">
        <f t="shared" si="0"/>
        <v>0</v>
      </c>
      <c r="AE15" s="420">
        <f t="shared" si="0"/>
        <v>0</v>
      </c>
      <c r="AF15" s="420">
        <f t="shared" si="0"/>
        <v>0</v>
      </c>
      <c r="AG15" s="420">
        <f t="shared" si="0"/>
        <v>0</v>
      </c>
      <c r="AH15" s="420">
        <f t="shared" si="0"/>
        <v>0</v>
      </c>
      <c r="AI15" s="420">
        <f t="shared" si="0"/>
        <v>0</v>
      </c>
      <c r="AJ15" s="420">
        <f t="shared" si="0"/>
        <v>0</v>
      </c>
      <c r="AK15" s="420">
        <f t="shared" si="0"/>
        <v>0</v>
      </c>
      <c r="AL15" s="420">
        <f t="shared" si="0"/>
        <v>0</v>
      </c>
      <c r="AM15" s="420">
        <f t="shared" ref="AM15:BN15" si="1">SUM(AM5:AM14)</f>
        <v>0</v>
      </c>
      <c r="AN15" s="420">
        <f t="shared" si="1"/>
        <v>0</v>
      </c>
      <c r="AO15" s="420">
        <f t="shared" si="1"/>
        <v>0</v>
      </c>
      <c r="AP15" s="420">
        <f t="shared" si="1"/>
        <v>0</v>
      </c>
      <c r="AQ15" s="420">
        <f t="shared" si="1"/>
        <v>0</v>
      </c>
      <c r="AR15" s="420">
        <f t="shared" si="1"/>
        <v>0</v>
      </c>
      <c r="AS15" s="420">
        <f t="shared" si="1"/>
        <v>0</v>
      </c>
      <c r="AT15" s="420">
        <f t="shared" si="1"/>
        <v>0</v>
      </c>
      <c r="AU15" s="420">
        <f t="shared" si="1"/>
        <v>0</v>
      </c>
      <c r="AV15" s="420">
        <f t="shared" si="1"/>
        <v>0</v>
      </c>
      <c r="AW15" s="420">
        <f t="shared" si="1"/>
        <v>0</v>
      </c>
      <c r="AX15" s="420">
        <f t="shared" si="1"/>
        <v>0</v>
      </c>
      <c r="AY15" s="420">
        <f t="shared" si="1"/>
        <v>0</v>
      </c>
      <c r="AZ15" s="420">
        <f t="shared" si="1"/>
        <v>0</v>
      </c>
      <c r="BA15" s="420">
        <f t="shared" si="1"/>
        <v>0</v>
      </c>
      <c r="BB15" s="420">
        <f t="shared" si="1"/>
        <v>0</v>
      </c>
      <c r="BC15" s="420">
        <f t="shared" si="1"/>
        <v>0</v>
      </c>
      <c r="BD15" s="420">
        <f t="shared" si="1"/>
        <v>0</v>
      </c>
      <c r="BE15" s="420">
        <f t="shared" si="1"/>
        <v>0</v>
      </c>
      <c r="BF15" s="420">
        <f t="shared" si="1"/>
        <v>0</v>
      </c>
      <c r="BG15" s="420">
        <f t="shared" si="1"/>
        <v>0</v>
      </c>
      <c r="BH15" s="420">
        <f t="shared" si="1"/>
        <v>0</v>
      </c>
      <c r="BI15" s="420">
        <f t="shared" si="1"/>
        <v>0</v>
      </c>
      <c r="BJ15" s="420">
        <f t="shared" si="1"/>
        <v>0</v>
      </c>
      <c r="BK15" s="420">
        <f t="shared" si="1"/>
        <v>0</v>
      </c>
      <c r="BL15" s="420">
        <f t="shared" si="1"/>
        <v>0</v>
      </c>
      <c r="BM15" s="420">
        <f t="shared" si="1"/>
        <v>0</v>
      </c>
      <c r="BN15" s="420">
        <f t="shared" si="1"/>
        <v>0</v>
      </c>
    </row>
    <row r="16" spans="1:66" ht="14.1" customHeight="1" x14ac:dyDescent="0.25">
      <c r="C16" s="417"/>
      <c r="D16" s="5"/>
      <c r="E16" s="5"/>
      <c r="F16" s="21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</row>
    <row r="17" spans="1:66" ht="14.1" customHeight="1" outlineLevel="1" x14ac:dyDescent="0.25">
      <c r="A17" s="431">
        <f>SUM(G17:BN17)</f>
        <v>0</v>
      </c>
      <c r="B17" s="430" t="s">
        <v>5</v>
      </c>
      <c r="C17" s="417"/>
      <c r="D17" s="5"/>
      <c r="E17" s="5"/>
      <c r="F17" s="21"/>
      <c r="G17" s="8">
        <f>G15+'BP - Monthly'!G56</f>
        <v>0</v>
      </c>
      <c r="H17" s="8">
        <f>H15+'BP - Monthly'!H56</f>
        <v>0</v>
      </c>
      <c r="I17" s="8">
        <f>I15+'BP - Monthly'!I56</f>
        <v>0</v>
      </c>
      <c r="J17" s="8">
        <f>J15+'BP - Monthly'!J56</f>
        <v>0</v>
      </c>
      <c r="K17" s="8">
        <f>K15+'BP - Monthly'!K56</f>
        <v>0</v>
      </c>
      <c r="L17" s="8">
        <f>L15+'BP - Monthly'!L56</f>
        <v>0</v>
      </c>
      <c r="M17" s="8">
        <f>M15+'BP - Monthly'!M56</f>
        <v>0</v>
      </c>
      <c r="N17" s="8">
        <f>N15+'BP - Monthly'!N56</f>
        <v>0</v>
      </c>
      <c r="O17" s="8">
        <f>O15+'BP - Monthly'!O56</f>
        <v>0</v>
      </c>
      <c r="P17" s="8">
        <f>P15+'BP - Monthly'!P56</f>
        <v>0</v>
      </c>
      <c r="Q17" s="8">
        <f>Q15+'BP - Monthly'!Q56</f>
        <v>0</v>
      </c>
      <c r="R17" s="8">
        <f>R15+'BP - Monthly'!R56</f>
        <v>0</v>
      </c>
      <c r="S17" s="8">
        <f>S15+'BP - Monthly'!S56</f>
        <v>0</v>
      </c>
      <c r="T17" s="8">
        <f>T15+'BP - Monthly'!T56</f>
        <v>0</v>
      </c>
      <c r="U17" s="8">
        <f>U15+'BP - Monthly'!U56</f>
        <v>0</v>
      </c>
      <c r="V17" s="8">
        <f>V15+'BP - Monthly'!V56</f>
        <v>0</v>
      </c>
      <c r="W17" s="8">
        <f>W15+'BP - Monthly'!W56</f>
        <v>0</v>
      </c>
      <c r="X17" s="8">
        <f>X15+'BP - Monthly'!X56</f>
        <v>0</v>
      </c>
      <c r="Y17" s="8">
        <f>Y15+'BP - Monthly'!Y56</f>
        <v>0</v>
      </c>
      <c r="Z17" s="8">
        <f>Z15+'BP - Monthly'!Z56</f>
        <v>0</v>
      </c>
      <c r="AA17" s="8">
        <f>AA15+'BP - Monthly'!AA56</f>
        <v>0</v>
      </c>
      <c r="AB17" s="8">
        <f>AB15+'BP - Monthly'!AB56</f>
        <v>0</v>
      </c>
      <c r="AC17" s="8">
        <f>AC15+'BP - Monthly'!AC56</f>
        <v>0</v>
      </c>
      <c r="AD17" s="8">
        <f>AD15+'BP - Monthly'!AD56</f>
        <v>0</v>
      </c>
      <c r="AE17" s="8">
        <f>AE15+'BP - Monthly'!AE56</f>
        <v>0</v>
      </c>
      <c r="AF17" s="8">
        <f>AF15+'BP - Monthly'!AF56</f>
        <v>0</v>
      </c>
      <c r="AG17" s="8">
        <f>AG15+'BP - Monthly'!AG56</f>
        <v>0</v>
      </c>
      <c r="AH17" s="8">
        <f>AH15+'BP - Monthly'!AH56</f>
        <v>0</v>
      </c>
      <c r="AI17" s="8">
        <f>AI15+'BP - Monthly'!AI56</f>
        <v>0</v>
      </c>
      <c r="AJ17" s="8">
        <f>AJ15+'BP - Monthly'!AJ56</f>
        <v>0</v>
      </c>
      <c r="AK17" s="8">
        <f>AK15+'BP - Monthly'!AK56</f>
        <v>0</v>
      </c>
      <c r="AL17" s="8">
        <f>AL15+'BP - Monthly'!AL56</f>
        <v>0</v>
      </c>
      <c r="AM17" s="8">
        <f>AM15+'BP - Monthly'!AM56</f>
        <v>0</v>
      </c>
      <c r="AN17" s="8">
        <f>AN15+'BP - Monthly'!AN56</f>
        <v>0</v>
      </c>
      <c r="AO17" s="8">
        <f>AO15+'BP - Monthly'!AO56</f>
        <v>0</v>
      </c>
      <c r="AP17" s="8">
        <f>AP15+'BP - Monthly'!AP56</f>
        <v>0</v>
      </c>
      <c r="AQ17" s="8">
        <f>AQ15+'BP - Monthly'!AQ56</f>
        <v>0</v>
      </c>
      <c r="AR17" s="8">
        <f>AR15+'BP - Monthly'!AR56</f>
        <v>0</v>
      </c>
      <c r="AS17" s="8">
        <f>AS15+'BP - Monthly'!AS56</f>
        <v>0</v>
      </c>
      <c r="AT17" s="8">
        <f>AT15+'BP - Monthly'!AT56</f>
        <v>0</v>
      </c>
      <c r="AU17" s="8">
        <f>AU15+'BP - Monthly'!AU56</f>
        <v>0</v>
      </c>
      <c r="AV17" s="8">
        <f>AV15+'BP - Monthly'!AV56</f>
        <v>0</v>
      </c>
      <c r="AW17" s="8">
        <f>AW15+'BP - Monthly'!AW56</f>
        <v>0</v>
      </c>
      <c r="AX17" s="8">
        <f>AX15+'BP - Monthly'!AX56</f>
        <v>0</v>
      </c>
      <c r="AY17" s="8">
        <f>AY15+'BP - Monthly'!AY56</f>
        <v>0</v>
      </c>
      <c r="AZ17" s="8">
        <f>AZ15+'BP - Monthly'!AZ56</f>
        <v>0</v>
      </c>
      <c r="BA17" s="8">
        <f>BA15+'BP - Monthly'!BA56</f>
        <v>0</v>
      </c>
      <c r="BB17" s="8">
        <f>BB15+'BP - Monthly'!BB56</f>
        <v>0</v>
      </c>
      <c r="BC17" s="8">
        <f>BC15+'BP - Monthly'!BC56</f>
        <v>0</v>
      </c>
      <c r="BD17" s="8">
        <f>BD15+'BP - Monthly'!BD56</f>
        <v>0</v>
      </c>
      <c r="BE17" s="8">
        <f>BE15+'BP - Monthly'!BE56</f>
        <v>0</v>
      </c>
      <c r="BF17" s="8">
        <f>BF15+'BP - Monthly'!BF56</f>
        <v>0</v>
      </c>
      <c r="BG17" s="8">
        <f>BG15+'BP - Monthly'!BG56</f>
        <v>0</v>
      </c>
      <c r="BH17" s="8">
        <f>BH15+'BP - Monthly'!BH56</f>
        <v>0</v>
      </c>
      <c r="BI17" s="8">
        <f>BI15+'BP - Monthly'!BI56</f>
        <v>0</v>
      </c>
      <c r="BJ17" s="8">
        <f>BJ15+'BP - Monthly'!BJ56</f>
        <v>0</v>
      </c>
      <c r="BK17" s="8">
        <f>BK15+'BP - Monthly'!BK56</f>
        <v>0</v>
      </c>
      <c r="BL17" s="8">
        <f>BL15+'BP - Monthly'!BL56</f>
        <v>0</v>
      </c>
      <c r="BM17" s="8">
        <f>BM15+'BP - Monthly'!BM56</f>
        <v>0</v>
      </c>
      <c r="BN17" s="8">
        <f>BN15+'BP - Monthly'!BN56</f>
        <v>0</v>
      </c>
    </row>
    <row r="18" spans="1:66" ht="14.1" customHeight="1" outlineLevel="1" x14ac:dyDescent="0.25">
      <c r="A18" s="431">
        <f>SUM(G18:BN18)</f>
        <v>0</v>
      </c>
      <c r="B18" s="430" t="s">
        <v>5</v>
      </c>
      <c r="C18" s="417"/>
      <c r="D18" s="5"/>
      <c r="E18" s="5"/>
      <c r="F18" s="21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</row>
    <row r="20" spans="1:66" x14ac:dyDescent="0.25">
      <c r="C20" s="406" t="str">
        <f>"Analyse D&amp;DG - jaarlijks - "&amp;Historiek!A2</f>
        <v>Analyse D&amp;DG - jaarlijks - Dossier</v>
      </c>
      <c r="D20" s="407"/>
      <c r="E20" s="407"/>
      <c r="F20" s="13"/>
      <c r="G20" s="407"/>
      <c r="H20" s="407"/>
      <c r="I20" s="407"/>
      <c r="J20" s="3"/>
    </row>
    <row r="21" spans="1:66" x14ac:dyDescent="0.25">
      <c r="C21" s="738" t="str">
        <f>'BP - Annual'!C4</f>
        <v>k€</v>
      </c>
      <c r="D21" s="741" t="str">
        <f>'BP - Annual'!D4</f>
        <v>FY21</v>
      </c>
      <c r="E21" s="741" t="str">
        <f>'BP - Annual'!E4</f>
        <v>FY22</v>
      </c>
      <c r="F21" s="743" t="str">
        <f>'BP - Annual'!F4</f>
        <v>FY23</v>
      </c>
      <c r="G21" s="741" t="str">
        <f>'BP - Annual'!G4</f>
        <v>FY24</v>
      </c>
      <c r="H21" s="741" t="str">
        <f>'BP - Annual'!H4</f>
        <v>FY25</v>
      </c>
      <c r="I21" s="741" t="str">
        <f>'BP - Annual'!I4</f>
        <v>FY26</v>
      </c>
      <c r="J21" s="741" t="str">
        <f>'BP - Annual'!J4</f>
        <v>FY27</v>
      </c>
      <c r="K21" s="741" t="str">
        <f>'BP - Annual'!K4</f>
        <v>FY28</v>
      </c>
    </row>
    <row r="22" spans="1:66" x14ac:dyDescent="0.25">
      <c r="C22" s="414" t="s">
        <v>918</v>
      </c>
      <c r="D22" s="425"/>
      <c r="E22" s="425"/>
      <c r="F22" s="426"/>
      <c r="G22" s="5">
        <f>SUM(G5:R5)</f>
        <v>0</v>
      </c>
      <c r="H22" s="5">
        <f>SUM(S5:AD5)</f>
        <v>0</v>
      </c>
      <c r="I22" s="5">
        <f>SUM(AE5:AP5)</f>
        <v>0</v>
      </c>
      <c r="J22" s="5">
        <f>SUM(AQ5:BB5)</f>
        <v>0</v>
      </c>
      <c r="K22" s="5">
        <f>SUM(BC5:BN5)</f>
        <v>0</v>
      </c>
    </row>
    <row r="23" spans="1:66" x14ac:dyDescent="0.25">
      <c r="C23" s="414" t="s">
        <v>881</v>
      </c>
      <c r="D23" s="425"/>
      <c r="E23" s="425"/>
      <c r="F23" s="426"/>
      <c r="G23" s="5">
        <f t="shared" ref="G23:G31" si="2">SUM(G6:R6)</f>
        <v>0</v>
      </c>
      <c r="H23" s="5">
        <f t="shared" ref="H23:H31" si="3">SUM(S6:AD6)</f>
        <v>0</v>
      </c>
      <c r="I23" s="5">
        <f t="shared" ref="I23:I31" si="4">SUM(AE6:AP6)</f>
        <v>0</v>
      </c>
      <c r="J23" s="5">
        <f t="shared" ref="J23:J31" si="5">SUM(AQ6:BB6)</f>
        <v>0</v>
      </c>
      <c r="K23" s="5">
        <f t="shared" ref="K23:K31" si="6">SUM(BC6:BN6)</f>
        <v>0</v>
      </c>
    </row>
    <row r="24" spans="1:66" x14ac:dyDescent="0.25">
      <c r="C24" s="414" t="s">
        <v>882</v>
      </c>
      <c r="D24" s="425"/>
      <c r="E24" s="425"/>
      <c r="F24" s="426"/>
      <c r="G24" s="5">
        <f t="shared" si="2"/>
        <v>0</v>
      </c>
      <c r="H24" s="5">
        <f t="shared" si="3"/>
        <v>0</v>
      </c>
      <c r="I24" s="5">
        <f t="shared" si="4"/>
        <v>0</v>
      </c>
      <c r="J24" s="5">
        <f t="shared" si="5"/>
        <v>0</v>
      </c>
      <c r="K24" s="5">
        <f t="shared" si="6"/>
        <v>0</v>
      </c>
    </row>
    <row r="25" spans="1:66" x14ac:dyDescent="0.25">
      <c r="C25" s="414" t="s">
        <v>919</v>
      </c>
      <c r="D25" s="425"/>
      <c r="E25" s="425"/>
      <c r="F25" s="426"/>
      <c r="G25" s="5">
        <f t="shared" si="2"/>
        <v>0</v>
      </c>
      <c r="H25" s="5">
        <f t="shared" si="3"/>
        <v>0</v>
      </c>
      <c r="I25" s="5">
        <f t="shared" si="4"/>
        <v>0</v>
      </c>
      <c r="J25" s="5">
        <f t="shared" si="5"/>
        <v>0</v>
      </c>
      <c r="K25" s="5">
        <f t="shared" si="6"/>
        <v>0</v>
      </c>
    </row>
    <row r="26" spans="1:66" x14ac:dyDescent="0.25">
      <c r="C26" s="414" t="s">
        <v>920</v>
      </c>
      <c r="D26" s="425"/>
      <c r="E26" s="425"/>
      <c r="F26" s="426"/>
      <c r="G26" s="5">
        <f t="shared" si="2"/>
        <v>0</v>
      </c>
      <c r="H26" s="5">
        <f t="shared" si="3"/>
        <v>0</v>
      </c>
      <c r="I26" s="5">
        <f t="shared" si="4"/>
        <v>0</v>
      </c>
      <c r="J26" s="5">
        <f t="shared" si="5"/>
        <v>0</v>
      </c>
      <c r="K26" s="5">
        <f t="shared" si="6"/>
        <v>0</v>
      </c>
    </row>
    <row r="27" spans="1:66" x14ac:dyDescent="0.25">
      <c r="C27" s="414" t="s">
        <v>883</v>
      </c>
      <c r="D27" s="425"/>
      <c r="E27" s="425"/>
      <c r="F27" s="426"/>
      <c r="G27" s="5">
        <f t="shared" si="2"/>
        <v>0</v>
      </c>
      <c r="H27" s="5">
        <f t="shared" si="3"/>
        <v>0</v>
      </c>
      <c r="I27" s="5">
        <f t="shared" si="4"/>
        <v>0</v>
      </c>
      <c r="J27" s="5">
        <f t="shared" si="5"/>
        <v>0</v>
      </c>
      <c r="K27" s="5">
        <f t="shared" si="6"/>
        <v>0</v>
      </c>
    </row>
    <row r="28" spans="1:66" x14ac:dyDescent="0.25">
      <c r="C28" s="414" t="s">
        <v>884</v>
      </c>
      <c r="D28" s="425"/>
      <c r="E28" s="425"/>
      <c r="F28" s="426"/>
      <c r="G28" s="5">
        <f t="shared" si="2"/>
        <v>0</v>
      </c>
      <c r="H28" s="5">
        <f t="shared" si="3"/>
        <v>0</v>
      </c>
      <c r="I28" s="5">
        <f t="shared" si="4"/>
        <v>0</v>
      </c>
      <c r="J28" s="5">
        <f t="shared" si="5"/>
        <v>0</v>
      </c>
      <c r="K28" s="5">
        <f t="shared" si="6"/>
        <v>0</v>
      </c>
    </row>
    <row r="29" spans="1:66" x14ac:dyDescent="0.25">
      <c r="C29" s="414" t="s">
        <v>830</v>
      </c>
      <c r="D29" s="425"/>
      <c r="E29" s="425"/>
      <c r="F29" s="426"/>
      <c r="G29" s="5">
        <f t="shared" si="2"/>
        <v>0</v>
      </c>
      <c r="H29" s="5">
        <f t="shared" si="3"/>
        <v>0</v>
      </c>
      <c r="I29" s="5">
        <f t="shared" si="4"/>
        <v>0</v>
      </c>
      <c r="J29" s="5">
        <f t="shared" si="5"/>
        <v>0</v>
      </c>
      <c r="K29" s="5">
        <f t="shared" si="6"/>
        <v>0</v>
      </c>
    </row>
    <row r="30" spans="1:66" x14ac:dyDescent="0.25">
      <c r="C30" s="414" t="s">
        <v>829</v>
      </c>
      <c r="D30" s="425"/>
      <c r="E30" s="425"/>
      <c r="F30" s="426"/>
      <c r="G30" s="5">
        <f t="shared" si="2"/>
        <v>0</v>
      </c>
      <c r="H30" s="5">
        <f t="shared" si="3"/>
        <v>0</v>
      </c>
      <c r="I30" s="5">
        <f t="shared" si="4"/>
        <v>0</v>
      </c>
      <c r="J30" s="5">
        <f t="shared" si="5"/>
        <v>0</v>
      </c>
      <c r="K30" s="5">
        <f t="shared" si="6"/>
        <v>0</v>
      </c>
    </row>
    <row r="31" spans="1:66" x14ac:dyDescent="0.25">
      <c r="C31" s="414" t="s">
        <v>921</v>
      </c>
      <c r="D31" s="425"/>
      <c r="E31" s="425"/>
      <c r="F31" s="426"/>
      <c r="G31" s="5">
        <f t="shared" si="2"/>
        <v>0</v>
      </c>
      <c r="H31" s="5">
        <f t="shared" si="3"/>
        <v>0</v>
      </c>
      <c r="I31" s="5">
        <f t="shared" si="4"/>
        <v>0</v>
      </c>
      <c r="J31" s="5">
        <f t="shared" si="5"/>
        <v>0</v>
      </c>
      <c r="K31" s="5">
        <f t="shared" si="6"/>
        <v>0</v>
      </c>
    </row>
    <row r="32" spans="1:66" x14ac:dyDescent="0.25">
      <c r="C32" s="417" t="s">
        <v>885</v>
      </c>
      <c r="D32" s="425"/>
      <c r="E32" s="425"/>
      <c r="F32" s="426"/>
      <c r="G32" s="420">
        <f>SUM(G22:G31)</f>
        <v>0</v>
      </c>
      <c r="H32" s="420">
        <f t="shared" ref="H32:K32" si="7">SUM(H22:H31)</f>
        <v>0</v>
      </c>
      <c r="I32" s="420">
        <f t="shared" si="7"/>
        <v>0</v>
      </c>
      <c r="J32" s="420">
        <f t="shared" si="7"/>
        <v>0</v>
      </c>
      <c r="K32" s="420">
        <f t="shared" si="7"/>
        <v>0</v>
      </c>
    </row>
    <row r="33" spans="1:11" x14ac:dyDescent="0.25">
      <c r="G33" s="5"/>
      <c r="H33" s="5"/>
      <c r="I33" s="5"/>
      <c r="J33" s="5"/>
      <c r="K33" s="5"/>
    </row>
    <row r="34" spans="1:11" outlineLevel="1" x14ac:dyDescent="0.25">
      <c r="A34" s="431">
        <f>SUM(G34:BN34)</f>
        <v>0</v>
      </c>
      <c r="B34" s="430" t="s">
        <v>5</v>
      </c>
      <c r="C34" s="417"/>
      <c r="D34" s="5"/>
      <c r="E34" s="5"/>
      <c r="F34" s="21"/>
      <c r="G34" s="8">
        <f>G32+'BP - Annual'!G56</f>
        <v>0</v>
      </c>
      <c r="H34" s="8">
        <f>H32+'BP - Annual'!H56</f>
        <v>0</v>
      </c>
      <c r="I34" s="8">
        <f>I32+'BP - Annual'!I56</f>
        <v>0</v>
      </c>
      <c r="J34" s="8">
        <f>J32+'BP - Annual'!J56</f>
        <v>0</v>
      </c>
      <c r="K34" s="8">
        <f>K32+'BP - Annual'!K56</f>
        <v>0</v>
      </c>
    </row>
    <row r="35" spans="1:11" outlineLevel="1" x14ac:dyDescent="0.25">
      <c r="A35" s="431">
        <f>SUM(G35:BN35)</f>
        <v>0</v>
      </c>
      <c r="B35" s="430" t="s">
        <v>5</v>
      </c>
      <c r="C35" s="417"/>
      <c r="D35" s="5"/>
      <c r="E35" s="5"/>
      <c r="F35" s="21"/>
      <c r="G35" s="8"/>
      <c r="H35" s="8"/>
      <c r="I35" s="8"/>
      <c r="J35" s="8"/>
      <c r="K35" s="8"/>
    </row>
  </sheetData>
  <pageMargins left="0.7" right="0.7" top="0.75" bottom="0.75" header="0.3" footer="0.3"/>
  <pageSetup paperSize="9"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57D55-20A8-4716-8009-BC8BF22AC67C}">
  <sheetPr>
    <tabColor theme="4" tint="0.79998168889431442"/>
  </sheetPr>
  <dimension ref="A1:BO193"/>
  <sheetViews>
    <sheetView showGridLines="0" zoomScaleNormal="100" workbookViewId="0">
      <selection activeCell="U34" sqref="U34"/>
    </sheetView>
  </sheetViews>
  <sheetFormatPr defaultColWidth="0" defaultRowHeight="13.2" outlineLevelRow="1" x14ac:dyDescent="0.25"/>
  <cols>
    <col min="1" max="2" width="9.109375" style="497" customWidth="1"/>
    <col min="3" max="3" width="24.88671875" style="497" customWidth="1"/>
    <col min="4" max="7" width="9.33203125" style="497" customWidth="1"/>
    <col min="8" max="8" width="9.33203125" style="498" customWidth="1"/>
    <col min="9" max="67" width="9.33203125" style="497" customWidth="1"/>
    <col min="68" max="16384" width="9.33203125" style="497" hidden="1"/>
  </cols>
  <sheetData>
    <row r="1" spans="1:66" x14ac:dyDescent="0.25">
      <c r="A1" s="1">
        <f>SUM(A2:A200)</f>
        <v>0</v>
      </c>
    </row>
    <row r="3" spans="1:66" x14ac:dyDescent="0.25">
      <c r="C3" s="500" t="str">
        <f>"Evolutie # FTE's - "&amp;Historiek!A2</f>
        <v>Evolutie # FTE's - Dossier</v>
      </c>
      <c r="D3" s="500"/>
      <c r="E3" s="500"/>
      <c r="F3" s="500"/>
      <c r="H3" s="497"/>
    </row>
    <row r="4" spans="1:66" x14ac:dyDescent="0.25">
      <c r="C4" s="753" t="str">
        <f>'BP - Monthly'!C4</f>
        <v>k€</v>
      </c>
      <c r="D4" s="741" t="str">
        <f>'BP - Monthly'!D4</f>
        <v>FY21</v>
      </c>
      <c r="E4" s="741" t="str">
        <f>'BP - Monthly'!E4</f>
        <v>FY22</v>
      </c>
      <c r="F4" s="743" t="str">
        <f>'BP - Monthly'!F4</f>
        <v>FY23</v>
      </c>
      <c r="G4" s="756" t="str">
        <f>'BP - Monthly'!G4</f>
        <v>Jan'24</v>
      </c>
      <c r="H4" s="751" t="str">
        <f>'BP - Monthly'!H4</f>
        <v>Feb'24</v>
      </c>
      <c r="I4" s="751" t="str">
        <f>'BP - Monthly'!I4</f>
        <v>Mrt'24</v>
      </c>
      <c r="J4" s="757" t="str">
        <f>'BP - Monthly'!J4</f>
        <v>Apr'24</v>
      </c>
      <c r="K4" s="756" t="str">
        <f>'BP - Monthly'!K4</f>
        <v>Mei'24</v>
      </c>
      <c r="L4" s="756" t="str">
        <f>'BP - Monthly'!L4</f>
        <v>Jun'24</v>
      </c>
      <c r="M4" s="756" t="str">
        <f>'BP - Monthly'!M4</f>
        <v>Jul'24</v>
      </c>
      <c r="N4" s="756" t="str">
        <f>'BP - Monthly'!N4</f>
        <v>Aug'24</v>
      </c>
      <c r="O4" s="756" t="str">
        <f>'BP - Monthly'!O4</f>
        <v>Sep'24</v>
      </c>
      <c r="P4" s="756" t="str">
        <f>'BP - Monthly'!P4</f>
        <v>Okt'24</v>
      </c>
      <c r="Q4" s="756" t="str">
        <f>'BP - Monthly'!Q4</f>
        <v>Nov'24</v>
      </c>
      <c r="R4" s="756" t="str">
        <f>'BP - Monthly'!R4</f>
        <v>Dec'24</v>
      </c>
      <c r="S4" s="756" t="str">
        <f>'BP - Monthly'!S4</f>
        <v>Jan'25</v>
      </c>
      <c r="T4" s="751" t="str">
        <f>'BP - Monthly'!T4</f>
        <v>Feb'25</v>
      </c>
      <c r="U4" s="751" t="str">
        <f>'BP - Monthly'!U4</f>
        <v>Mrt'25</v>
      </c>
      <c r="V4" s="757" t="str">
        <f>'BP - Monthly'!V4</f>
        <v>Apr'25</v>
      </c>
      <c r="W4" s="756" t="str">
        <f>'BP - Monthly'!W4</f>
        <v>Mei'25</v>
      </c>
      <c r="X4" s="756" t="str">
        <f>'BP - Monthly'!X4</f>
        <v>Jun'25</v>
      </c>
      <c r="Y4" s="756" t="str">
        <f>'BP - Monthly'!Y4</f>
        <v>Jul'25</v>
      </c>
      <c r="Z4" s="756" t="str">
        <f>'BP - Monthly'!Z4</f>
        <v>Aug'25</v>
      </c>
      <c r="AA4" s="756" t="str">
        <f>'BP - Monthly'!AA4</f>
        <v>Sep'25</v>
      </c>
      <c r="AB4" s="756" t="str">
        <f>'BP - Monthly'!AB4</f>
        <v>Okt'25</v>
      </c>
      <c r="AC4" s="756" t="str">
        <f>'BP - Monthly'!AC4</f>
        <v>Nov'25</v>
      </c>
      <c r="AD4" s="756" t="str">
        <f>'BP - Monthly'!AD4</f>
        <v>Dec'25</v>
      </c>
      <c r="AE4" s="756" t="str">
        <f>'BP - Monthly'!AE4</f>
        <v>Jan'26</v>
      </c>
      <c r="AF4" s="751" t="str">
        <f>'BP - Monthly'!AF4</f>
        <v>Feb'26</v>
      </c>
      <c r="AG4" s="751" t="str">
        <f>'BP - Monthly'!AG4</f>
        <v>Mrt'26</v>
      </c>
      <c r="AH4" s="757" t="str">
        <f>'BP - Monthly'!AH4</f>
        <v>Apr'26</v>
      </c>
      <c r="AI4" s="756" t="str">
        <f>'BP - Monthly'!AI4</f>
        <v>Mei'26</v>
      </c>
      <c r="AJ4" s="756" t="str">
        <f>'BP - Monthly'!AJ4</f>
        <v>Jun'26</v>
      </c>
      <c r="AK4" s="756" t="str">
        <f>'BP - Monthly'!AK4</f>
        <v>Jul'26</v>
      </c>
      <c r="AL4" s="756" t="str">
        <f>'BP - Monthly'!AL4</f>
        <v>Aug'26</v>
      </c>
      <c r="AM4" s="756" t="str">
        <f>'BP - Monthly'!AM4</f>
        <v>Sep'26</v>
      </c>
      <c r="AN4" s="756" t="str">
        <f>'BP - Monthly'!AN4</f>
        <v>Okt'26</v>
      </c>
      <c r="AO4" s="756" t="str">
        <f>'BP - Monthly'!AO4</f>
        <v>Nov'26</v>
      </c>
      <c r="AP4" s="756" t="str">
        <f>'BP - Monthly'!AP4</f>
        <v>Dec'26</v>
      </c>
      <c r="AQ4" s="756" t="str">
        <f>'BP - Monthly'!AQ4</f>
        <v>Jan'27</v>
      </c>
      <c r="AR4" s="751" t="str">
        <f>'BP - Monthly'!AR4</f>
        <v>Feb'27</v>
      </c>
      <c r="AS4" s="751" t="str">
        <f>'BP - Monthly'!AS4</f>
        <v>Mrt'27</v>
      </c>
      <c r="AT4" s="757" t="str">
        <f>'BP - Monthly'!AT4</f>
        <v>Apr'27</v>
      </c>
      <c r="AU4" s="756" t="str">
        <f>'BP - Monthly'!AU4</f>
        <v>Mei'27</v>
      </c>
      <c r="AV4" s="756" t="str">
        <f>'BP - Monthly'!AV4</f>
        <v>Jun'27</v>
      </c>
      <c r="AW4" s="756" t="str">
        <f>'BP - Monthly'!AW4</f>
        <v>Jul'27</v>
      </c>
      <c r="AX4" s="756" t="str">
        <f>'BP - Monthly'!AX4</f>
        <v>Aug'27</v>
      </c>
      <c r="AY4" s="756" t="str">
        <f>'BP - Monthly'!AY4</f>
        <v>Sep'27</v>
      </c>
      <c r="AZ4" s="756" t="str">
        <f>'BP - Monthly'!AZ4</f>
        <v>Okt'27</v>
      </c>
      <c r="BA4" s="756" t="str">
        <f>'BP - Monthly'!BA4</f>
        <v>Nov'27</v>
      </c>
      <c r="BB4" s="756" t="str">
        <f>'BP - Monthly'!BB4</f>
        <v>Dec'27</v>
      </c>
      <c r="BC4" s="756" t="str">
        <f>'BP - Monthly'!BC4</f>
        <v>Jan'28</v>
      </c>
      <c r="BD4" s="756" t="str">
        <f>'BP - Monthly'!BD4</f>
        <v>Feb'28</v>
      </c>
      <c r="BE4" s="756" t="str">
        <f>'BP - Monthly'!BE4</f>
        <v>Mrt'28</v>
      </c>
      <c r="BF4" s="756" t="str">
        <f>'BP - Monthly'!BF4</f>
        <v>Apr'28</v>
      </c>
      <c r="BG4" s="756" t="str">
        <f>'BP - Monthly'!BG4</f>
        <v>Mei'28</v>
      </c>
      <c r="BH4" s="756" t="str">
        <f>'BP - Monthly'!BH4</f>
        <v>Jun'28</v>
      </c>
      <c r="BI4" s="756" t="str">
        <f>'BP - Monthly'!BI4</f>
        <v>Jul'28</v>
      </c>
      <c r="BJ4" s="756" t="str">
        <f>'BP - Monthly'!BJ4</f>
        <v>Aug'28</v>
      </c>
      <c r="BK4" s="756" t="str">
        <f>'BP - Monthly'!BK4</f>
        <v>Sep'28</v>
      </c>
      <c r="BL4" s="756" t="str">
        <f>'BP - Monthly'!BL4</f>
        <v>Okt'28</v>
      </c>
      <c r="BM4" s="756" t="str">
        <f>'BP - Monthly'!BM4</f>
        <v>Nov'28</v>
      </c>
      <c r="BN4" s="756" t="str">
        <f>'BP - Monthly'!BN4</f>
        <v>Dec'28</v>
      </c>
    </row>
    <row r="5" spans="1:66" x14ac:dyDescent="0.25">
      <c r="C5" s="497" t="s">
        <v>924</v>
      </c>
      <c r="D5" s="5"/>
      <c r="E5" s="5"/>
      <c r="F5" s="21"/>
      <c r="G5" s="509"/>
      <c r="H5" s="509"/>
      <c r="I5" s="509"/>
      <c r="J5" s="509"/>
      <c r="K5" s="509"/>
      <c r="L5" s="509"/>
      <c r="M5" s="509"/>
      <c r="N5" s="509"/>
      <c r="O5" s="509"/>
      <c r="P5" s="509"/>
      <c r="Q5" s="509"/>
      <c r="R5" s="509"/>
      <c r="S5" s="509"/>
      <c r="T5" s="509"/>
      <c r="U5" s="509"/>
      <c r="V5" s="509"/>
      <c r="W5" s="509"/>
      <c r="X5" s="509"/>
      <c r="Y5" s="509"/>
      <c r="Z5" s="509"/>
      <c r="AA5" s="509"/>
      <c r="AB5" s="509"/>
      <c r="AC5" s="509"/>
      <c r="AD5" s="509"/>
      <c r="AE5" s="509"/>
      <c r="AF5" s="509"/>
      <c r="AG5" s="509"/>
      <c r="AH5" s="509"/>
      <c r="AI5" s="509"/>
      <c r="AJ5" s="509"/>
      <c r="AK5" s="509"/>
      <c r="AL5" s="509"/>
      <c r="AM5" s="509"/>
      <c r="AN5" s="509"/>
      <c r="AO5" s="509"/>
      <c r="AP5" s="509"/>
      <c r="AQ5" s="509"/>
      <c r="AR5" s="509"/>
      <c r="AS5" s="509"/>
      <c r="AT5" s="509"/>
      <c r="AU5" s="509"/>
      <c r="AV5" s="509"/>
      <c r="AW5" s="509"/>
      <c r="AX5" s="509"/>
      <c r="AY5" s="509"/>
      <c r="AZ5" s="509"/>
      <c r="BA5" s="509"/>
      <c r="BB5" s="509"/>
    </row>
    <row r="6" spans="1:66" x14ac:dyDescent="0.25">
      <c r="C6" s="497" t="s">
        <v>925</v>
      </c>
      <c r="D6" s="5"/>
      <c r="E6" s="5"/>
      <c r="F6" s="21"/>
      <c r="G6" s="509"/>
      <c r="H6" s="509"/>
      <c r="I6" s="509"/>
      <c r="J6" s="509"/>
      <c r="K6" s="509"/>
      <c r="L6" s="509"/>
      <c r="M6" s="509"/>
      <c r="N6" s="509"/>
      <c r="O6" s="509"/>
      <c r="P6" s="509"/>
      <c r="Q6" s="509"/>
      <c r="R6" s="509"/>
      <c r="S6" s="509"/>
      <c r="T6" s="509"/>
      <c r="U6" s="509"/>
      <c r="V6" s="509"/>
      <c r="W6" s="509"/>
      <c r="X6" s="509"/>
      <c r="Y6" s="509"/>
      <c r="Z6" s="509"/>
      <c r="AA6" s="509"/>
      <c r="AB6" s="509"/>
      <c r="AC6" s="509"/>
      <c r="AD6" s="509"/>
      <c r="AE6" s="509"/>
      <c r="AF6" s="509"/>
      <c r="AG6" s="509"/>
      <c r="AH6" s="509"/>
      <c r="AI6" s="509"/>
      <c r="AJ6" s="509"/>
      <c r="AK6" s="509"/>
      <c r="AL6" s="509"/>
      <c r="AM6" s="509"/>
      <c r="AN6" s="509"/>
      <c r="AO6" s="509"/>
      <c r="AP6" s="509"/>
      <c r="AQ6" s="509"/>
      <c r="AR6" s="509"/>
      <c r="AS6" s="509"/>
      <c r="AT6" s="509"/>
      <c r="AU6" s="509"/>
      <c r="AV6" s="509"/>
      <c r="AW6" s="509"/>
      <c r="AX6" s="509"/>
      <c r="AY6" s="509"/>
      <c r="AZ6" s="509"/>
      <c r="BA6" s="509"/>
      <c r="BB6" s="509"/>
    </row>
    <row r="7" spans="1:66" x14ac:dyDescent="0.25">
      <c r="C7" s="497" t="s">
        <v>829</v>
      </c>
      <c r="D7" s="5"/>
      <c r="E7" s="5"/>
      <c r="F7" s="21"/>
      <c r="G7" s="509"/>
      <c r="H7" s="509"/>
      <c r="I7" s="509"/>
      <c r="J7" s="509"/>
      <c r="K7" s="509"/>
      <c r="L7" s="509"/>
      <c r="M7" s="509"/>
      <c r="N7" s="509"/>
      <c r="O7" s="509"/>
      <c r="P7" s="509"/>
      <c r="Q7" s="509"/>
      <c r="R7" s="509"/>
      <c r="S7" s="509"/>
      <c r="T7" s="509"/>
      <c r="U7" s="509"/>
      <c r="V7" s="509"/>
      <c r="W7" s="509"/>
      <c r="X7" s="509"/>
      <c r="Y7" s="509"/>
      <c r="Z7" s="509"/>
      <c r="AA7" s="509"/>
      <c r="AB7" s="509"/>
      <c r="AC7" s="509"/>
      <c r="AD7" s="509"/>
      <c r="AE7" s="509"/>
      <c r="AF7" s="509"/>
      <c r="AG7" s="509"/>
      <c r="AH7" s="509"/>
      <c r="AI7" s="509"/>
      <c r="AJ7" s="509"/>
      <c r="AK7" s="509"/>
      <c r="AL7" s="509"/>
      <c r="AM7" s="509"/>
      <c r="AN7" s="509"/>
      <c r="AO7" s="509"/>
      <c r="AP7" s="509"/>
      <c r="AQ7" s="509"/>
      <c r="AR7" s="509"/>
      <c r="AS7" s="509"/>
      <c r="AT7" s="509"/>
      <c r="AU7" s="509"/>
      <c r="AV7" s="509"/>
      <c r="AW7" s="509"/>
      <c r="AX7" s="509"/>
      <c r="AY7" s="509"/>
      <c r="AZ7" s="509"/>
      <c r="BA7" s="509"/>
      <c r="BB7" s="509"/>
    </row>
    <row r="8" spans="1:66" x14ac:dyDescent="0.25">
      <c r="C8" s="497" t="s">
        <v>929</v>
      </c>
      <c r="D8" s="5"/>
      <c r="E8" s="5"/>
      <c r="F8" s="21"/>
      <c r="G8" s="509"/>
      <c r="H8" s="509"/>
      <c r="I8" s="509"/>
      <c r="J8" s="509"/>
      <c r="K8" s="509"/>
      <c r="L8" s="509"/>
      <c r="M8" s="509"/>
      <c r="N8" s="509"/>
      <c r="O8" s="509"/>
      <c r="P8" s="509"/>
      <c r="Q8" s="509"/>
      <c r="R8" s="509"/>
      <c r="S8" s="509"/>
      <c r="T8" s="509"/>
      <c r="U8" s="509"/>
      <c r="V8" s="509"/>
      <c r="W8" s="509"/>
      <c r="X8" s="509"/>
      <c r="Y8" s="509"/>
      <c r="Z8" s="509"/>
      <c r="AA8" s="509"/>
      <c r="AB8" s="509"/>
      <c r="AC8" s="509"/>
      <c r="AD8" s="509"/>
      <c r="AE8" s="509"/>
      <c r="AF8" s="509"/>
      <c r="AG8" s="509"/>
      <c r="AH8" s="509"/>
      <c r="AI8" s="509"/>
      <c r="AJ8" s="509"/>
      <c r="AK8" s="509"/>
      <c r="AL8" s="509"/>
      <c r="AM8" s="509"/>
      <c r="AN8" s="509"/>
      <c r="AO8" s="509"/>
      <c r="AP8" s="509"/>
      <c r="AQ8" s="509"/>
      <c r="AR8" s="509"/>
      <c r="AS8" s="509"/>
      <c r="AT8" s="509"/>
      <c r="AU8" s="509"/>
      <c r="AV8" s="509"/>
      <c r="AW8" s="509"/>
      <c r="AX8" s="509"/>
      <c r="AY8" s="509"/>
      <c r="AZ8" s="509"/>
      <c r="BA8" s="509"/>
      <c r="BB8" s="509"/>
    </row>
    <row r="9" spans="1:66" x14ac:dyDescent="0.25">
      <c r="C9" s="497" t="s">
        <v>928</v>
      </c>
      <c r="D9" s="5"/>
      <c r="E9" s="5"/>
      <c r="F9" s="21"/>
      <c r="G9" s="509"/>
      <c r="H9" s="509"/>
      <c r="I9" s="509"/>
      <c r="J9" s="509"/>
      <c r="K9" s="509"/>
      <c r="L9" s="509"/>
      <c r="M9" s="509"/>
      <c r="N9" s="509"/>
      <c r="O9" s="509"/>
      <c r="P9" s="509"/>
      <c r="Q9" s="509"/>
      <c r="R9" s="509"/>
      <c r="S9" s="509"/>
      <c r="T9" s="509"/>
      <c r="U9" s="509"/>
      <c r="V9" s="509"/>
      <c r="W9" s="509"/>
      <c r="X9" s="509"/>
      <c r="Y9" s="509"/>
      <c r="Z9" s="509"/>
      <c r="AA9" s="509"/>
      <c r="AB9" s="509"/>
      <c r="AC9" s="509"/>
      <c r="AD9" s="509"/>
      <c r="AE9" s="509"/>
      <c r="AF9" s="509"/>
      <c r="AG9" s="509"/>
      <c r="AH9" s="509"/>
      <c r="AI9" s="509"/>
      <c r="AJ9" s="509"/>
      <c r="AK9" s="509"/>
      <c r="AL9" s="509"/>
      <c r="AM9" s="509"/>
      <c r="AN9" s="509"/>
      <c r="AO9" s="509"/>
      <c r="AP9" s="509"/>
      <c r="AQ9" s="509"/>
      <c r="AR9" s="509"/>
      <c r="AS9" s="509"/>
      <c r="AT9" s="509"/>
      <c r="AU9" s="509"/>
      <c r="AV9" s="509"/>
      <c r="AW9" s="509"/>
      <c r="AX9" s="509"/>
      <c r="AY9" s="509"/>
      <c r="AZ9" s="509"/>
      <c r="BA9" s="509"/>
      <c r="BB9" s="509"/>
    </row>
    <row r="10" spans="1:66" x14ac:dyDescent="0.25">
      <c r="C10" s="497" t="s">
        <v>930</v>
      </c>
      <c r="D10" s="5"/>
      <c r="E10" s="5"/>
      <c r="F10" s="21"/>
      <c r="G10" s="509"/>
      <c r="H10" s="509"/>
      <c r="I10" s="509"/>
      <c r="J10" s="509"/>
      <c r="K10" s="509"/>
      <c r="L10" s="509"/>
      <c r="M10" s="509"/>
      <c r="N10" s="509"/>
      <c r="O10" s="509"/>
      <c r="P10" s="509"/>
      <c r="Q10" s="509"/>
      <c r="R10" s="509"/>
      <c r="S10" s="509"/>
      <c r="T10" s="509"/>
      <c r="U10" s="509"/>
      <c r="V10" s="509"/>
      <c r="W10" s="509"/>
      <c r="X10" s="509"/>
      <c r="Y10" s="509"/>
      <c r="Z10" s="509"/>
      <c r="AA10" s="509"/>
      <c r="AB10" s="509"/>
      <c r="AC10" s="509"/>
      <c r="AD10" s="509"/>
      <c r="AE10" s="509"/>
      <c r="AF10" s="509"/>
      <c r="AG10" s="509"/>
      <c r="AH10" s="509"/>
      <c r="AI10" s="509"/>
      <c r="AJ10" s="509"/>
      <c r="AK10" s="509"/>
      <c r="AL10" s="509"/>
      <c r="AM10" s="509"/>
      <c r="AN10" s="509"/>
      <c r="AO10" s="509"/>
      <c r="AP10" s="509"/>
      <c r="AQ10" s="509"/>
      <c r="AR10" s="509"/>
      <c r="AS10" s="509"/>
      <c r="AT10" s="509"/>
      <c r="AU10" s="509"/>
      <c r="AV10" s="509"/>
      <c r="AW10" s="509"/>
      <c r="AX10" s="509"/>
      <c r="AY10" s="509"/>
      <c r="AZ10" s="509"/>
      <c r="BA10" s="509"/>
      <c r="BB10" s="509"/>
    </row>
    <row r="11" spans="1:66" x14ac:dyDescent="0.25">
      <c r="C11" s="500" t="s">
        <v>544</v>
      </c>
      <c r="D11" s="510">
        <f t="shared" ref="D11:F11" si="0">SUM(D5:D10)</f>
        <v>0</v>
      </c>
      <c r="E11" s="510">
        <f t="shared" si="0"/>
        <v>0</v>
      </c>
      <c r="F11" s="510">
        <f t="shared" si="0"/>
        <v>0</v>
      </c>
      <c r="G11" s="510">
        <f t="shared" ref="G11" si="1">SUM(G5:G10)</f>
        <v>0</v>
      </c>
      <c r="H11" s="510">
        <f t="shared" ref="H11" si="2">SUM(H5:H10)</f>
        <v>0</v>
      </c>
      <c r="I11" s="510">
        <f t="shared" ref="I11" si="3">SUM(I5:I10)</f>
        <v>0</v>
      </c>
      <c r="J11" s="510">
        <f t="shared" ref="J11" si="4">SUM(J5:J10)</f>
        <v>0</v>
      </c>
      <c r="K11" s="510">
        <f t="shared" ref="K11" si="5">SUM(K5:K10)</f>
        <v>0</v>
      </c>
      <c r="L11" s="510">
        <f t="shared" ref="L11" si="6">SUM(L5:L10)</f>
        <v>0</v>
      </c>
      <c r="M11" s="510">
        <f t="shared" ref="M11" si="7">SUM(M5:M10)</f>
        <v>0</v>
      </c>
      <c r="N11" s="510">
        <f t="shared" ref="N11" si="8">SUM(N5:N10)</f>
        <v>0</v>
      </c>
      <c r="O11" s="510">
        <f t="shared" ref="O11" si="9">SUM(O5:O10)</f>
        <v>0</v>
      </c>
      <c r="P11" s="510">
        <f t="shared" ref="P11" si="10">SUM(P5:P10)</f>
        <v>0</v>
      </c>
      <c r="Q11" s="510">
        <f t="shared" ref="Q11" si="11">SUM(Q5:Q10)</f>
        <v>0</v>
      </c>
      <c r="R11" s="510">
        <f t="shared" ref="R11" si="12">SUM(R5:R10)</f>
        <v>0</v>
      </c>
      <c r="S11" s="510">
        <f t="shared" ref="S11" si="13">SUM(S5:S10)</f>
        <v>0</v>
      </c>
      <c r="T11" s="510">
        <f t="shared" ref="T11" si="14">SUM(T5:T10)</f>
        <v>0</v>
      </c>
      <c r="U11" s="510">
        <f t="shared" ref="U11" si="15">SUM(U5:U10)</f>
        <v>0</v>
      </c>
      <c r="V11" s="510">
        <f t="shared" ref="V11" si="16">SUM(V5:V10)</f>
        <v>0</v>
      </c>
      <c r="W11" s="510">
        <f t="shared" ref="W11" si="17">SUM(W5:W10)</f>
        <v>0</v>
      </c>
      <c r="X11" s="510">
        <f t="shared" ref="X11" si="18">SUM(X5:X10)</f>
        <v>0</v>
      </c>
      <c r="Y11" s="510">
        <f t="shared" ref="Y11" si="19">SUM(Y5:Y10)</f>
        <v>0</v>
      </c>
      <c r="Z11" s="510">
        <f t="shared" ref="Z11" si="20">SUM(Z5:Z10)</f>
        <v>0</v>
      </c>
      <c r="AA11" s="510">
        <f t="shared" ref="AA11" si="21">SUM(AA5:AA10)</f>
        <v>0</v>
      </c>
      <c r="AB11" s="510">
        <f t="shared" ref="AB11" si="22">SUM(AB5:AB10)</f>
        <v>0</v>
      </c>
      <c r="AC11" s="510">
        <f t="shared" ref="AC11" si="23">SUM(AC5:AC10)</f>
        <v>0</v>
      </c>
      <c r="AD11" s="510">
        <f t="shared" ref="AD11" si="24">SUM(AD5:AD10)</f>
        <v>0</v>
      </c>
      <c r="AE11" s="510">
        <f t="shared" ref="AE11" si="25">SUM(AE5:AE10)</f>
        <v>0</v>
      </c>
      <c r="AF11" s="510">
        <f t="shared" ref="AF11" si="26">SUM(AF5:AF10)</f>
        <v>0</v>
      </c>
      <c r="AG11" s="510">
        <f t="shared" ref="AG11" si="27">SUM(AG5:AG10)</f>
        <v>0</v>
      </c>
      <c r="AH11" s="510">
        <f t="shared" ref="AH11" si="28">SUM(AH5:AH10)</f>
        <v>0</v>
      </c>
      <c r="AI11" s="510">
        <f t="shared" ref="AI11" si="29">SUM(AI5:AI10)</f>
        <v>0</v>
      </c>
      <c r="AJ11" s="510">
        <f t="shared" ref="AJ11" si="30">SUM(AJ5:AJ10)</f>
        <v>0</v>
      </c>
      <c r="AK11" s="510">
        <f t="shared" ref="AK11" si="31">SUM(AK5:AK10)</f>
        <v>0</v>
      </c>
      <c r="AL11" s="510">
        <f t="shared" ref="AL11" si="32">SUM(AL5:AL10)</f>
        <v>0</v>
      </c>
      <c r="AM11" s="510">
        <f t="shared" ref="AM11" si="33">SUM(AM5:AM10)</f>
        <v>0</v>
      </c>
      <c r="AN11" s="510">
        <f t="shared" ref="AN11" si="34">SUM(AN5:AN10)</f>
        <v>0</v>
      </c>
      <c r="AO11" s="510">
        <f t="shared" ref="AO11" si="35">SUM(AO5:AO10)</f>
        <v>0</v>
      </c>
      <c r="AP11" s="510">
        <f t="shared" ref="AP11" si="36">SUM(AP5:AP10)</f>
        <v>0</v>
      </c>
      <c r="AQ11" s="510">
        <f t="shared" ref="AQ11" si="37">SUM(AQ5:AQ10)</f>
        <v>0</v>
      </c>
      <c r="AR11" s="510">
        <f t="shared" ref="AR11" si="38">SUM(AR5:AR10)</f>
        <v>0</v>
      </c>
      <c r="AS11" s="510">
        <f t="shared" ref="AS11" si="39">SUM(AS5:AS10)</f>
        <v>0</v>
      </c>
      <c r="AT11" s="510">
        <f t="shared" ref="AT11" si="40">SUM(AT5:AT10)</f>
        <v>0</v>
      </c>
      <c r="AU11" s="510">
        <f t="shared" ref="AU11" si="41">SUM(AU5:AU10)</f>
        <v>0</v>
      </c>
      <c r="AV11" s="510">
        <f t="shared" ref="AV11" si="42">SUM(AV5:AV10)</f>
        <v>0</v>
      </c>
      <c r="AW11" s="510">
        <f t="shared" ref="AW11" si="43">SUM(AW5:AW10)</f>
        <v>0</v>
      </c>
      <c r="AX11" s="510">
        <f t="shared" ref="AX11" si="44">SUM(AX5:AX10)</f>
        <v>0</v>
      </c>
      <c r="AY11" s="510">
        <f t="shared" ref="AY11" si="45">SUM(AY5:AY10)</f>
        <v>0</v>
      </c>
      <c r="AZ11" s="510">
        <f t="shared" ref="AZ11" si="46">SUM(AZ5:AZ10)</f>
        <v>0</v>
      </c>
      <c r="BA11" s="510">
        <f t="shared" ref="BA11" si="47">SUM(BA5:BA10)</f>
        <v>0</v>
      </c>
      <c r="BB11" s="510">
        <f t="shared" ref="BB11" si="48">SUM(BB5:BB10)</f>
        <v>0</v>
      </c>
      <c r="BC11" s="510">
        <f t="shared" ref="BC11" si="49">SUM(BC5:BC10)</f>
        <v>0</v>
      </c>
      <c r="BD11" s="510">
        <f t="shared" ref="BD11" si="50">SUM(BD5:BD10)</f>
        <v>0</v>
      </c>
      <c r="BE11" s="510">
        <f t="shared" ref="BE11" si="51">SUM(BE5:BE10)</f>
        <v>0</v>
      </c>
      <c r="BF11" s="510">
        <f t="shared" ref="BF11" si="52">SUM(BF5:BF10)</f>
        <v>0</v>
      </c>
      <c r="BG11" s="510">
        <f t="shared" ref="BG11" si="53">SUM(BG5:BG10)</f>
        <v>0</v>
      </c>
      <c r="BH11" s="510">
        <f t="shared" ref="BH11" si="54">SUM(BH5:BH10)</f>
        <v>0</v>
      </c>
      <c r="BI11" s="510">
        <f t="shared" ref="BI11" si="55">SUM(BI5:BI10)</f>
        <v>0</v>
      </c>
      <c r="BJ11" s="510">
        <f t="shared" ref="BJ11" si="56">SUM(BJ5:BJ10)</f>
        <v>0</v>
      </c>
      <c r="BK11" s="510">
        <f t="shared" ref="BK11" si="57">SUM(BK5:BK10)</f>
        <v>0</v>
      </c>
      <c r="BL11" s="510">
        <f t="shared" ref="BL11" si="58">SUM(BL5:BL10)</f>
        <v>0</v>
      </c>
      <c r="BM11" s="510">
        <f t="shared" ref="BM11" si="59">SUM(BM5:BM10)</f>
        <v>0</v>
      </c>
      <c r="BN11" s="510">
        <f t="shared" ref="BN11" si="60">SUM(BN5:BN10)</f>
        <v>0</v>
      </c>
    </row>
    <row r="13" spans="1:66" outlineLevel="1" x14ac:dyDescent="0.25">
      <c r="A13" s="431">
        <f>SUM(G13:BN13)</f>
        <v>0</v>
      </c>
      <c r="B13" s="430" t="s">
        <v>5</v>
      </c>
      <c r="C13" s="417"/>
      <c r="D13" s="5"/>
      <c r="E13" s="5"/>
      <c r="F13" s="21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</row>
    <row r="34" spans="1:66" x14ac:dyDescent="0.25">
      <c r="C34" s="500" t="str">
        <f>"Personeelskosten (incl. management) - "&amp;Historiek!A2</f>
        <v>Personeelskosten (incl. management) - Dossier</v>
      </c>
      <c r="D34" s="500"/>
      <c r="E34" s="500"/>
      <c r="F34" s="500"/>
      <c r="H34" s="497"/>
    </row>
    <row r="35" spans="1:66" x14ac:dyDescent="0.25">
      <c r="C35" s="753" t="str">
        <f>'BP - Monthly'!C4</f>
        <v>k€</v>
      </c>
      <c r="D35" s="758" t="str">
        <f>'BP - Monthly'!D4</f>
        <v>FY21</v>
      </c>
      <c r="E35" s="758" t="str">
        <f>'BP - Monthly'!E4</f>
        <v>FY22</v>
      </c>
      <c r="F35" s="743" t="str">
        <f>'BP - Monthly'!F4</f>
        <v>FY23</v>
      </c>
      <c r="G35" s="756" t="str">
        <f>'BP - Monthly'!G4</f>
        <v>Jan'24</v>
      </c>
      <c r="H35" s="758" t="str">
        <f>'BP - Monthly'!H4</f>
        <v>Feb'24</v>
      </c>
      <c r="I35" s="758" t="str">
        <f>'BP - Monthly'!I4</f>
        <v>Mrt'24</v>
      </c>
      <c r="J35" s="758" t="str">
        <f>'BP - Monthly'!J4</f>
        <v>Apr'24</v>
      </c>
      <c r="K35" s="758" t="str">
        <f>'BP - Monthly'!K4</f>
        <v>Mei'24</v>
      </c>
      <c r="L35" s="758" t="str">
        <f>'BP - Monthly'!L4</f>
        <v>Jun'24</v>
      </c>
      <c r="M35" s="758" t="str">
        <f>'BP - Monthly'!M4</f>
        <v>Jul'24</v>
      </c>
      <c r="N35" s="758" t="str">
        <f>'BP - Monthly'!N4</f>
        <v>Aug'24</v>
      </c>
      <c r="O35" s="758" t="str">
        <f>'BP - Monthly'!O4</f>
        <v>Sep'24</v>
      </c>
      <c r="P35" s="758" t="str">
        <f>'BP - Monthly'!P4</f>
        <v>Okt'24</v>
      </c>
      <c r="Q35" s="758" t="str">
        <f>'BP - Monthly'!Q4</f>
        <v>Nov'24</v>
      </c>
      <c r="R35" s="758" t="str">
        <f>'BP - Monthly'!R4</f>
        <v>Dec'24</v>
      </c>
      <c r="S35" s="758" t="str">
        <f>'BP - Monthly'!S4</f>
        <v>Jan'25</v>
      </c>
      <c r="T35" s="758" t="str">
        <f>'BP - Monthly'!T4</f>
        <v>Feb'25</v>
      </c>
      <c r="U35" s="758" t="str">
        <f>'BP - Monthly'!U4</f>
        <v>Mrt'25</v>
      </c>
      <c r="V35" s="758" t="str">
        <f>'BP - Monthly'!V4</f>
        <v>Apr'25</v>
      </c>
      <c r="W35" s="758" t="str">
        <f>'BP - Monthly'!W4</f>
        <v>Mei'25</v>
      </c>
      <c r="X35" s="758" t="str">
        <f>'BP - Monthly'!X4</f>
        <v>Jun'25</v>
      </c>
      <c r="Y35" s="758" t="str">
        <f>'BP - Monthly'!Y4</f>
        <v>Jul'25</v>
      </c>
      <c r="Z35" s="758" t="str">
        <f>'BP - Monthly'!Z4</f>
        <v>Aug'25</v>
      </c>
      <c r="AA35" s="758" t="str">
        <f>'BP - Monthly'!AA4</f>
        <v>Sep'25</v>
      </c>
      <c r="AB35" s="758" t="str">
        <f>'BP - Monthly'!AB4</f>
        <v>Okt'25</v>
      </c>
      <c r="AC35" s="758" t="str">
        <f>'BP - Monthly'!AC4</f>
        <v>Nov'25</v>
      </c>
      <c r="AD35" s="758" t="str">
        <f>'BP - Monthly'!AD4</f>
        <v>Dec'25</v>
      </c>
      <c r="AE35" s="758" t="str">
        <f>'BP - Monthly'!AE4</f>
        <v>Jan'26</v>
      </c>
      <c r="AF35" s="758" t="str">
        <f>'BP - Monthly'!AF4</f>
        <v>Feb'26</v>
      </c>
      <c r="AG35" s="758" t="str">
        <f>'BP - Monthly'!AG4</f>
        <v>Mrt'26</v>
      </c>
      <c r="AH35" s="758" t="str">
        <f>'BP - Monthly'!AH4</f>
        <v>Apr'26</v>
      </c>
      <c r="AI35" s="758" t="str">
        <f>'BP - Monthly'!AI4</f>
        <v>Mei'26</v>
      </c>
      <c r="AJ35" s="758" t="str">
        <f>'BP - Monthly'!AJ4</f>
        <v>Jun'26</v>
      </c>
      <c r="AK35" s="758" t="str">
        <f>'BP - Monthly'!AK4</f>
        <v>Jul'26</v>
      </c>
      <c r="AL35" s="758" t="str">
        <f>'BP - Monthly'!AL4</f>
        <v>Aug'26</v>
      </c>
      <c r="AM35" s="758" t="str">
        <f>'BP - Monthly'!AM4</f>
        <v>Sep'26</v>
      </c>
      <c r="AN35" s="758" t="str">
        <f>'BP - Monthly'!AN4</f>
        <v>Okt'26</v>
      </c>
      <c r="AO35" s="758" t="str">
        <f>'BP - Monthly'!AO4</f>
        <v>Nov'26</v>
      </c>
      <c r="AP35" s="758" t="str">
        <f>'BP - Monthly'!AP4</f>
        <v>Dec'26</v>
      </c>
      <c r="AQ35" s="758" t="str">
        <f>'BP - Monthly'!AQ4</f>
        <v>Jan'27</v>
      </c>
      <c r="AR35" s="758" t="str">
        <f>'BP - Monthly'!AR4</f>
        <v>Feb'27</v>
      </c>
      <c r="AS35" s="758" t="str">
        <f>'BP - Monthly'!AS4</f>
        <v>Mrt'27</v>
      </c>
      <c r="AT35" s="758" t="str">
        <f>'BP - Monthly'!AT4</f>
        <v>Apr'27</v>
      </c>
      <c r="AU35" s="758" t="str">
        <f>'BP - Monthly'!AU4</f>
        <v>Mei'27</v>
      </c>
      <c r="AV35" s="758" t="str">
        <f>'BP - Monthly'!AV4</f>
        <v>Jun'27</v>
      </c>
      <c r="AW35" s="758" t="str">
        <f>'BP - Monthly'!AW4</f>
        <v>Jul'27</v>
      </c>
      <c r="AX35" s="758" t="str">
        <f>'BP - Monthly'!AX4</f>
        <v>Aug'27</v>
      </c>
      <c r="AY35" s="758" t="str">
        <f>'BP - Monthly'!AY4</f>
        <v>Sep'27</v>
      </c>
      <c r="AZ35" s="758" t="str">
        <f>'BP - Monthly'!AZ4</f>
        <v>Okt'27</v>
      </c>
      <c r="BA35" s="758" t="str">
        <f>'BP - Monthly'!BA4</f>
        <v>Nov'27</v>
      </c>
      <c r="BB35" s="758" t="str">
        <f>'BP - Monthly'!BB4</f>
        <v>Dec'27</v>
      </c>
      <c r="BC35" s="758" t="str">
        <f>'BP - Monthly'!BC4</f>
        <v>Jan'28</v>
      </c>
      <c r="BD35" s="758" t="str">
        <f>'BP - Monthly'!BD4</f>
        <v>Feb'28</v>
      </c>
      <c r="BE35" s="758" t="str">
        <f>'BP - Monthly'!BE4</f>
        <v>Mrt'28</v>
      </c>
      <c r="BF35" s="758" t="str">
        <f>'BP - Monthly'!BF4</f>
        <v>Apr'28</v>
      </c>
      <c r="BG35" s="758" t="str">
        <f>'BP - Monthly'!BG4</f>
        <v>Mei'28</v>
      </c>
      <c r="BH35" s="758" t="str">
        <f>'BP - Monthly'!BH4</f>
        <v>Jun'28</v>
      </c>
      <c r="BI35" s="758" t="str">
        <f>'BP - Monthly'!BI4</f>
        <v>Jul'28</v>
      </c>
      <c r="BJ35" s="758" t="str">
        <f>'BP - Monthly'!BJ4</f>
        <v>Aug'28</v>
      </c>
      <c r="BK35" s="758" t="str">
        <f>'BP - Monthly'!BK4</f>
        <v>Sep'28</v>
      </c>
      <c r="BL35" s="758" t="str">
        <f>'BP - Monthly'!BL4</f>
        <v>Okt'28</v>
      </c>
      <c r="BM35" s="758" t="str">
        <f>'BP - Monthly'!BM4</f>
        <v>Nov'28</v>
      </c>
      <c r="BN35" s="758" t="str">
        <f>'BP - Monthly'!BN4</f>
        <v>Dec'28</v>
      </c>
    </row>
    <row r="36" spans="1:66" x14ac:dyDescent="0.25">
      <c r="C36" s="497" t="s">
        <v>924</v>
      </c>
      <c r="G36" s="511"/>
      <c r="H36" s="511"/>
      <c r="I36" s="511"/>
      <c r="J36" s="511"/>
      <c r="K36" s="511"/>
      <c r="L36" s="511"/>
      <c r="M36" s="511"/>
      <c r="N36" s="511"/>
      <c r="O36" s="511"/>
      <c r="P36" s="511"/>
      <c r="Q36" s="511"/>
      <c r="R36" s="511"/>
      <c r="S36" s="511"/>
      <c r="T36" s="511"/>
      <c r="U36" s="511"/>
      <c r="V36" s="511"/>
      <c r="W36" s="511"/>
      <c r="X36" s="511"/>
      <c r="Y36" s="511"/>
      <c r="Z36" s="511"/>
      <c r="AA36" s="511"/>
      <c r="AB36" s="511"/>
      <c r="AC36" s="511"/>
      <c r="AD36" s="511"/>
      <c r="AE36" s="511"/>
      <c r="AF36" s="511"/>
      <c r="AG36" s="511"/>
      <c r="AH36" s="511"/>
      <c r="AI36" s="511"/>
      <c r="AJ36" s="511"/>
      <c r="AK36" s="511"/>
      <c r="AL36" s="511"/>
      <c r="AM36" s="511"/>
      <c r="AN36" s="511"/>
      <c r="AO36" s="511"/>
      <c r="AP36" s="511"/>
      <c r="AQ36" s="511"/>
      <c r="AR36" s="511"/>
      <c r="AS36" s="511"/>
      <c r="AT36" s="511"/>
      <c r="AU36" s="511"/>
      <c r="AV36" s="511"/>
      <c r="AW36" s="511"/>
      <c r="AX36" s="511"/>
      <c r="AY36" s="511"/>
      <c r="AZ36" s="511"/>
      <c r="BA36" s="511"/>
      <c r="BB36" s="511"/>
    </row>
    <row r="37" spans="1:66" x14ac:dyDescent="0.25">
      <c r="C37" s="497" t="s">
        <v>925</v>
      </c>
      <c r="G37" s="511"/>
      <c r="H37" s="511"/>
      <c r="I37" s="511"/>
      <c r="J37" s="511"/>
      <c r="K37" s="511"/>
      <c r="L37" s="511"/>
      <c r="M37" s="511"/>
      <c r="N37" s="511"/>
      <c r="O37" s="511"/>
      <c r="P37" s="511"/>
      <c r="Q37" s="511"/>
      <c r="R37" s="511"/>
      <c r="S37" s="511"/>
      <c r="T37" s="511"/>
      <c r="U37" s="511"/>
      <c r="V37" s="511"/>
      <c r="W37" s="511"/>
      <c r="X37" s="511"/>
      <c r="Y37" s="511"/>
      <c r="Z37" s="511"/>
      <c r="AA37" s="511"/>
      <c r="AB37" s="511"/>
      <c r="AC37" s="511"/>
      <c r="AD37" s="511"/>
      <c r="AE37" s="511"/>
      <c r="AF37" s="511"/>
      <c r="AG37" s="511"/>
      <c r="AH37" s="511"/>
      <c r="AI37" s="511"/>
      <c r="AJ37" s="511"/>
      <c r="AK37" s="511"/>
      <c r="AL37" s="511"/>
      <c r="AM37" s="511"/>
      <c r="AN37" s="511"/>
      <c r="AO37" s="511"/>
      <c r="AP37" s="511"/>
      <c r="AQ37" s="511"/>
      <c r="AR37" s="511"/>
      <c r="AS37" s="511"/>
      <c r="AT37" s="511"/>
      <c r="AU37" s="511"/>
      <c r="AV37" s="511"/>
      <c r="AW37" s="511"/>
      <c r="AX37" s="511"/>
      <c r="AY37" s="511"/>
      <c r="AZ37" s="511"/>
      <c r="BA37" s="511"/>
      <c r="BB37" s="511"/>
    </row>
    <row r="38" spans="1:66" x14ac:dyDescent="0.25">
      <c r="C38" s="497" t="s">
        <v>829</v>
      </c>
      <c r="G38" s="511"/>
      <c r="H38" s="511"/>
      <c r="I38" s="511"/>
      <c r="J38" s="511"/>
      <c r="K38" s="511"/>
      <c r="L38" s="511"/>
      <c r="M38" s="511"/>
      <c r="N38" s="511"/>
      <c r="O38" s="511"/>
      <c r="P38" s="511"/>
      <c r="Q38" s="511"/>
      <c r="R38" s="511"/>
      <c r="S38" s="511"/>
      <c r="T38" s="511"/>
      <c r="U38" s="511"/>
      <c r="V38" s="511"/>
      <c r="W38" s="511"/>
      <c r="X38" s="511"/>
      <c r="Y38" s="511"/>
      <c r="Z38" s="511"/>
      <c r="AA38" s="511"/>
      <c r="AB38" s="511"/>
      <c r="AC38" s="511"/>
      <c r="AD38" s="511"/>
      <c r="AE38" s="511"/>
      <c r="AF38" s="511"/>
      <c r="AG38" s="511"/>
      <c r="AH38" s="511"/>
      <c r="AI38" s="511"/>
      <c r="AJ38" s="511"/>
      <c r="AK38" s="511"/>
      <c r="AL38" s="511"/>
      <c r="AM38" s="511"/>
      <c r="AN38" s="511"/>
      <c r="AO38" s="511"/>
      <c r="AP38" s="511"/>
      <c r="AQ38" s="511"/>
      <c r="AR38" s="511"/>
      <c r="AS38" s="511"/>
      <c r="AT38" s="511"/>
      <c r="AU38" s="511"/>
      <c r="AV38" s="511"/>
      <c r="AW38" s="511"/>
      <c r="AX38" s="511"/>
      <c r="AY38" s="511"/>
      <c r="AZ38" s="511"/>
      <c r="BA38" s="511"/>
      <c r="BB38" s="511"/>
    </row>
    <row r="39" spans="1:66" x14ac:dyDescent="0.25">
      <c r="C39" s="497" t="s">
        <v>929</v>
      </c>
      <c r="G39" s="511"/>
      <c r="H39" s="511"/>
      <c r="I39" s="511"/>
      <c r="J39" s="511"/>
      <c r="K39" s="511"/>
      <c r="L39" s="511"/>
      <c r="M39" s="511"/>
      <c r="N39" s="511"/>
      <c r="O39" s="511"/>
      <c r="P39" s="511"/>
      <c r="Q39" s="511"/>
      <c r="R39" s="511"/>
      <c r="S39" s="511"/>
      <c r="T39" s="511"/>
      <c r="U39" s="511"/>
      <c r="V39" s="511"/>
      <c r="W39" s="511"/>
      <c r="X39" s="511"/>
      <c r="Y39" s="511"/>
      <c r="Z39" s="511"/>
      <c r="AA39" s="511"/>
      <c r="AB39" s="511"/>
      <c r="AC39" s="511"/>
      <c r="AD39" s="511"/>
      <c r="AE39" s="511"/>
      <c r="AF39" s="511"/>
      <c r="AG39" s="511"/>
      <c r="AH39" s="511"/>
      <c r="AI39" s="511"/>
      <c r="AJ39" s="511"/>
      <c r="AK39" s="511"/>
      <c r="AL39" s="511"/>
      <c r="AM39" s="511"/>
      <c r="AN39" s="511"/>
      <c r="AO39" s="511"/>
      <c r="AP39" s="511"/>
      <c r="AQ39" s="511"/>
      <c r="AR39" s="511"/>
      <c r="AS39" s="511"/>
      <c r="AT39" s="511"/>
      <c r="AU39" s="511"/>
      <c r="AV39" s="511"/>
      <c r="AW39" s="511"/>
      <c r="AX39" s="511"/>
      <c r="AY39" s="511"/>
      <c r="AZ39" s="511"/>
      <c r="BA39" s="511"/>
      <c r="BB39" s="511"/>
    </row>
    <row r="40" spans="1:66" x14ac:dyDescent="0.25">
      <c r="C40" s="497" t="s">
        <v>928</v>
      </c>
      <c r="G40" s="511"/>
      <c r="H40" s="511"/>
      <c r="I40" s="511"/>
      <c r="J40" s="511"/>
      <c r="K40" s="511"/>
      <c r="L40" s="511"/>
      <c r="M40" s="511"/>
      <c r="N40" s="511"/>
      <c r="O40" s="511"/>
      <c r="P40" s="511"/>
      <c r="Q40" s="511"/>
      <c r="R40" s="511"/>
      <c r="S40" s="511"/>
      <c r="T40" s="511"/>
      <c r="U40" s="511"/>
      <c r="V40" s="511"/>
      <c r="W40" s="511"/>
      <c r="X40" s="511"/>
      <c r="Y40" s="511"/>
      <c r="Z40" s="511"/>
      <c r="AA40" s="511"/>
      <c r="AB40" s="511"/>
      <c r="AC40" s="511"/>
      <c r="AD40" s="511"/>
      <c r="AE40" s="511"/>
      <c r="AF40" s="511"/>
      <c r="AG40" s="511"/>
      <c r="AH40" s="511"/>
      <c r="AI40" s="511"/>
      <c r="AJ40" s="511"/>
      <c r="AK40" s="511"/>
      <c r="AL40" s="511"/>
      <c r="AM40" s="511"/>
      <c r="AN40" s="511"/>
      <c r="AO40" s="511"/>
      <c r="AP40" s="511"/>
      <c r="AQ40" s="511"/>
      <c r="AR40" s="511"/>
      <c r="AS40" s="511"/>
      <c r="AT40" s="511"/>
      <c r="AU40" s="511"/>
      <c r="AV40" s="511"/>
      <c r="AW40" s="511"/>
      <c r="AX40" s="511"/>
      <c r="AY40" s="511"/>
      <c r="AZ40" s="511"/>
      <c r="BA40" s="511"/>
      <c r="BB40" s="511"/>
    </row>
    <row r="41" spans="1:66" x14ac:dyDescent="0.25">
      <c r="C41" s="497" t="s">
        <v>930</v>
      </c>
      <c r="G41" s="511"/>
      <c r="H41" s="511"/>
      <c r="I41" s="511"/>
      <c r="J41" s="511"/>
      <c r="K41" s="511"/>
      <c r="L41" s="511"/>
      <c r="M41" s="511"/>
      <c r="N41" s="511"/>
      <c r="O41" s="511"/>
      <c r="P41" s="511"/>
      <c r="Q41" s="511"/>
      <c r="R41" s="511"/>
      <c r="S41" s="511"/>
      <c r="T41" s="511"/>
      <c r="U41" s="511"/>
      <c r="V41" s="511"/>
      <c r="W41" s="511"/>
      <c r="X41" s="511"/>
      <c r="Y41" s="511"/>
      <c r="Z41" s="511"/>
      <c r="AA41" s="511"/>
      <c r="AB41" s="511"/>
      <c r="AC41" s="511"/>
      <c r="AD41" s="511"/>
      <c r="AE41" s="511"/>
      <c r="AF41" s="511"/>
      <c r="AG41" s="511"/>
      <c r="AH41" s="511"/>
      <c r="AI41" s="511"/>
      <c r="AJ41" s="511"/>
      <c r="AK41" s="511"/>
      <c r="AL41" s="511"/>
      <c r="AM41" s="511"/>
      <c r="AN41" s="511"/>
      <c r="AO41" s="511"/>
      <c r="AP41" s="511"/>
      <c r="AQ41" s="511"/>
      <c r="AR41" s="511"/>
      <c r="AS41" s="511"/>
      <c r="AT41" s="511"/>
      <c r="AU41" s="511"/>
      <c r="AV41" s="511"/>
      <c r="AW41" s="511"/>
      <c r="AX41" s="511"/>
      <c r="AY41" s="511"/>
      <c r="AZ41" s="511"/>
      <c r="BA41" s="511"/>
      <c r="BB41" s="511"/>
    </row>
    <row r="42" spans="1:66" x14ac:dyDescent="0.25">
      <c r="C42" s="500" t="s">
        <v>544</v>
      </c>
      <c r="D42" s="510">
        <f>SUM(D36:D41)</f>
        <v>0</v>
      </c>
      <c r="E42" s="510">
        <f t="shared" ref="E42:BN42" si="61">SUM(E36:E41)</f>
        <v>0</v>
      </c>
      <c r="F42" s="510">
        <f t="shared" si="61"/>
        <v>0</v>
      </c>
      <c r="G42" s="510">
        <f t="shared" si="61"/>
        <v>0</v>
      </c>
      <c r="H42" s="510">
        <f t="shared" si="61"/>
        <v>0</v>
      </c>
      <c r="I42" s="510">
        <f t="shared" si="61"/>
        <v>0</v>
      </c>
      <c r="J42" s="510">
        <f t="shared" si="61"/>
        <v>0</v>
      </c>
      <c r="K42" s="510">
        <f t="shared" si="61"/>
        <v>0</v>
      </c>
      <c r="L42" s="510">
        <f t="shared" si="61"/>
        <v>0</v>
      </c>
      <c r="M42" s="510">
        <f t="shared" si="61"/>
        <v>0</v>
      </c>
      <c r="N42" s="510">
        <f t="shared" si="61"/>
        <v>0</v>
      </c>
      <c r="O42" s="510">
        <f t="shared" si="61"/>
        <v>0</v>
      </c>
      <c r="P42" s="510">
        <f t="shared" si="61"/>
        <v>0</v>
      </c>
      <c r="Q42" s="510">
        <f t="shared" si="61"/>
        <v>0</v>
      </c>
      <c r="R42" s="510">
        <f t="shared" si="61"/>
        <v>0</v>
      </c>
      <c r="S42" s="510">
        <f t="shared" si="61"/>
        <v>0</v>
      </c>
      <c r="T42" s="510">
        <f t="shared" si="61"/>
        <v>0</v>
      </c>
      <c r="U42" s="510">
        <f t="shared" si="61"/>
        <v>0</v>
      </c>
      <c r="V42" s="510">
        <f t="shared" si="61"/>
        <v>0</v>
      </c>
      <c r="W42" s="510">
        <f t="shared" si="61"/>
        <v>0</v>
      </c>
      <c r="X42" s="510">
        <f t="shared" si="61"/>
        <v>0</v>
      </c>
      <c r="Y42" s="510">
        <f t="shared" si="61"/>
        <v>0</v>
      </c>
      <c r="Z42" s="510">
        <f t="shared" si="61"/>
        <v>0</v>
      </c>
      <c r="AA42" s="510">
        <f t="shared" si="61"/>
        <v>0</v>
      </c>
      <c r="AB42" s="510">
        <f t="shared" si="61"/>
        <v>0</v>
      </c>
      <c r="AC42" s="510">
        <f t="shared" si="61"/>
        <v>0</v>
      </c>
      <c r="AD42" s="510">
        <f t="shared" si="61"/>
        <v>0</v>
      </c>
      <c r="AE42" s="510">
        <f t="shared" si="61"/>
        <v>0</v>
      </c>
      <c r="AF42" s="510">
        <f t="shared" si="61"/>
        <v>0</v>
      </c>
      <c r="AG42" s="510">
        <f t="shared" si="61"/>
        <v>0</v>
      </c>
      <c r="AH42" s="510">
        <f t="shared" si="61"/>
        <v>0</v>
      </c>
      <c r="AI42" s="510">
        <f t="shared" si="61"/>
        <v>0</v>
      </c>
      <c r="AJ42" s="510">
        <f t="shared" si="61"/>
        <v>0</v>
      </c>
      <c r="AK42" s="510">
        <f t="shared" si="61"/>
        <v>0</v>
      </c>
      <c r="AL42" s="510">
        <f t="shared" si="61"/>
        <v>0</v>
      </c>
      <c r="AM42" s="510">
        <f t="shared" si="61"/>
        <v>0</v>
      </c>
      <c r="AN42" s="510">
        <f t="shared" si="61"/>
        <v>0</v>
      </c>
      <c r="AO42" s="510">
        <f t="shared" si="61"/>
        <v>0</v>
      </c>
      <c r="AP42" s="510">
        <f t="shared" si="61"/>
        <v>0</v>
      </c>
      <c r="AQ42" s="510">
        <f t="shared" si="61"/>
        <v>0</v>
      </c>
      <c r="AR42" s="510">
        <f t="shared" si="61"/>
        <v>0</v>
      </c>
      <c r="AS42" s="510">
        <f t="shared" si="61"/>
        <v>0</v>
      </c>
      <c r="AT42" s="510">
        <f t="shared" si="61"/>
        <v>0</v>
      </c>
      <c r="AU42" s="510">
        <f t="shared" si="61"/>
        <v>0</v>
      </c>
      <c r="AV42" s="510">
        <f t="shared" si="61"/>
        <v>0</v>
      </c>
      <c r="AW42" s="510">
        <f t="shared" si="61"/>
        <v>0</v>
      </c>
      <c r="AX42" s="510">
        <f t="shared" si="61"/>
        <v>0</v>
      </c>
      <c r="AY42" s="510">
        <f t="shared" si="61"/>
        <v>0</v>
      </c>
      <c r="AZ42" s="510">
        <f t="shared" si="61"/>
        <v>0</v>
      </c>
      <c r="BA42" s="510">
        <f t="shared" si="61"/>
        <v>0</v>
      </c>
      <c r="BB42" s="510">
        <f t="shared" si="61"/>
        <v>0</v>
      </c>
      <c r="BC42" s="510">
        <f t="shared" si="61"/>
        <v>0</v>
      </c>
      <c r="BD42" s="510">
        <f t="shared" si="61"/>
        <v>0</v>
      </c>
      <c r="BE42" s="510">
        <f t="shared" si="61"/>
        <v>0</v>
      </c>
      <c r="BF42" s="510">
        <f t="shared" si="61"/>
        <v>0</v>
      </c>
      <c r="BG42" s="510">
        <f t="shared" si="61"/>
        <v>0</v>
      </c>
      <c r="BH42" s="510">
        <f t="shared" si="61"/>
        <v>0</v>
      </c>
      <c r="BI42" s="510">
        <f t="shared" si="61"/>
        <v>0</v>
      </c>
      <c r="BJ42" s="510">
        <f t="shared" si="61"/>
        <v>0</v>
      </c>
      <c r="BK42" s="510">
        <f t="shared" si="61"/>
        <v>0</v>
      </c>
      <c r="BL42" s="510">
        <f t="shared" si="61"/>
        <v>0</v>
      </c>
      <c r="BM42" s="510">
        <f t="shared" si="61"/>
        <v>0</v>
      </c>
      <c r="BN42" s="510">
        <f t="shared" si="61"/>
        <v>0</v>
      </c>
    </row>
    <row r="43" spans="1:66" x14ac:dyDescent="0.25">
      <c r="G43" s="511"/>
      <c r="H43" s="511"/>
      <c r="I43" s="511"/>
      <c r="J43" s="511"/>
      <c r="K43" s="511"/>
      <c r="L43" s="511"/>
      <c r="M43" s="511"/>
      <c r="N43" s="511"/>
      <c r="O43" s="511"/>
      <c r="P43" s="511"/>
      <c r="Q43" s="511"/>
      <c r="R43" s="511"/>
      <c r="S43" s="511"/>
      <c r="T43" s="511"/>
      <c r="U43" s="511"/>
      <c r="V43" s="511"/>
      <c r="W43" s="511"/>
      <c r="X43" s="511"/>
      <c r="Y43" s="511"/>
      <c r="Z43" s="511"/>
      <c r="AA43" s="511"/>
      <c r="AB43" s="511"/>
      <c r="AC43" s="511"/>
      <c r="AD43" s="511"/>
      <c r="AE43" s="511"/>
      <c r="AF43" s="511"/>
      <c r="AG43" s="511"/>
      <c r="AH43" s="511"/>
      <c r="AI43" s="511"/>
      <c r="AJ43" s="511"/>
      <c r="AK43" s="511"/>
      <c r="AL43" s="511"/>
      <c r="AM43" s="511"/>
      <c r="AN43" s="511"/>
      <c r="AO43" s="511"/>
      <c r="AP43" s="511"/>
      <c r="AQ43" s="511"/>
      <c r="AR43" s="511"/>
      <c r="AS43" s="511"/>
      <c r="AT43" s="511"/>
      <c r="AU43" s="511"/>
      <c r="AV43" s="511"/>
      <c r="AW43" s="511"/>
      <c r="AX43" s="511"/>
      <c r="AY43" s="511"/>
      <c r="AZ43" s="511"/>
      <c r="BA43" s="511"/>
      <c r="BB43" s="511"/>
    </row>
    <row r="44" spans="1:66" outlineLevel="1" x14ac:dyDescent="0.25">
      <c r="A44" s="431">
        <f>SUM(G44:BN44)</f>
        <v>0</v>
      </c>
      <c r="B44" s="430" t="s">
        <v>5</v>
      </c>
      <c r="C44" s="417"/>
      <c r="D44" s="5"/>
      <c r="E44" s="5"/>
      <c r="F44" s="21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/>
      <c r="BM44" s="8"/>
      <c r="BN44" s="8"/>
    </row>
    <row r="45" spans="1:66" x14ac:dyDescent="0.25">
      <c r="G45" s="511"/>
      <c r="H45" s="511"/>
      <c r="I45" s="511"/>
      <c r="J45" s="511"/>
      <c r="K45" s="511"/>
      <c r="L45" s="511"/>
      <c r="M45" s="8"/>
      <c r="N45" s="8"/>
      <c r="O45" s="8"/>
      <c r="P45" s="8"/>
      <c r="Q45" s="8"/>
      <c r="R45" s="8"/>
      <c r="S45" s="8"/>
      <c r="T45" s="511"/>
      <c r="U45" s="511"/>
      <c r="V45" s="511"/>
      <c r="W45" s="511"/>
      <c r="X45" s="511"/>
      <c r="Y45" s="511"/>
      <c r="Z45" s="511"/>
      <c r="AA45" s="511"/>
      <c r="AB45" s="511"/>
      <c r="AC45" s="511"/>
      <c r="AD45" s="511"/>
      <c r="AE45" s="511"/>
      <c r="AF45" s="511"/>
      <c r="AG45" s="511"/>
      <c r="AH45" s="511"/>
      <c r="AI45" s="511"/>
      <c r="AJ45" s="511"/>
      <c r="AK45" s="511"/>
      <c r="AL45" s="511"/>
      <c r="AM45" s="511"/>
      <c r="AN45" s="511"/>
      <c r="AO45" s="511"/>
      <c r="AP45" s="511"/>
      <c r="AQ45" s="511"/>
      <c r="AR45" s="511"/>
      <c r="AS45" s="511"/>
      <c r="AT45" s="511"/>
      <c r="AU45" s="511"/>
      <c r="AV45" s="511"/>
      <c r="AW45" s="511"/>
      <c r="AX45" s="511"/>
      <c r="AY45" s="511"/>
      <c r="AZ45" s="511"/>
      <c r="BA45" s="511"/>
      <c r="BB45" s="511"/>
    </row>
    <row r="46" spans="1:66" x14ac:dyDescent="0.25">
      <c r="C46" s="500" t="str">
        <f>"Personeelskosten (incl. management) - "&amp;Historiek!A2</f>
        <v>Personeelskosten (incl. management) - Dossier</v>
      </c>
      <c r="D46" s="500"/>
      <c r="E46" s="500"/>
      <c r="F46" s="500"/>
      <c r="H46" s="497"/>
      <c r="M46" s="8"/>
      <c r="N46" s="8"/>
      <c r="O46" s="8"/>
      <c r="P46" s="8"/>
      <c r="Q46" s="8"/>
      <c r="R46" s="8"/>
      <c r="S46" s="8"/>
      <c r="T46" s="511"/>
      <c r="U46" s="511"/>
      <c r="V46" s="511"/>
      <c r="W46" s="511"/>
      <c r="X46" s="511"/>
      <c r="Y46" s="511"/>
      <c r="Z46" s="511"/>
      <c r="AA46" s="511"/>
      <c r="AB46" s="511"/>
      <c r="AC46" s="511"/>
      <c r="AD46" s="511"/>
      <c r="AE46" s="511"/>
      <c r="AF46" s="511"/>
      <c r="AG46" s="511"/>
      <c r="AH46" s="511"/>
      <c r="AI46" s="511"/>
      <c r="AJ46" s="511"/>
      <c r="AK46" s="511"/>
      <c r="AL46" s="511"/>
      <c r="AM46" s="511"/>
      <c r="AN46" s="511"/>
      <c r="AO46" s="511"/>
      <c r="AP46" s="511"/>
      <c r="AQ46" s="511"/>
      <c r="AR46" s="511"/>
      <c r="AS46" s="511"/>
      <c r="AT46" s="511"/>
      <c r="AU46" s="511"/>
      <c r="AV46" s="511"/>
      <c r="AW46" s="511"/>
      <c r="AX46" s="511"/>
      <c r="AY46" s="511"/>
      <c r="AZ46" s="511"/>
      <c r="BA46" s="511"/>
      <c r="BB46" s="511"/>
    </row>
    <row r="47" spans="1:66" x14ac:dyDescent="0.25">
      <c r="C47" s="753" t="str">
        <f>'BP - Annual'!C4</f>
        <v>k€</v>
      </c>
      <c r="D47" s="741" t="str">
        <f>'BP - Annual'!D4</f>
        <v>FY21</v>
      </c>
      <c r="E47" s="741" t="str">
        <f>'BP - Annual'!E4</f>
        <v>FY22</v>
      </c>
      <c r="F47" s="743" t="str">
        <f>'BP - Annual'!F4</f>
        <v>FY23</v>
      </c>
      <c r="G47" s="756" t="str">
        <f>'BP - Annual'!G4</f>
        <v>FY24</v>
      </c>
      <c r="H47" s="751" t="str">
        <f>'BP - Annual'!H4</f>
        <v>FY25</v>
      </c>
      <c r="I47" s="751" t="str">
        <f>'BP - Annual'!I4</f>
        <v>FY26</v>
      </c>
      <c r="J47" s="751" t="str">
        <f>'BP - Annual'!J4</f>
        <v>FY27</v>
      </c>
      <c r="K47" s="757" t="str">
        <f>'BP - Annual'!K4</f>
        <v>FY28</v>
      </c>
      <c r="M47" s="8"/>
      <c r="N47" s="8"/>
      <c r="O47" s="8"/>
      <c r="P47" s="8"/>
      <c r="Q47" s="8"/>
      <c r="R47" s="8"/>
      <c r="S47" s="8"/>
    </row>
    <row r="48" spans="1:66" x14ac:dyDescent="0.25">
      <c r="C48" s="497" t="s">
        <v>925</v>
      </c>
      <c r="D48" s="509">
        <f>D37</f>
        <v>0</v>
      </c>
      <c r="E48" s="509">
        <f t="shared" ref="E48:F48" si="62">E37</f>
        <v>0</v>
      </c>
      <c r="F48" s="509">
        <f t="shared" si="62"/>
        <v>0</v>
      </c>
      <c r="G48" s="5">
        <f>SUM(G37:R37)</f>
        <v>0</v>
      </c>
      <c r="H48" s="5">
        <f>SUM(S37:AD37)</f>
        <v>0</v>
      </c>
      <c r="I48" s="5">
        <f>SUM(AE37:AP37)</f>
        <v>0</v>
      </c>
      <c r="J48" s="5">
        <f>SUM(AQ37:BB37)</f>
        <v>0</v>
      </c>
      <c r="K48" s="5">
        <f>SUM(BC37:BN37)</f>
        <v>0</v>
      </c>
      <c r="M48" s="8"/>
      <c r="N48" s="8"/>
      <c r="O48" s="8"/>
      <c r="P48" s="8"/>
      <c r="Q48" s="8"/>
      <c r="R48" s="8"/>
      <c r="S48" s="8"/>
    </row>
    <row r="49" spans="3:19" x14ac:dyDescent="0.25">
      <c r="C49" s="497" t="s">
        <v>829</v>
      </c>
      <c r="D49" s="509">
        <f t="shared" ref="D49:F49" si="63">D38</f>
        <v>0</v>
      </c>
      <c r="E49" s="509">
        <f t="shared" si="63"/>
        <v>0</v>
      </c>
      <c r="F49" s="509">
        <f t="shared" si="63"/>
        <v>0</v>
      </c>
      <c r="G49" s="5">
        <f t="shared" ref="G49:G52" si="64">SUM(G38:R38)</f>
        <v>0</v>
      </c>
      <c r="H49" s="5">
        <f t="shared" ref="H49:H52" si="65">SUM(S38:AD38)</f>
        <v>0</v>
      </c>
      <c r="I49" s="5">
        <f t="shared" ref="I49:I52" si="66">SUM(AE38:AP38)</f>
        <v>0</v>
      </c>
      <c r="J49" s="5">
        <f t="shared" ref="J49:J51" si="67">SUM(AQ38:BB38)</f>
        <v>0</v>
      </c>
      <c r="K49" s="5">
        <f t="shared" ref="K49:K52" si="68">SUM(BC38:BN38)</f>
        <v>0</v>
      </c>
      <c r="M49" s="8"/>
      <c r="N49" s="8"/>
      <c r="O49" s="8"/>
      <c r="P49" s="8"/>
      <c r="Q49" s="8"/>
      <c r="R49" s="8"/>
      <c r="S49" s="8"/>
    </row>
    <row r="50" spans="3:19" x14ac:dyDescent="0.25">
      <c r="C50" s="497" t="s">
        <v>929</v>
      </c>
      <c r="D50" s="509">
        <f t="shared" ref="D50:F50" si="69">D39</f>
        <v>0</v>
      </c>
      <c r="E50" s="509">
        <f t="shared" si="69"/>
        <v>0</v>
      </c>
      <c r="F50" s="509">
        <f t="shared" si="69"/>
        <v>0</v>
      </c>
      <c r="G50" s="5">
        <f t="shared" si="64"/>
        <v>0</v>
      </c>
      <c r="H50" s="5">
        <f t="shared" si="65"/>
        <v>0</v>
      </c>
      <c r="I50" s="5">
        <f t="shared" si="66"/>
        <v>0</v>
      </c>
      <c r="J50" s="5">
        <f>SUM(AQ39:BB39)</f>
        <v>0</v>
      </c>
      <c r="K50" s="5">
        <f t="shared" si="68"/>
        <v>0</v>
      </c>
      <c r="M50" s="8"/>
      <c r="N50" s="8"/>
      <c r="O50" s="8"/>
      <c r="P50" s="8"/>
      <c r="Q50" s="8"/>
      <c r="R50" s="8"/>
      <c r="S50" s="8"/>
    </row>
    <row r="51" spans="3:19" x14ac:dyDescent="0.25">
      <c r="C51" s="497" t="s">
        <v>928</v>
      </c>
      <c r="D51" s="509">
        <f t="shared" ref="D51:F51" si="70">D40</f>
        <v>0</v>
      </c>
      <c r="E51" s="509">
        <f t="shared" si="70"/>
        <v>0</v>
      </c>
      <c r="F51" s="509">
        <f t="shared" si="70"/>
        <v>0</v>
      </c>
      <c r="G51" s="5">
        <f t="shared" si="64"/>
        <v>0</v>
      </c>
      <c r="H51" s="5">
        <f t="shared" si="65"/>
        <v>0</v>
      </c>
      <c r="I51" s="5">
        <f t="shared" si="66"/>
        <v>0</v>
      </c>
      <c r="J51" s="5">
        <f t="shared" si="67"/>
        <v>0</v>
      </c>
      <c r="K51" s="5">
        <f t="shared" si="68"/>
        <v>0</v>
      </c>
      <c r="M51" s="8"/>
      <c r="N51" s="8"/>
      <c r="O51" s="8"/>
      <c r="P51" s="8"/>
      <c r="Q51" s="8"/>
      <c r="R51" s="8"/>
      <c r="S51" s="8"/>
    </row>
    <row r="52" spans="3:19" x14ac:dyDescent="0.25">
      <c r="C52" s="497" t="s">
        <v>930</v>
      </c>
      <c r="D52" s="509">
        <f t="shared" ref="D52:F52" si="71">D41</f>
        <v>0</v>
      </c>
      <c r="E52" s="509">
        <f t="shared" si="71"/>
        <v>0</v>
      </c>
      <c r="F52" s="509">
        <f t="shared" si="71"/>
        <v>0</v>
      </c>
      <c r="G52" s="5">
        <f t="shared" si="64"/>
        <v>0</v>
      </c>
      <c r="H52" s="5">
        <f t="shared" si="65"/>
        <v>0</v>
      </c>
      <c r="I52" s="5">
        <f t="shared" si="66"/>
        <v>0</v>
      </c>
      <c r="J52" s="5">
        <f>SUM(AQ41:BB41)</f>
        <v>0</v>
      </c>
      <c r="K52" s="5">
        <f t="shared" si="68"/>
        <v>0</v>
      </c>
      <c r="M52" s="8"/>
      <c r="N52" s="8"/>
      <c r="O52" s="8"/>
      <c r="P52" s="8"/>
      <c r="Q52" s="8"/>
      <c r="R52" s="8"/>
      <c r="S52" s="8"/>
    </row>
    <row r="53" spans="3:19" x14ac:dyDescent="0.25">
      <c r="C53" s="500" t="s">
        <v>926</v>
      </c>
      <c r="D53" s="510">
        <f>SUM(D48:D52)</f>
        <v>0</v>
      </c>
      <c r="E53" s="510">
        <f t="shared" ref="E53:F53" si="72">SUM(E48:E52)</f>
        <v>0</v>
      </c>
      <c r="F53" s="510">
        <f t="shared" si="72"/>
        <v>0</v>
      </c>
      <c r="G53" s="510">
        <f>SUM(G48:G52)</f>
        <v>0</v>
      </c>
      <c r="H53" s="510">
        <f>SUM(H48:H52)</f>
        <v>0</v>
      </c>
      <c r="I53" s="510">
        <f>SUM(I48:I52)</f>
        <v>0</v>
      </c>
      <c r="J53" s="510">
        <f>SUM(J48:J52)</f>
        <v>0</v>
      </c>
      <c r="K53" s="510">
        <f>SUM(K48:K52)</f>
        <v>0</v>
      </c>
      <c r="M53" s="8"/>
      <c r="N53" s="8"/>
      <c r="O53" s="8"/>
      <c r="P53" s="8"/>
      <c r="Q53" s="8"/>
      <c r="R53" s="8"/>
      <c r="S53" s="8"/>
    </row>
    <row r="54" spans="3:19" x14ac:dyDescent="0.25">
      <c r="C54" s="497" t="s">
        <v>927</v>
      </c>
      <c r="D54" s="509">
        <f>D36</f>
        <v>0</v>
      </c>
      <c r="E54" s="509">
        <f t="shared" ref="E54:F54" si="73">E36</f>
        <v>0</v>
      </c>
      <c r="F54" s="509">
        <f t="shared" si="73"/>
        <v>0</v>
      </c>
      <c r="G54" s="5">
        <f>SUM(G36:R36)</f>
        <v>0</v>
      </c>
      <c r="H54" s="5">
        <f>SUM(S36:AD36)</f>
        <v>0</v>
      </c>
      <c r="I54" s="5">
        <f>SUM(AE36:AP36)</f>
        <v>0</v>
      </c>
      <c r="J54" s="5">
        <f>SUM(AQ36:BB36)</f>
        <v>0</v>
      </c>
      <c r="K54" s="5">
        <f>SUM(BC36:BN36)</f>
        <v>0</v>
      </c>
      <c r="M54" s="8"/>
      <c r="N54" s="8"/>
      <c r="O54" s="8"/>
      <c r="P54" s="8"/>
      <c r="Q54" s="8"/>
      <c r="R54" s="8"/>
      <c r="S54" s="8"/>
    </row>
    <row r="55" spans="3:19" x14ac:dyDescent="0.25">
      <c r="C55" s="500" t="s">
        <v>931</v>
      </c>
      <c r="D55" s="510">
        <f>SUM(D53:D54)</f>
        <v>0</v>
      </c>
      <c r="E55" s="510">
        <f t="shared" ref="E55:F55" si="74">SUM(E53:E54)</f>
        <v>0</v>
      </c>
      <c r="F55" s="510">
        <f t="shared" si="74"/>
        <v>0</v>
      </c>
      <c r="G55" s="510">
        <f>SUM(G53:G54)</f>
        <v>0</v>
      </c>
      <c r="H55" s="510">
        <f>SUM(H53:H54)</f>
        <v>0</v>
      </c>
      <c r="I55" s="510">
        <f>SUM(I53:I54)</f>
        <v>0</v>
      </c>
      <c r="J55" s="510">
        <f>SUM(J53:J54)</f>
        <v>0</v>
      </c>
      <c r="K55" s="510">
        <f>SUM(K53:K54)</f>
        <v>0</v>
      </c>
      <c r="M55" s="8"/>
      <c r="N55" s="8"/>
      <c r="O55" s="8"/>
      <c r="P55" s="8"/>
      <c r="Q55" s="8"/>
      <c r="R55" s="8"/>
      <c r="S55" s="8"/>
    </row>
    <row r="56" spans="3:19" x14ac:dyDescent="0.25">
      <c r="M56" s="8"/>
      <c r="N56" s="8"/>
      <c r="O56" s="8"/>
      <c r="P56" s="8"/>
      <c r="Q56" s="8"/>
      <c r="R56" s="8"/>
      <c r="S56" s="8"/>
    </row>
    <row r="57" spans="3:19" x14ac:dyDescent="0.25">
      <c r="M57" s="8"/>
      <c r="N57" s="8"/>
      <c r="O57" s="8"/>
      <c r="P57" s="8"/>
      <c r="Q57" s="8"/>
      <c r="R57" s="8"/>
      <c r="S57" s="8"/>
    </row>
    <row r="58" spans="3:19" x14ac:dyDescent="0.25">
      <c r="M58" s="8"/>
      <c r="N58" s="8"/>
      <c r="O58" s="8"/>
      <c r="P58" s="8"/>
      <c r="Q58" s="8"/>
      <c r="R58" s="8"/>
      <c r="S58" s="8"/>
    </row>
    <row r="60" spans="3:19" x14ac:dyDescent="0.25">
      <c r="H60" s="5"/>
      <c r="I60" s="5"/>
      <c r="J60" s="5"/>
      <c r="K60" s="5"/>
      <c r="L60" s="5"/>
    </row>
    <row r="61" spans="3:19" x14ac:dyDescent="0.25">
      <c r="H61" s="5"/>
      <c r="I61" s="5"/>
      <c r="J61" s="5"/>
      <c r="K61" s="5"/>
      <c r="L61" s="5"/>
    </row>
    <row r="62" spans="3:19" x14ac:dyDescent="0.25">
      <c r="H62" s="5"/>
      <c r="I62" s="5"/>
      <c r="J62" s="5"/>
      <c r="K62" s="5"/>
      <c r="L62" s="5"/>
    </row>
    <row r="63" spans="3:19" x14ac:dyDescent="0.25">
      <c r="H63" s="5"/>
      <c r="I63" s="5"/>
      <c r="J63" s="5"/>
      <c r="K63" s="5"/>
      <c r="L63" s="5"/>
    </row>
    <row r="64" spans="3:19" x14ac:dyDescent="0.25">
      <c r="H64" s="5"/>
      <c r="I64" s="5"/>
      <c r="J64" s="5"/>
      <c r="K64" s="5"/>
      <c r="L64" s="5"/>
    </row>
    <row r="65" spans="8:12" x14ac:dyDescent="0.25">
      <c r="H65" s="5"/>
      <c r="I65" s="5"/>
      <c r="J65" s="5"/>
      <c r="K65" s="5"/>
      <c r="L65" s="5"/>
    </row>
    <row r="66" spans="8:12" x14ac:dyDescent="0.25">
      <c r="H66" s="5"/>
      <c r="I66" s="5"/>
      <c r="J66" s="5"/>
      <c r="K66" s="5"/>
      <c r="L66" s="5"/>
    </row>
    <row r="67" spans="8:12" x14ac:dyDescent="0.25">
      <c r="H67" s="5"/>
      <c r="I67" s="5"/>
      <c r="J67" s="5"/>
      <c r="K67" s="5"/>
      <c r="L67" s="5"/>
    </row>
    <row r="68" spans="8:12" x14ac:dyDescent="0.25">
      <c r="H68" s="5"/>
      <c r="I68" s="5"/>
      <c r="J68" s="5"/>
      <c r="K68" s="5"/>
      <c r="L68" s="5"/>
    </row>
    <row r="69" spans="8:12" x14ac:dyDescent="0.25">
      <c r="H69" s="5"/>
      <c r="I69" s="5"/>
      <c r="J69" s="5"/>
      <c r="K69" s="5"/>
      <c r="L69" s="5"/>
    </row>
    <row r="70" spans="8:12" x14ac:dyDescent="0.25">
      <c r="H70" s="5"/>
      <c r="I70" s="5"/>
      <c r="J70" s="5"/>
      <c r="K70" s="5"/>
      <c r="L70" s="5"/>
    </row>
    <row r="71" spans="8:12" x14ac:dyDescent="0.25">
      <c r="H71" s="5"/>
      <c r="I71" s="5"/>
      <c r="J71" s="5"/>
      <c r="K71" s="5"/>
      <c r="L71" s="5"/>
    </row>
    <row r="72" spans="8:12" x14ac:dyDescent="0.25">
      <c r="H72" s="5"/>
      <c r="I72" s="5"/>
      <c r="J72" s="5"/>
      <c r="K72" s="5"/>
      <c r="L72" s="5"/>
    </row>
    <row r="73" spans="8:12" x14ac:dyDescent="0.25">
      <c r="H73" s="5"/>
      <c r="I73" s="5"/>
      <c r="J73" s="5"/>
      <c r="K73" s="5"/>
      <c r="L73" s="5"/>
    </row>
    <row r="74" spans="8:12" x14ac:dyDescent="0.25">
      <c r="H74" s="5"/>
      <c r="I74" s="5"/>
      <c r="J74" s="5"/>
      <c r="K74" s="5"/>
      <c r="L74" s="5"/>
    </row>
    <row r="75" spans="8:12" x14ac:dyDescent="0.25">
      <c r="H75" s="5"/>
      <c r="I75" s="5"/>
      <c r="J75" s="5"/>
      <c r="K75" s="5"/>
      <c r="L75" s="5"/>
    </row>
    <row r="76" spans="8:12" x14ac:dyDescent="0.25">
      <c r="H76" s="5"/>
      <c r="I76" s="5"/>
      <c r="J76" s="5"/>
      <c r="K76" s="5"/>
      <c r="L76" s="5"/>
    </row>
    <row r="77" spans="8:12" x14ac:dyDescent="0.25">
      <c r="H77" s="5"/>
      <c r="I77" s="5"/>
      <c r="J77" s="5"/>
      <c r="K77" s="5"/>
      <c r="L77" s="5"/>
    </row>
    <row r="78" spans="8:12" x14ac:dyDescent="0.25">
      <c r="H78" s="5"/>
      <c r="I78" s="5"/>
      <c r="J78" s="5"/>
      <c r="K78" s="5"/>
      <c r="L78" s="5"/>
    </row>
    <row r="79" spans="8:12" x14ac:dyDescent="0.25">
      <c r="H79" s="5"/>
      <c r="I79" s="5"/>
      <c r="J79" s="5"/>
      <c r="K79" s="5"/>
      <c r="L79" s="5"/>
    </row>
    <row r="80" spans="8:12" x14ac:dyDescent="0.25">
      <c r="H80" s="5"/>
      <c r="I80" s="5"/>
      <c r="J80" s="5"/>
      <c r="K80" s="5"/>
      <c r="L80" s="5"/>
    </row>
    <row r="81" spans="8:12" x14ac:dyDescent="0.25">
      <c r="H81" s="5"/>
      <c r="I81" s="5"/>
      <c r="J81" s="5"/>
      <c r="K81" s="5"/>
      <c r="L81" s="5"/>
    </row>
    <row r="82" spans="8:12" x14ac:dyDescent="0.25">
      <c r="H82" s="5"/>
      <c r="I82" s="5"/>
      <c r="J82" s="5"/>
      <c r="K82" s="5"/>
      <c r="L82" s="5"/>
    </row>
    <row r="83" spans="8:12" x14ac:dyDescent="0.25">
      <c r="H83" s="5"/>
      <c r="I83" s="5"/>
      <c r="J83" s="5"/>
      <c r="K83" s="5"/>
      <c r="L83" s="5"/>
    </row>
    <row r="84" spans="8:12" x14ac:dyDescent="0.25">
      <c r="H84" s="5"/>
      <c r="I84" s="5"/>
      <c r="J84" s="5"/>
      <c r="K84" s="5"/>
      <c r="L84" s="5"/>
    </row>
    <row r="85" spans="8:12" x14ac:dyDescent="0.25">
      <c r="H85" s="5"/>
      <c r="I85" s="5"/>
      <c r="J85" s="5"/>
      <c r="K85" s="5"/>
      <c r="L85" s="5"/>
    </row>
    <row r="86" spans="8:12" x14ac:dyDescent="0.25">
      <c r="H86" s="5"/>
      <c r="I86" s="5"/>
      <c r="J86" s="5"/>
      <c r="K86" s="5"/>
      <c r="L86" s="5"/>
    </row>
    <row r="87" spans="8:12" x14ac:dyDescent="0.25">
      <c r="H87" s="5"/>
      <c r="I87" s="5"/>
      <c r="J87" s="5"/>
      <c r="K87" s="5"/>
      <c r="L87" s="5"/>
    </row>
    <row r="88" spans="8:12" x14ac:dyDescent="0.25">
      <c r="H88" s="5"/>
      <c r="I88" s="5"/>
      <c r="J88" s="5"/>
      <c r="K88" s="5"/>
      <c r="L88" s="5"/>
    </row>
    <row r="89" spans="8:12" x14ac:dyDescent="0.25">
      <c r="H89" s="5"/>
      <c r="I89" s="5"/>
      <c r="J89" s="5"/>
      <c r="K89" s="5"/>
      <c r="L89" s="5"/>
    </row>
    <row r="90" spans="8:12" x14ac:dyDescent="0.25">
      <c r="H90" s="5"/>
      <c r="I90" s="5"/>
      <c r="J90" s="5"/>
      <c r="K90" s="5"/>
      <c r="L90" s="5"/>
    </row>
    <row r="91" spans="8:12" x14ac:dyDescent="0.25">
      <c r="H91" s="5"/>
      <c r="I91" s="5"/>
      <c r="J91" s="5"/>
      <c r="K91" s="5"/>
      <c r="L91" s="5"/>
    </row>
    <row r="92" spans="8:12" x14ac:dyDescent="0.25">
      <c r="H92" s="5"/>
      <c r="I92" s="5"/>
      <c r="J92" s="5"/>
      <c r="K92" s="5"/>
      <c r="L92" s="5"/>
    </row>
    <row r="93" spans="8:12" x14ac:dyDescent="0.25">
      <c r="H93" s="5"/>
      <c r="I93" s="5"/>
      <c r="J93" s="5"/>
      <c r="K93" s="5"/>
      <c r="L93" s="5"/>
    </row>
    <row r="94" spans="8:12" x14ac:dyDescent="0.25">
      <c r="H94" s="5"/>
      <c r="I94" s="5"/>
      <c r="J94" s="5"/>
      <c r="K94" s="5"/>
      <c r="L94" s="5"/>
    </row>
    <row r="95" spans="8:12" x14ac:dyDescent="0.25">
      <c r="H95" s="5"/>
      <c r="I95" s="5"/>
      <c r="J95" s="5"/>
      <c r="K95" s="5"/>
      <c r="L95" s="5"/>
    </row>
    <row r="96" spans="8:12" x14ac:dyDescent="0.25">
      <c r="H96" s="5"/>
      <c r="I96" s="5"/>
      <c r="J96" s="5"/>
      <c r="K96" s="5"/>
      <c r="L96" s="5"/>
    </row>
    <row r="97" spans="8:12" x14ac:dyDescent="0.25">
      <c r="H97" s="5"/>
      <c r="I97" s="5"/>
      <c r="J97" s="5"/>
      <c r="K97" s="5"/>
      <c r="L97" s="5"/>
    </row>
    <row r="98" spans="8:12" x14ac:dyDescent="0.25">
      <c r="H98" s="5"/>
      <c r="I98" s="5"/>
      <c r="J98" s="5"/>
      <c r="K98" s="5"/>
      <c r="L98" s="5"/>
    </row>
    <row r="99" spans="8:12" x14ac:dyDescent="0.25">
      <c r="H99" s="5"/>
      <c r="I99" s="5"/>
      <c r="J99" s="5"/>
      <c r="K99" s="5"/>
      <c r="L99" s="5"/>
    </row>
    <row r="100" spans="8:12" x14ac:dyDescent="0.25">
      <c r="H100" s="5"/>
      <c r="I100" s="5"/>
      <c r="J100" s="5"/>
      <c r="K100" s="5"/>
      <c r="L100" s="5"/>
    </row>
    <row r="101" spans="8:12" x14ac:dyDescent="0.25">
      <c r="H101" s="5"/>
      <c r="I101" s="5"/>
      <c r="J101" s="5"/>
      <c r="K101" s="5"/>
      <c r="L101" s="5"/>
    </row>
    <row r="102" spans="8:12" x14ac:dyDescent="0.25">
      <c r="H102" s="5"/>
      <c r="I102" s="5"/>
      <c r="J102" s="5"/>
      <c r="K102" s="5"/>
      <c r="L102" s="5"/>
    </row>
    <row r="103" spans="8:12" x14ac:dyDescent="0.25">
      <c r="H103" s="5"/>
      <c r="I103" s="5"/>
      <c r="J103" s="5"/>
      <c r="K103" s="5"/>
      <c r="L103" s="5"/>
    </row>
    <row r="104" spans="8:12" x14ac:dyDescent="0.25">
      <c r="H104" s="5"/>
      <c r="I104" s="5"/>
      <c r="J104" s="5"/>
      <c r="K104" s="5"/>
      <c r="L104" s="5"/>
    </row>
    <row r="105" spans="8:12" x14ac:dyDescent="0.25">
      <c r="H105" s="5"/>
      <c r="I105" s="5"/>
      <c r="J105" s="5"/>
      <c r="K105" s="5"/>
      <c r="L105" s="5"/>
    </row>
    <row r="106" spans="8:12" x14ac:dyDescent="0.25">
      <c r="H106" s="5"/>
      <c r="I106" s="5"/>
      <c r="J106" s="5"/>
      <c r="K106" s="5"/>
      <c r="L106" s="5"/>
    </row>
    <row r="107" spans="8:12" x14ac:dyDescent="0.25">
      <c r="H107" s="5"/>
      <c r="I107" s="5"/>
      <c r="J107" s="5"/>
      <c r="K107" s="5"/>
      <c r="L107" s="5"/>
    </row>
    <row r="108" spans="8:12" x14ac:dyDescent="0.25">
      <c r="H108" s="5"/>
      <c r="I108" s="5"/>
      <c r="J108" s="5"/>
      <c r="K108" s="5"/>
      <c r="L108" s="5"/>
    </row>
    <row r="109" spans="8:12" x14ac:dyDescent="0.25">
      <c r="H109" s="5"/>
      <c r="I109" s="5"/>
      <c r="J109" s="5"/>
      <c r="K109" s="5"/>
      <c r="L109" s="5"/>
    </row>
    <row r="110" spans="8:12" x14ac:dyDescent="0.25">
      <c r="H110" s="5"/>
      <c r="I110" s="5"/>
      <c r="J110" s="5"/>
      <c r="K110" s="5"/>
      <c r="L110" s="5"/>
    </row>
    <row r="111" spans="8:12" x14ac:dyDescent="0.25">
      <c r="H111" s="5"/>
      <c r="I111" s="5"/>
      <c r="J111" s="5"/>
      <c r="K111" s="5"/>
      <c r="L111" s="5"/>
    </row>
    <row r="112" spans="8:12" x14ac:dyDescent="0.25">
      <c r="H112" s="5"/>
      <c r="I112" s="5"/>
      <c r="J112" s="5"/>
      <c r="K112" s="5"/>
      <c r="L112" s="5"/>
    </row>
    <row r="113" spans="8:12" x14ac:dyDescent="0.25">
      <c r="H113" s="5"/>
      <c r="I113" s="5"/>
      <c r="J113" s="5"/>
      <c r="K113" s="5"/>
      <c r="L113" s="5"/>
    </row>
    <row r="114" spans="8:12" x14ac:dyDescent="0.25">
      <c r="H114" s="5"/>
      <c r="I114" s="5"/>
      <c r="J114" s="5"/>
      <c r="K114" s="5"/>
      <c r="L114" s="5"/>
    </row>
    <row r="115" spans="8:12" x14ac:dyDescent="0.25">
      <c r="H115" s="5"/>
      <c r="I115" s="5"/>
      <c r="J115" s="5"/>
      <c r="K115" s="5"/>
      <c r="L115" s="5"/>
    </row>
    <row r="116" spans="8:12" x14ac:dyDescent="0.25">
      <c r="H116" s="5"/>
      <c r="I116" s="5"/>
      <c r="J116" s="5"/>
      <c r="K116" s="5"/>
      <c r="L116" s="5"/>
    </row>
    <row r="117" spans="8:12" x14ac:dyDescent="0.25">
      <c r="H117" s="5"/>
      <c r="I117" s="5"/>
      <c r="J117" s="5"/>
      <c r="K117" s="5"/>
      <c r="L117" s="5"/>
    </row>
    <row r="118" spans="8:12" x14ac:dyDescent="0.25">
      <c r="H118" s="5"/>
      <c r="I118" s="5"/>
      <c r="J118" s="5"/>
      <c r="K118" s="5"/>
      <c r="L118" s="5"/>
    </row>
    <row r="119" spans="8:12" x14ac:dyDescent="0.25">
      <c r="H119" s="5"/>
      <c r="I119" s="5"/>
      <c r="J119" s="5"/>
      <c r="K119" s="5"/>
      <c r="L119" s="5"/>
    </row>
    <row r="120" spans="8:12" x14ac:dyDescent="0.25">
      <c r="H120" s="5"/>
      <c r="I120" s="5"/>
      <c r="J120" s="5"/>
      <c r="K120" s="5"/>
      <c r="L120" s="5"/>
    </row>
    <row r="121" spans="8:12" x14ac:dyDescent="0.25">
      <c r="H121" s="5"/>
      <c r="I121" s="5"/>
      <c r="J121" s="5"/>
      <c r="K121" s="5"/>
      <c r="L121" s="5"/>
    </row>
    <row r="122" spans="8:12" x14ac:dyDescent="0.25">
      <c r="H122" s="5"/>
      <c r="I122" s="5"/>
      <c r="J122" s="5"/>
      <c r="K122" s="5"/>
      <c r="L122" s="5"/>
    </row>
    <row r="123" spans="8:12" x14ac:dyDescent="0.25">
      <c r="H123" s="5"/>
      <c r="I123" s="5"/>
      <c r="J123" s="5"/>
      <c r="K123" s="5"/>
      <c r="L123" s="5"/>
    </row>
    <row r="124" spans="8:12" x14ac:dyDescent="0.25">
      <c r="H124" s="5"/>
      <c r="I124" s="5"/>
      <c r="J124" s="5"/>
      <c r="K124" s="5"/>
      <c r="L124" s="5"/>
    </row>
    <row r="125" spans="8:12" x14ac:dyDescent="0.25">
      <c r="H125" s="5"/>
      <c r="I125" s="5"/>
      <c r="J125" s="5"/>
      <c r="K125" s="5"/>
      <c r="L125" s="5"/>
    </row>
    <row r="126" spans="8:12" x14ac:dyDescent="0.25">
      <c r="H126" s="5"/>
      <c r="I126" s="5"/>
      <c r="J126" s="5"/>
      <c r="K126" s="5"/>
      <c r="L126" s="5"/>
    </row>
    <row r="127" spans="8:12" x14ac:dyDescent="0.25">
      <c r="H127" s="5"/>
      <c r="I127" s="5"/>
      <c r="J127" s="5"/>
      <c r="K127" s="5"/>
      <c r="L127" s="5"/>
    </row>
    <row r="128" spans="8:12" x14ac:dyDescent="0.25">
      <c r="H128" s="5"/>
      <c r="I128" s="5"/>
      <c r="J128" s="5"/>
      <c r="K128" s="5"/>
      <c r="L128" s="5"/>
    </row>
    <row r="129" spans="8:12" x14ac:dyDescent="0.25">
      <c r="H129" s="5"/>
      <c r="I129" s="5"/>
      <c r="J129" s="5"/>
      <c r="K129" s="5"/>
      <c r="L129" s="5"/>
    </row>
    <row r="130" spans="8:12" x14ac:dyDescent="0.25">
      <c r="H130" s="5"/>
      <c r="I130" s="5"/>
      <c r="J130" s="5"/>
      <c r="K130" s="5"/>
      <c r="L130" s="5"/>
    </row>
    <row r="131" spans="8:12" x14ac:dyDescent="0.25">
      <c r="H131" s="5"/>
      <c r="I131" s="5"/>
      <c r="J131" s="5"/>
      <c r="K131" s="5"/>
      <c r="L131" s="5"/>
    </row>
    <row r="132" spans="8:12" x14ac:dyDescent="0.25">
      <c r="H132" s="5"/>
      <c r="I132" s="5"/>
      <c r="J132" s="5"/>
      <c r="K132" s="5"/>
      <c r="L132" s="5"/>
    </row>
    <row r="133" spans="8:12" x14ac:dyDescent="0.25">
      <c r="H133" s="5"/>
      <c r="I133" s="5"/>
      <c r="J133" s="5"/>
      <c r="K133" s="5"/>
      <c r="L133" s="5"/>
    </row>
    <row r="134" spans="8:12" x14ac:dyDescent="0.25">
      <c r="H134" s="5"/>
      <c r="I134" s="5"/>
      <c r="J134" s="5"/>
      <c r="K134" s="5"/>
      <c r="L134" s="5"/>
    </row>
    <row r="135" spans="8:12" x14ac:dyDescent="0.25">
      <c r="H135" s="5"/>
      <c r="I135" s="5"/>
      <c r="J135" s="5"/>
      <c r="K135" s="5"/>
      <c r="L135" s="5"/>
    </row>
    <row r="136" spans="8:12" x14ac:dyDescent="0.25">
      <c r="H136" s="5"/>
      <c r="I136" s="5"/>
      <c r="J136" s="5"/>
      <c r="K136" s="5"/>
      <c r="L136" s="5"/>
    </row>
    <row r="137" spans="8:12" x14ac:dyDescent="0.25">
      <c r="H137" s="5"/>
      <c r="I137" s="5"/>
      <c r="J137" s="5"/>
      <c r="K137" s="5"/>
      <c r="L137" s="5"/>
    </row>
    <row r="138" spans="8:12" x14ac:dyDescent="0.25">
      <c r="H138" s="5"/>
      <c r="I138" s="5"/>
      <c r="J138" s="5"/>
      <c r="K138" s="5"/>
      <c r="L138" s="5"/>
    </row>
    <row r="139" spans="8:12" x14ac:dyDescent="0.25">
      <c r="H139" s="5"/>
      <c r="I139" s="5"/>
      <c r="J139" s="5"/>
      <c r="K139" s="5"/>
      <c r="L139" s="5"/>
    </row>
    <row r="140" spans="8:12" x14ac:dyDescent="0.25">
      <c r="H140" s="5"/>
      <c r="I140" s="5"/>
      <c r="J140" s="5"/>
      <c r="K140" s="5"/>
      <c r="L140" s="5"/>
    </row>
    <row r="141" spans="8:12" x14ac:dyDescent="0.25">
      <c r="H141" s="5"/>
      <c r="I141" s="5"/>
      <c r="J141" s="5"/>
      <c r="K141" s="5"/>
      <c r="L141" s="5"/>
    </row>
    <row r="142" spans="8:12" x14ac:dyDescent="0.25">
      <c r="H142" s="5"/>
      <c r="I142" s="5"/>
      <c r="J142" s="5"/>
      <c r="K142" s="5"/>
      <c r="L142" s="5"/>
    </row>
    <row r="143" spans="8:12" x14ac:dyDescent="0.25">
      <c r="H143" s="5"/>
      <c r="I143" s="5"/>
      <c r="J143" s="5"/>
      <c r="K143" s="5"/>
      <c r="L143" s="5"/>
    </row>
    <row r="144" spans="8:12" x14ac:dyDescent="0.25">
      <c r="H144" s="5"/>
      <c r="I144" s="5"/>
      <c r="J144" s="5"/>
      <c r="K144" s="5"/>
      <c r="L144" s="5"/>
    </row>
    <row r="145" spans="8:12" x14ac:dyDescent="0.25">
      <c r="H145" s="5"/>
      <c r="I145" s="5"/>
      <c r="J145" s="5"/>
      <c r="K145" s="5"/>
      <c r="L145" s="5"/>
    </row>
    <row r="146" spans="8:12" x14ac:dyDescent="0.25">
      <c r="H146" s="5"/>
      <c r="I146" s="5"/>
      <c r="J146" s="5"/>
      <c r="K146" s="5"/>
      <c r="L146" s="5"/>
    </row>
    <row r="147" spans="8:12" x14ac:dyDescent="0.25">
      <c r="H147" s="5"/>
      <c r="I147" s="5"/>
      <c r="J147" s="5"/>
      <c r="K147" s="5"/>
      <c r="L147" s="5"/>
    </row>
    <row r="148" spans="8:12" x14ac:dyDescent="0.25">
      <c r="H148" s="5"/>
      <c r="I148" s="5"/>
      <c r="J148" s="5"/>
      <c r="K148" s="5"/>
      <c r="L148" s="5"/>
    </row>
    <row r="149" spans="8:12" x14ac:dyDescent="0.25">
      <c r="H149" s="5"/>
      <c r="I149" s="5"/>
      <c r="J149" s="5"/>
      <c r="K149" s="5"/>
      <c r="L149" s="5"/>
    </row>
    <row r="150" spans="8:12" x14ac:dyDescent="0.25">
      <c r="H150" s="5"/>
      <c r="I150" s="5"/>
      <c r="J150" s="5"/>
      <c r="K150" s="5"/>
      <c r="L150" s="5"/>
    </row>
    <row r="151" spans="8:12" x14ac:dyDescent="0.25">
      <c r="H151" s="5"/>
      <c r="I151" s="5"/>
      <c r="J151" s="5"/>
      <c r="K151" s="5"/>
      <c r="L151" s="5"/>
    </row>
    <row r="152" spans="8:12" x14ac:dyDescent="0.25">
      <c r="H152" s="5"/>
      <c r="I152" s="5"/>
      <c r="J152" s="5"/>
      <c r="K152" s="5"/>
      <c r="L152" s="5"/>
    </row>
    <row r="153" spans="8:12" x14ac:dyDescent="0.25">
      <c r="H153" s="5"/>
      <c r="I153" s="5"/>
      <c r="J153" s="5"/>
      <c r="K153" s="5"/>
      <c r="L153" s="5"/>
    </row>
    <row r="154" spans="8:12" x14ac:dyDescent="0.25">
      <c r="H154" s="5"/>
      <c r="I154" s="5"/>
      <c r="J154" s="5"/>
      <c r="K154" s="5"/>
      <c r="L154" s="5"/>
    </row>
    <row r="155" spans="8:12" x14ac:dyDescent="0.25">
      <c r="H155" s="5"/>
      <c r="I155" s="5"/>
      <c r="J155" s="5"/>
      <c r="K155" s="5"/>
      <c r="L155" s="5"/>
    </row>
    <row r="156" spans="8:12" x14ac:dyDescent="0.25">
      <c r="H156" s="5"/>
      <c r="I156" s="5"/>
      <c r="J156" s="5"/>
      <c r="K156" s="5"/>
      <c r="L156" s="5"/>
    </row>
    <row r="157" spans="8:12" x14ac:dyDescent="0.25">
      <c r="H157" s="5"/>
      <c r="I157" s="5"/>
      <c r="J157" s="5"/>
      <c r="K157" s="5"/>
      <c r="L157" s="5"/>
    </row>
    <row r="158" spans="8:12" x14ac:dyDescent="0.25">
      <c r="H158" s="5"/>
      <c r="I158" s="5"/>
      <c r="J158" s="5"/>
      <c r="K158" s="5"/>
      <c r="L158" s="5"/>
    </row>
    <row r="159" spans="8:12" x14ac:dyDescent="0.25">
      <c r="H159" s="5"/>
      <c r="I159" s="5"/>
      <c r="J159" s="5"/>
      <c r="K159" s="5"/>
      <c r="L159" s="5"/>
    </row>
    <row r="160" spans="8:12" x14ac:dyDescent="0.25">
      <c r="H160" s="5"/>
      <c r="I160" s="5"/>
      <c r="J160" s="5"/>
      <c r="K160" s="5"/>
      <c r="L160" s="5"/>
    </row>
    <row r="161" spans="8:12" x14ac:dyDescent="0.25">
      <c r="H161" s="5"/>
      <c r="I161" s="5"/>
      <c r="J161" s="5"/>
      <c r="K161" s="5"/>
      <c r="L161" s="5"/>
    </row>
    <row r="162" spans="8:12" x14ac:dyDescent="0.25">
      <c r="H162" s="5"/>
      <c r="I162" s="5"/>
      <c r="J162" s="5"/>
      <c r="K162" s="5"/>
      <c r="L162" s="5"/>
    </row>
    <row r="163" spans="8:12" x14ac:dyDescent="0.25">
      <c r="H163" s="5"/>
      <c r="I163" s="5"/>
      <c r="J163" s="5"/>
      <c r="K163" s="5"/>
      <c r="L163" s="5"/>
    </row>
    <row r="164" spans="8:12" x14ac:dyDescent="0.25">
      <c r="H164" s="5"/>
      <c r="I164" s="5"/>
      <c r="J164" s="5"/>
      <c r="K164" s="5"/>
      <c r="L164" s="5"/>
    </row>
    <row r="165" spans="8:12" x14ac:dyDescent="0.25">
      <c r="H165" s="5"/>
      <c r="I165" s="5"/>
      <c r="J165" s="5"/>
      <c r="K165" s="5"/>
      <c r="L165" s="5"/>
    </row>
    <row r="166" spans="8:12" x14ac:dyDescent="0.25">
      <c r="H166" s="5"/>
      <c r="I166" s="5"/>
      <c r="J166" s="5"/>
      <c r="K166" s="5"/>
      <c r="L166" s="5"/>
    </row>
    <row r="167" spans="8:12" x14ac:dyDescent="0.25">
      <c r="H167" s="5"/>
      <c r="I167" s="5"/>
      <c r="J167" s="5"/>
      <c r="K167" s="5"/>
      <c r="L167" s="5"/>
    </row>
    <row r="168" spans="8:12" x14ac:dyDescent="0.25">
      <c r="H168" s="5"/>
      <c r="I168" s="5"/>
      <c r="J168" s="5"/>
      <c r="K168" s="5"/>
      <c r="L168" s="5"/>
    </row>
    <row r="169" spans="8:12" x14ac:dyDescent="0.25">
      <c r="H169" s="5"/>
      <c r="I169" s="5"/>
      <c r="J169" s="5"/>
      <c r="K169" s="5"/>
      <c r="L169" s="5"/>
    </row>
    <row r="170" spans="8:12" x14ac:dyDescent="0.25">
      <c r="H170" s="5"/>
      <c r="I170" s="5"/>
      <c r="J170" s="5"/>
      <c r="K170" s="5"/>
      <c r="L170" s="5"/>
    </row>
    <row r="171" spans="8:12" x14ac:dyDescent="0.25">
      <c r="H171" s="5"/>
      <c r="I171" s="5"/>
      <c r="J171" s="5"/>
      <c r="K171" s="5"/>
      <c r="L171" s="5"/>
    </row>
    <row r="172" spans="8:12" x14ac:dyDescent="0.25">
      <c r="H172" s="5"/>
      <c r="I172" s="5"/>
      <c r="J172" s="5"/>
      <c r="K172" s="5"/>
      <c r="L172" s="5"/>
    </row>
    <row r="173" spans="8:12" x14ac:dyDescent="0.25">
      <c r="H173" s="5"/>
      <c r="I173" s="5"/>
      <c r="J173" s="5"/>
      <c r="K173" s="5"/>
      <c r="L173" s="5"/>
    </row>
    <row r="174" spans="8:12" x14ac:dyDescent="0.25">
      <c r="H174" s="5"/>
      <c r="I174" s="5"/>
      <c r="J174" s="5"/>
      <c r="K174" s="5"/>
      <c r="L174" s="5"/>
    </row>
    <row r="175" spans="8:12" x14ac:dyDescent="0.25">
      <c r="H175" s="5"/>
      <c r="I175" s="5"/>
      <c r="J175" s="5"/>
      <c r="K175" s="5"/>
      <c r="L175" s="5"/>
    </row>
    <row r="176" spans="8:12" x14ac:dyDescent="0.25">
      <c r="H176" s="5"/>
      <c r="I176" s="5"/>
      <c r="J176" s="5"/>
      <c r="K176" s="5"/>
      <c r="L176" s="5"/>
    </row>
    <row r="177" spans="8:12" x14ac:dyDescent="0.25">
      <c r="H177" s="5"/>
      <c r="I177" s="5"/>
      <c r="J177" s="5"/>
      <c r="K177" s="5"/>
      <c r="L177" s="5"/>
    </row>
    <row r="178" spans="8:12" x14ac:dyDescent="0.25">
      <c r="H178" s="5"/>
      <c r="I178" s="5"/>
      <c r="J178" s="5"/>
      <c r="K178" s="5"/>
      <c r="L178" s="5"/>
    </row>
    <row r="179" spans="8:12" x14ac:dyDescent="0.25">
      <c r="H179" s="5"/>
      <c r="I179" s="5"/>
      <c r="J179" s="5"/>
      <c r="K179" s="5"/>
      <c r="L179" s="5"/>
    </row>
    <row r="180" spans="8:12" x14ac:dyDescent="0.25">
      <c r="H180" s="5"/>
      <c r="I180" s="5"/>
      <c r="J180" s="5"/>
      <c r="K180" s="5"/>
      <c r="L180" s="5"/>
    </row>
    <row r="181" spans="8:12" x14ac:dyDescent="0.25">
      <c r="H181" s="5"/>
      <c r="I181" s="5"/>
      <c r="J181" s="5"/>
      <c r="K181" s="5"/>
      <c r="L181" s="5"/>
    </row>
    <row r="182" spans="8:12" x14ac:dyDescent="0.25">
      <c r="H182" s="5"/>
      <c r="I182" s="5"/>
      <c r="J182" s="5"/>
      <c r="K182" s="5"/>
      <c r="L182" s="5"/>
    </row>
    <row r="183" spans="8:12" x14ac:dyDescent="0.25">
      <c r="H183" s="5"/>
      <c r="I183" s="5"/>
      <c r="J183" s="5"/>
      <c r="K183" s="5"/>
      <c r="L183" s="5"/>
    </row>
    <row r="184" spans="8:12" x14ac:dyDescent="0.25">
      <c r="H184" s="5"/>
      <c r="I184" s="5"/>
      <c r="J184" s="5"/>
      <c r="K184" s="5"/>
      <c r="L184" s="5"/>
    </row>
    <row r="185" spans="8:12" x14ac:dyDescent="0.25">
      <c r="H185" s="5"/>
      <c r="I185" s="5"/>
      <c r="J185" s="5"/>
      <c r="K185" s="5"/>
      <c r="L185" s="5"/>
    </row>
    <row r="186" spans="8:12" x14ac:dyDescent="0.25">
      <c r="H186" s="5"/>
      <c r="I186" s="5"/>
      <c r="J186" s="5"/>
      <c r="K186" s="5"/>
      <c r="L186" s="5"/>
    </row>
    <row r="187" spans="8:12" x14ac:dyDescent="0.25">
      <c r="H187" s="5"/>
      <c r="I187" s="5"/>
      <c r="J187" s="5"/>
      <c r="K187" s="5"/>
      <c r="L187" s="5"/>
    </row>
    <row r="188" spans="8:12" x14ac:dyDescent="0.25">
      <c r="H188" s="5"/>
      <c r="I188" s="5"/>
      <c r="J188" s="5"/>
      <c r="K188" s="5"/>
      <c r="L188" s="5"/>
    </row>
    <row r="189" spans="8:12" x14ac:dyDescent="0.25">
      <c r="H189" s="5"/>
      <c r="I189" s="5"/>
      <c r="J189" s="5"/>
      <c r="K189" s="5"/>
      <c r="L189" s="5"/>
    </row>
    <row r="190" spans="8:12" x14ac:dyDescent="0.25">
      <c r="H190" s="5"/>
      <c r="I190" s="5"/>
      <c r="J190" s="5"/>
      <c r="K190" s="5"/>
      <c r="L190" s="5"/>
    </row>
    <row r="191" spans="8:12" x14ac:dyDescent="0.25">
      <c r="H191" s="5"/>
      <c r="I191" s="5"/>
      <c r="J191" s="5"/>
      <c r="K191" s="5"/>
      <c r="L191" s="5"/>
    </row>
    <row r="192" spans="8:12" x14ac:dyDescent="0.25">
      <c r="H192" s="5"/>
      <c r="I192" s="5"/>
      <c r="J192" s="5"/>
      <c r="K192" s="5"/>
      <c r="L192" s="5"/>
    </row>
    <row r="193" spans="8:12" x14ac:dyDescent="0.25">
      <c r="H193" s="5"/>
      <c r="I193" s="5"/>
      <c r="J193" s="5"/>
      <c r="K193" s="5"/>
      <c r="L193" s="5"/>
    </row>
  </sheetData>
  <pageMargins left="0.7" right="0.7" top="0.75" bottom="0.75" header="0.3" footer="0.3"/>
  <pageSetup paperSize="9" orientation="portrait" verticalDpi="0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965F1-6078-4493-96DE-51F12150A1BF}">
  <sheetPr>
    <tabColor theme="4" tint="0.79998168889431442"/>
  </sheetPr>
  <dimension ref="B3:Y40"/>
  <sheetViews>
    <sheetView showGridLines="0" workbookViewId="0">
      <selection activeCell="S50" sqref="S50"/>
    </sheetView>
  </sheetViews>
  <sheetFormatPr defaultColWidth="9.109375" defaultRowHeight="13.5" customHeight="1" outlineLevelCol="1" x14ac:dyDescent="0.25"/>
  <cols>
    <col min="1" max="1" width="9.109375" style="489"/>
    <col min="2" max="2" width="22.44140625" style="489" customWidth="1"/>
    <col min="3" max="4" width="9.44140625" style="489" customWidth="1" outlineLevel="1"/>
    <col min="5" max="6" width="9.44140625" style="489" customWidth="1"/>
    <col min="7" max="7" width="9.44140625" style="513" customWidth="1" collapsed="1"/>
    <col min="8" max="12" width="9.44140625" style="489" customWidth="1"/>
    <col min="13" max="16384" width="9.109375" style="489"/>
  </cols>
  <sheetData>
    <row r="3" spans="2:25" ht="13.5" customHeight="1" x14ac:dyDescent="0.25">
      <c r="B3" s="500" t="str">
        <f>"Vergelijking voorgaande budgetten - "&amp;Historiek!A2</f>
        <v>Vergelijking voorgaande budgetten - Dossier</v>
      </c>
    </row>
    <row r="4" spans="2:25" ht="13.5" customHeight="1" x14ac:dyDescent="0.25">
      <c r="B4" s="738" t="s">
        <v>6</v>
      </c>
      <c r="C4" s="741" t="str">
        <f>"FY"&amp;RIGHT(D4,2)-1</f>
        <v>FY19</v>
      </c>
      <c r="D4" s="741" t="str">
        <f>"FY"&amp;RIGHT(E4,2)-1</f>
        <v>FY20</v>
      </c>
      <c r="E4" s="751" t="str">
        <f>'BP - Annual'!D4</f>
        <v>FY21</v>
      </c>
      <c r="F4" s="741" t="str">
        <f>'BP - Annual'!E4</f>
        <v>FY22</v>
      </c>
      <c r="G4" s="743" t="str">
        <f>'BP - Annual'!F4</f>
        <v>FY23</v>
      </c>
      <c r="H4" s="741" t="str">
        <f>'BP - Annual'!G4</f>
        <v>FY24</v>
      </c>
      <c r="I4" s="741" t="str">
        <f>'BP - Annual'!H4</f>
        <v>FY25</v>
      </c>
      <c r="J4" s="741" t="str">
        <f>'BP - Annual'!I4</f>
        <v>FY26</v>
      </c>
      <c r="K4" s="741" t="str">
        <f>'BP - Annual'!J4</f>
        <v>FY27</v>
      </c>
      <c r="L4" s="741" t="str">
        <f>'BP - Annual'!K4</f>
        <v>FY28</v>
      </c>
    </row>
    <row r="5" spans="2:25" ht="2.1" customHeight="1" x14ac:dyDescent="0.25">
      <c r="B5" s="414"/>
      <c r="C5" s="512"/>
      <c r="D5" s="512"/>
      <c r="E5" s="512"/>
      <c r="F5" s="512"/>
      <c r="G5" s="514"/>
      <c r="H5" s="414"/>
      <c r="I5" s="414"/>
      <c r="J5" s="414"/>
      <c r="K5" s="414"/>
      <c r="L5" s="414"/>
    </row>
    <row r="6" spans="2:25" ht="13.5" customHeight="1" x14ac:dyDescent="0.3">
      <c r="B6" s="490" t="s">
        <v>900</v>
      </c>
      <c r="C6" s="491"/>
      <c r="D6" s="491"/>
      <c r="E6" s="492"/>
      <c r="F6" s="492"/>
      <c r="G6" s="515"/>
      <c r="H6" s="492"/>
      <c r="I6" s="492"/>
      <c r="J6" s="492"/>
      <c r="K6" s="492"/>
      <c r="L6" s="492"/>
      <c r="M6" s="493"/>
    </row>
    <row r="7" spans="2:25" ht="13.5" customHeight="1" x14ac:dyDescent="0.3">
      <c r="B7" s="490" t="s">
        <v>901</v>
      </c>
      <c r="C7" s="491"/>
      <c r="D7" s="491"/>
      <c r="E7" s="491"/>
      <c r="F7" s="492"/>
      <c r="G7" s="515"/>
      <c r="H7" s="492"/>
      <c r="I7" s="492"/>
      <c r="J7" s="492"/>
      <c r="K7" s="492"/>
      <c r="L7" s="492"/>
      <c r="M7" s="493"/>
    </row>
    <row r="8" spans="2:25" ht="13.5" customHeight="1" x14ac:dyDescent="0.3">
      <c r="B8" s="490" t="s">
        <v>902</v>
      </c>
      <c r="C8" s="491"/>
      <c r="D8" s="491"/>
      <c r="E8" s="491"/>
      <c r="F8" s="491"/>
      <c r="G8" s="515"/>
      <c r="H8" s="492"/>
      <c r="I8" s="492"/>
      <c r="J8" s="492"/>
      <c r="K8" s="492"/>
      <c r="L8" s="492"/>
      <c r="M8" s="493"/>
    </row>
    <row r="9" spans="2:25" ht="13.5" customHeight="1" x14ac:dyDescent="0.3">
      <c r="B9" s="490" t="s">
        <v>903</v>
      </c>
      <c r="C9" s="491"/>
      <c r="D9" s="491"/>
      <c r="E9" s="491"/>
      <c r="F9" s="491"/>
      <c r="G9" s="516"/>
      <c r="H9" s="492"/>
      <c r="I9" s="492"/>
      <c r="J9" s="492"/>
      <c r="K9" s="492"/>
      <c r="L9" s="492"/>
      <c r="M9" s="493"/>
    </row>
    <row r="10" spans="2:25" ht="13.5" customHeight="1" x14ac:dyDescent="0.3">
      <c r="B10" s="490" t="s">
        <v>904</v>
      </c>
      <c r="C10" s="491"/>
      <c r="D10" s="491"/>
      <c r="E10" s="491"/>
      <c r="F10" s="491"/>
      <c r="G10" s="516"/>
      <c r="H10" s="491"/>
      <c r="I10" s="492"/>
      <c r="J10" s="492"/>
      <c r="K10" s="492"/>
      <c r="L10" s="492"/>
      <c r="M10" s="493"/>
    </row>
    <row r="11" spans="2:25" ht="13.5" customHeight="1" x14ac:dyDescent="0.25">
      <c r="B11" s="759" t="s">
        <v>932</v>
      </c>
      <c r="C11" s="760">
        <f t="shared" ref="C11:F11" si="0">C10-C8</f>
        <v>0</v>
      </c>
      <c r="D11" s="760">
        <f t="shared" si="0"/>
        <v>0</v>
      </c>
      <c r="E11" s="760">
        <f t="shared" si="0"/>
        <v>0</v>
      </c>
      <c r="F11" s="760">
        <f t="shared" si="0"/>
        <v>0</v>
      </c>
      <c r="G11" s="761">
        <f>G10-G8</f>
        <v>0</v>
      </c>
      <c r="H11" s="760">
        <f t="shared" ref="H11:L11" si="1">H10-H8</f>
        <v>0</v>
      </c>
      <c r="I11" s="760">
        <f t="shared" si="1"/>
        <v>0</v>
      </c>
      <c r="J11" s="760">
        <f t="shared" si="1"/>
        <v>0</v>
      </c>
      <c r="K11" s="760">
        <f t="shared" si="1"/>
        <v>0</v>
      </c>
      <c r="L11" s="760">
        <f t="shared" si="1"/>
        <v>0</v>
      </c>
    </row>
    <row r="12" spans="2:25" ht="13.5" customHeight="1" x14ac:dyDescent="0.25">
      <c r="B12" s="762" t="s">
        <v>905</v>
      </c>
      <c r="C12" s="763" t="str">
        <f>IFERROR(C11/C9,"n/a")</f>
        <v>n/a</v>
      </c>
      <c r="D12" s="763" t="str">
        <f t="shared" ref="D12:L12" si="2">IFERROR(D11/D9,"n/a")</f>
        <v>n/a</v>
      </c>
      <c r="E12" s="763" t="str">
        <f t="shared" si="2"/>
        <v>n/a</v>
      </c>
      <c r="F12" s="763" t="str">
        <f t="shared" si="2"/>
        <v>n/a</v>
      </c>
      <c r="G12" s="764" t="str">
        <f t="shared" si="2"/>
        <v>n/a</v>
      </c>
      <c r="H12" s="763" t="str">
        <f t="shared" si="2"/>
        <v>n/a</v>
      </c>
      <c r="I12" s="763" t="str">
        <f t="shared" si="2"/>
        <v>n/a</v>
      </c>
      <c r="J12" s="763" t="str">
        <f t="shared" si="2"/>
        <v>n/a</v>
      </c>
      <c r="K12" s="763" t="str">
        <f t="shared" si="2"/>
        <v>n/a</v>
      </c>
      <c r="L12" s="763" t="str">
        <f t="shared" si="2"/>
        <v>n/a</v>
      </c>
    </row>
    <row r="13" spans="2:25" ht="13.5" customHeight="1" x14ac:dyDescent="0.3">
      <c r="B13" s="490" t="s">
        <v>906</v>
      </c>
      <c r="C13" s="491"/>
      <c r="D13" s="491"/>
      <c r="E13" s="491"/>
      <c r="F13" s="491"/>
      <c r="G13" s="516"/>
      <c r="H13" s="491"/>
      <c r="I13" s="491"/>
      <c r="J13" s="491"/>
      <c r="K13" s="491"/>
      <c r="L13" s="491"/>
      <c r="M13" s="493"/>
    </row>
    <row r="14" spans="2:25" ht="13.5" customHeight="1" x14ac:dyDescent="0.3">
      <c r="B14" s="494" t="s">
        <v>907</v>
      </c>
      <c r="C14" s="495" t="str">
        <f>IFERROR(C13/C6,"n/a")</f>
        <v>n/a</v>
      </c>
      <c r="D14" s="495" t="str">
        <f t="shared" ref="D14:L14" si="3">IFERROR(D13/D6,"n/a")</f>
        <v>n/a</v>
      </c>
      <c r="E14" s="495" t="str">
        <f t="shared" si="3"/>
        <v>n/a</v>
      </c>
      <c r="F14" s="495" t="str">
        <f t="shared" si="3"/>
        <v>n/a</v>
      </c>
      <c r="G14" s="517" t="str">
        <f t="shared" si="3"/>
        <v>n/a</v>
      </c>
      <c r="H14" s="495" t="str">
        <f t="shared" si="3"/>
        <v>n/a</v>
      </c>
      <c r="I14" s="495" t="str">
        <f t="shared" si="3"/>
        <v>n/a</v>
      </c>
      <c r="J14" s="495" t="str">
        <f t="shared" si="3"/>
        <v>n/a</v>
      </c>
      <c r="K14" s="495" t="str">
        <f t="shared" si="3"/>
        <v>n/a</v>
      </c>
      <c r="L14" s="495" t="str">
        <f t="shared" si="3"/>
        <v>n/a</v>
      </c>
      <c r="M14" s="493"/>
      <c r="T14" s="496"/>
      <c r="U14" s="496"/>
      <c r="V14" s="496"/>
      <c r="W14" s="496"/>
      <c r="X14" s="496"/>
      <c r="Y14" s="496"/>
    </row>
    <row r="15" spans="2:25" ht="13.5" customHeight="1" x14ac:dyDescent="0.3">
      <c r="B15" s="490" t="s">
        <v>908</v>
      </c>
      <c r="C15" s="491"/>
      <c r="D15" s="491"/>
      <c r="E15" s="491"/>
      <c r="F15" s="491"/>
      <c r="G15" s="516"/>
      <c r="H15" s="491"/>
      <c r="I15" s="491"/>
      <c r="J15" s="491"/>
      <c r="K15" s="491"/>
      <c r="L15" s="491"/>
      <c r="M15" s="493"/>
      <c r="T15" s="496"/>
      <c r="U15" s="496"/>
      <c r="V15" s="496"/>
      <c r="W15" s="496"/>
      <c r="X15" s="496"/>
      <c r="Y15" s="496"/>
    </row>
    <row r="16" spans="2:25" ht="13.5" customHeight="1" x14ac:dyDescent="0.3">
      <c r="B16" s="494" t="s">
        <v>907</v>
      </c>
      <c r="C16" s="495" t="str">
        <f>IFERROR(C15/C7,"n/a")</f>
        <v>n/a</v>
      </c>
      <c r="D16" s="495" t="str">
        <f t="shared" ref="D16:L16" si="4">IFERROR(D15/D7,"n/a")</f>
        <v>n/a</v>
      </c>
      <c r="E16" s="495" t="str">
        <f t="shared" si="4"/>
        <v>n/a</v>
      </c>
      <c r="F16" s="495" t="str">
        <f t="shared" si="4"/>
        <v>n/a</v>
      </c>
      <c r="G16" s="517" t="str">
        <f t="shared" si="4"/>
        <v>n/a</v>
      </c>
      <c r="H16" s="495" t="str">
        <f t="shared" si="4"/>
        <v>n/a</v>
      </c>
      <c r="I16" s="495" t="str">
        <f t="shared" si="4"/>
        <v>n/a</v>
      </c>
      <c r="J16" s="495" t="str">
        <f t="shared" si="4"/>
        <v>n/a</v>
      </c>
      <c r="K16" s="495" t="str">
        <f t="shared" si="4"/>
        <v>n/a</v>
      </c>
      <c r="L16" s="495" t="str">
        <f t="shared" si="4"/>
        <v>n/a</v>
      </c>
      <c r="M16" s="493"/>
      <c r="T16" s="496"/>
      <c r="U16" s="496"/>
      <c r="V16" s="496"/>
      <c r="W16" s="496"/>
      <c r="X16" s="496"/>
      <c r="Y16" s="496"/>
    </row>
    <row r="17" spans="2:25" ht="13.5" customHeight="1" x14ac:dyDescent="0.3">
      <c r="B17" s="490" t="s">
        <v>909</v>
      </c>
      <c r="C17" s="491"/>
      <c r="D17" s="491"/>
      <c r="E17" s="491"/>
      <c r="F17" s="491"/>
      <c r="G17" s="516"/>
      <c r="H17" s="491"/>
      <c r="I17" s="491"/>
      <c r="J17" s="491"/>
      <c r="K17" s="491"/>
      <c r="L17" s="491"/>
      <c r="M17" s="493"/>
      <c r="T17" s="496"/>
      <c r="U17" s="496"/>
      <c r="V17" s="496"/>
      <c r="W17" s="496"/>
      <c r="X17" s="496"/>
      <c r="Y17" s="496"/>
    </row>
    <row r="18" spans="2:25" ht="13.5" customHeight="1" x14ac:dyDescent="0.3">
      <c r="B18" s="494" t="s">
        <v>10</v>
      </c>
      <c r="C18" s="495" t="str">
        <f>IFERROR(C17/C8,"n/a")</f>
        <v>n/a</v>
      </c>
      <c r="D18" s="495" t="str">
        <f t="shared" ref="D18:L18" si="5">IFERROR(D17/D8,"n/a")</f>
        <v>n/a</v>
      </c>
      <c r="E18" s="495" t="str">
        <f t="shared" si="5"/>
        <v>n/a</v>
      </c>
      <c r="F18" s="495" t="str">
        <f t="shared" si="5"/>
        <v>n/a</v>
      </c>
      <c r="G18" s="517" t="str">
        <f t="shared" si="5"/>
        <v>n/a</v>
      </c>
      <c r="H18" s="495" t="str">
        <f t="shared" si="5"/>
        <v>n/a</v>
      </c>
      <c r="I18" s="495" t="str">
        <f t="shared" si="5"/>
        <v>n/a</v>
      </c>
      <c r="J18" s="495" t="str">
        <f t="shared" si="5"/>
        <v>n/a</v>
      </c>
      <c r="K18" s="495" t="str">
        <f t="shared" si="5"/>
        <v>n/a</v>
      </c>
      <c r="L18" s="495" t="str">
        <f t="shared" si="5"/>
        <v>n/a</v>
      </c>
      <c r="M18" s="493"/>
      <c r="T18" s="496"/>
      <c r="U18" s="496"/>
      <c r="V18" s="496"/>
      <c r="W18" s="496"/>
      <c r="X18" s="496"/>
      <c r="Y18" s="496"/>
    </row>
    <row r="19" spans="2:25" ht="13.5" customHeight="1" x14ac:dyDescent="0.3">
      <c r="B19" s="490" t="s">
        <v>910</v>
      </c>
      <c r="C19" s="491"/>
      <c r="D19" s="491"/>
      <c r="E19" s="491"/>
      <c r="F19" s="491"/>
      <c r="G19" s="516"/>
      <c r="H19" s="491"/>
      <c r="I19" s="491"/>
      <c r="J19" s="491"/>
      <c r="K19" s="491"/>
      <c r="L19" s="491"/>
      <c r="M19" s="493"/>
      <c r="T19" s="496"/>
      <c r="U19" s="496"/>
      <c r="V19" s="496"/>
      <c r="W19" s="496"/>
      <c r="X19" s="496"/>
      <c r="Y19" s="496"/>
    </row>
    <row r="20" spans="2:25" ht="13.5" customHeight="1" x14ac:dyDescent="0.3">
      <c r="B20" s="494" t="s">
        <v>10</v>
      </c>
      <c r="C20" s="495" t="str">
        <f>IFERROR(C19/C9,"n/a")</f>
        <v>n/a</v>
      </c>
      <c r="D20" s="495" t="str">
        <f t="shared" ref="D20:L20" si="6">IFERROR(D19/D9,"n/a")</f>
        <v>n/a</v>
      </c>
      <c r="E20" s="495" t="str">
        <f t="shared" si="6"/>
        <v>n/a</v>
      </c>
      <c r="F20" s="495" t="str">
        <f t="shared" si="6"/>
        <v>n/a</v>
      </c>
      <c r="G20" s="517" t="str">
        <f t="shared" si="6"/>
        <v>n/a</v>
      </c>
      <c r="H20" s="495" t="str">
        <f t="shared" si="6"/>
        <v>n/a</v>
      </c>
      <c r="I20" s="495" t="str">
        <f t="shared" si="6"/>
        <v>n/a</v>
      </c>
      <c r="J20" s="495" t="str">
        <f t="shared" si="6"/>
        <v>n/a</v>
      </c>
      <c r="K20" s="495" t="str">
        <f t="shared" si="6"/>
        <v>n/a</v>
      </c>
      <c r="L20" s="495" t="str">
        <f t="shared" si="6"/>
        <v>n/a</v>
      </c>
      <c r="M20" s="493"/>
      <c r="T20" s="496"/>
      <c r="U20" s="496"/>
      <c r="V20" s="496"/>
      <c r="W20" s="496"/>
      <c r="X20" s="496"/>
      <c r="Y20" s="496"/>
    </row>
    <row r="21" spans="2:25" ht="13.5" customHeight="1" x14ac:dyDescent="0.3">
      <c r="B21" s="490" t="s">
        <v>911</v>
      </c>
      <c r="C21" s="491"/>
      <c r="D21" s="491"/>
      <c r="E21" s="491"/>
      <c r="F21" s="491"/>
      <c r="G21" s="516"/>
      <c r="H21" s="491"/>
      <c r="I21" s="491"/>
      <c r="J21" s="491"/>
      <c r="K21" s="491"/>
      <c r="L21" s="491"/>
      <c r="M21" s="493"/>
      <c r="T21" s="496"/>
      <c r="U21" s="496"/>
      <c r="V21" s="496"/>
      <c r="W21" s="496"/>
      <c r="X21" s="496"/>
      <c r="Y21" s="496"/>
    </row>
    <row r="22" spans="2:25" ht="13.5" customHeight="1" x14ac:dyDescent="0.3">
      <c r="B22" s="494" t="s">
        <v>10</v>
      </c>
      <c r="C22" s="495" t="str">
        <f>IFERROR(C21/C10,"n/a")</f>
        <v>n/a</v>
      </c>
      <c r="D22" s="495" t="str">
        <f t="shared" ref="D22:L22" si="7">IFERROR(D21/D10,"n/a")</f>
        <v>n/a</v>
      </c>
      <c r="E22" s="495" t="str">
        <f t="shared" si="7"/>
        <v>n/a</v>
      </c>
      <c r="F22" s="495" t="str">
        <f t="shared" si="7"/>
        <v>n/a</v>
      </c>
      <c r="G22" s="517" t="str">
        <f t="shared" si="7"/>
        <v>n/a</v>
      </c>
      <c r="H22" s="495" t="str">
        <f t="shared" si="7"/>
        <v>n/a</v>
      </c>
      <c r="I22" s="495" t="str">
        <f t="shared" si="7"/>
        <v>n/a</v>
      </c>
      <c r="J22" s="495" t="str">
        <f t="shared" si="7"/>
        <v>n/a</v>
      </c>
      <c r="K22" s="495" t="str">
        <f t="shared" si="7"/>
        <v>n/a</v>
      </c>
      <c r="L22" s="495" t="str">
        <f t="shared" si="7"/>
        <v>n/a</v>
      </c>
      <c r="M22" s="493"/>
      <c r="T22" s="496"/>
      <c r="U22" s="496"/>
      <c r="V22" s="496"/>
      <c r="W22" s="496"/>
      <c r="X22" s="496"/>
      <c r="Y22" s="496"/>
    </row>
    <row r="23" spans="2:25" ht="13.5" customHeight="1" x14ac:dyDescent="0.25">
      <c r="B23" s="759" t="s">
        <v>932</v>
      </c>
      <c r="C23" s="760">
        <f>C21-C19</f>
        <v>0</v>
      </c>
      <c r="D23" s="760">
        <f t="shared" ref="D23:L23" si="8">D21-D19</f>
        <v>0</v>
      </c>
      <c r="E23" s="760">
        <f t="shared" si="8"/>
        <v>0</v>
      </c>
      <c r="F23" s="760">
        <f t="shared" si="8"/>
        <v>0</v>
      </c>
      <c r="G23" s="761">
        <f t="shared" si="8"/>
        <v>0</v>
      </c>
      <c r="H23" s="760">
        <f t="shared" si="8"/>
        <v>0</v>
      </c>
      <c r="I23" s="760">
        <f t="shared" si="8"/>
        <v>0</v>
      </c>
      <c r="J23" s="760">
        <f t="shared" si="8"/>
        <v>0</v>
      </c>
      <c r="K23" s="760">
        <f t="shared" si="8"/>
        <v>0</v>
      </c>
      <c r="L23" s="760">
        <f t="shared" si="8"/>
        <v>0</v>
      </c>
    </row>
    <row r="24" spans="2:25" ht="13.5" customHeight="1" x14ac:dyDescent="0.25">
      <c r="B24" s="762" t="s">
        <v>905</v>
      </c>
      <c r="C24" s="763" t="str">
        <f>IFERROR(C23/C19,"n/a")</f>
        <v>n/a</v>
      </c>
      <c r="D24" s="763" t="str">
        <f t="shared" ref="D24:L24" si="9">IFERROR(D23/D19,"n/a")</f>
        <v>n/a</v>
      </c>
      <c r="E24" s="763" t="str">
        <f t="shared" si="9"/>
        <v>n/a</v>
      </c>
      <c r="F24" s="763" t="str">
        <f t="shared" si="9"/>
        <v>n/a</v>
      </c>
      <c r="G24" s="764" t="str">
        <f t="shared" si="9"/>
        <v>n/a</v>
      </c>
      <c r="H24" s="763" t="str">
        <f t="shared" si="9"/>
        <v>n/a</v>
      </c>
      <c r="I24" s="763" t="str">
        <f t="shared" si="9"/>
        <v>n/a</v>
      </c>
      <c r="J24" s="763" t="str">
        <f t="shared" si="9"/>
        <v>n/a</v>
      </c>
      <c r="K24" s="763" t="str">
        <f t="shared" si="9"/>
        <v>n/a</v>
      </c>
      <c r="L24" s="763" t="str">
        <f t="shared" si="9"/>
        <v>n/a</v>
      </c>
    </row>
    <row r="25" spans="2:25" ht="13.5" customHeight="1" x14ac:dyDescent="0.3">
      <c r="B25" s="490" t="s">
        <v>912</v>
      </c>
      <c r="C25" s="491"/>
      <c r="D25" s="491"/>
      <c r="E25" s="492"/>
      <c r="F25" s="492"/>
      <c r="G25" s="515"/>
      <c r="H25" s="492"/>
      <c r="I25" s="492"/>
      <c r="J25" s="492"/>
      <c r="K25" s="492"/>
      <c r="L25" s="492"/>
      <c r="M25" s="493"/>
    </row>
    <row r="26" spans="2:25" ht="13.5" customHeight="1" x14ac:dyDescent="0.3">
      <c r="B26" s="494" t="s">
        <v>913</v>
      </c>
      <c r="C26" s="495" t="str">
        <f>IFERROR(C25/C6,"n/a")</f>
        <v>n/a</v>
      </c>
      <c r="D26" s="495" t="str">
        <f t="shared" ref="D26:L26" si="10">IFERROR(D25/D6,"n/a")</f>
        <v>n/a</v>
      </c>
      <c r="E26" s="495" t="str">
        <f t="shared" si="10"/>
        <v>n/a</v>
      </c>
      <c r="F26" s="495" t="str">
        <f t="shared" si="10"/>
        <v>n/a</v>
      </c>
      <c r="G26" s="517" t="str">
        <f t="shared" si="10"/>
        <v>n/a</v>
      </c>
      <c r="H26" s="495" t="str">
        <f t="shared" si="10"/>
        <v>n/a</v>
      </c>
      <c r="I26" s="495" t="str">
        <f t="shared" si="10"/>
        <v>n/a</v>
      </c>
      <c r="J26" s="495" t="str">
        <f t="shared" si="10"/>
        <v>n/a</v>
      </c>
      <c r="K26" s="495" t="str">
        <f t="shared" si="10"/>
        <v>n/a</v>
      </c>
      <c r="L26" s="495" t="str">
        <f t="shared" si="10"/>
        <v>n/a</v>
      </c>
      <c r="M26" s="493"/>
    </row>
    <row r="27" spans="2:25" ht="13.5" customHeight="1" x14ac:dyDescent="0.3">
      <c r="B27" s="490" t="s">
        <v>914</v>
      </c>
      <c r="C27" s="491"/>
      <c r="D27" s="491"/>
      <c r="E27" s="491"/>
      <c r="F27" s="491"/>
      <c r="G27" s="516"/>
      <c r="H27" s="491"/>
      <c r="I27" s="491"/>
      <c r="J27" s="491"/>
      <c r="K27" s="491"/>
      <c r="L27" s="491"/>
      <c r="M27" s="493"/>
    </row>
    <row r="28" spans="2:25" ht="13.5" customHeight="1" x14ac:dyDescent="0.3">
      <c r="B28" s="494" t="s">
        <v>913</v>
      </c>
      <c r="C28" s="495" t="str">
        <f>IFERROR(C27/C7,"n/a")</f>
        <v>n/a</v>
      </c>
      <c r="D28" s="495" t="str">
        <f t="shared" ref="D28:L28" si="11">IFERROR(D27/D7,"n/a")</f>
        <v>n/a</v>
      </c>
      <c r="E28" s="495" t="str">
        <f t="shared" si="11"/>
        <v>n/a</v>
      </c>
      <c r="F28" s="495" t="str">
        <f t="shared" si="11"/>
        <v>n/a</v>
      </c>
      <c r="G28" s="517" t="str">
        <f t="shared" si="11"/>
        <v>n/a</v>
      </c>
      <c r="H28" s="495" t="str">
        <f t="shared" si="11"/>
        <v>n/a</v>
      </c>
      <c r="I28" s="495" t="str">
        <f t="shared" si="11"/>
        <v>n/a</v>
      </c>
      <c r="J28" s="495" t="str">
        <f t="shared" si="11"/>
        <v>n/a</v>
      </c>
      <c r="K28" s="495" t="str">
        <f t="shared" si="11"/>
        <v>n/a</v>
      </c>
      <c r="L28" s="495" t="str">
        <f t="shared" si="11"/>
        <v>n/a</v>
      </c>
      <c r="M28" s="493"/>
    </row>
    <row r="29" spans="2:25" ht="13.5" customHeight="1" x14ac:dyDescent="0.3">
      <c r="B29" s="490" t="s">
        <v>915</v>
      </c>
      <c r="C29" s="491"/>
      <c r="D29" s="491"/>
      <c r="E29" s="491"/>
      <c r="F29" s="491"/>
      <c r="G29" s="516"/>
      <c r="H29" s="491"/>
      <c r="I29" s="491"/>
      <c r="J29" s="491"/>
      <c r="K29" s="491"/>
      <c r="L29" s="491"/>
      <c r="M29" s="493"/>
    </row>
    <row r="30" spans="2:25" ht="13.5" customHeight="1" x14ac:dyDescent="0.3">
      <c r="B30" s="494" t="s">
        <v>913</v>
      </c>
      <c r="C30" s="495" t="str">
        <f>IFERROR(C29/C8,"n/a")</f>
        <v>n/a</v>
      </c>
      <c r="D30" s="495" t="str">
        <f t="shared" ref="D30:L30" si="12">IFERROR(D29/D8,"n/a")</f>
        <v>n/a</v>
      </c>
      <c r="E30" s="495" t="str">
        <f t="shared" si="12"/>
        <v>n/a</v>
      </c>
      <c r="F30" s="495" t="str">
        <f t="shared" si="12"/>
        <v>n/a</v>
      </c>
      <c r="G30" s="517" t="str">
        <f t="shared" si="12"/>
        <v>n/a</v>
      </c>
      <c r="H30" s="495" t="str">
        <f t="shared" si="12"/>
        <v>n/a</v>
      </c>
      <c r="I30" s="495" t="str">
        <f t="shared" si="12"/>
        <v>n/a</v>
      </c>
      <c r="J30" s="495" t="str">
        <f t="shared" si="12"/>
        <v>n/a</v>
      </c>
      <c r="K30" s="495" t="str">
        <f t="shared" si="12"/>
        <v>n/a</v>
      </c>
      <c r="L30" s="495" t="str">
        <f t="shared" si="12"/>
        <v>n/a</v>
      </c>
      <c r="M30" s="493"/>
    </row>
    <row r="31" spans="2:25" ht="13.5" customHeight="1" x14ac:dyDescent="0.3">
      <c r="B31" s="490" t="s">
        <v>916</v>
      </c>
      <c r="C31" s="491"/>
      <c r="D31" s="491"/>
      <c r="E31" s="491"/>
      <c r="F31" s="491"/>
      <c r="G31" s="516"/>
      <c r="H31" s="491"/>
      <c r="I31" s="491"/>
      <c r="J31" s="491"/>
      <c r="K31" s="491"/>
      <c r="L31" s="491"/>
      <c r="M31" s="493"/>
    </row>
    <row r="32" spans="2:25" ht="13.5" customHeight="1" x14ac:dyDescent="0.3">
      <c r="B32" s="494" t="s">
        <v>913</v>
      </c>
      <c r="C32" s="495" t="str">
        <f>IFERROR(C31/C9,"n/a")</f>
        <v>n/a</v>
      </c>
      <c r="D32" s="495" t="str">
        <f t="shared" ref="D32:L32" si="13">IFERROR(D31/D9,"n/a")</f>
        <v>n/a</v>
      </c>
      <c r="E32" s="495" t="str">
        <f t="shared" si="13"/>
        <v>n/a</v>
      </c>
      <c r="F32" s="495" t="str">
        <f t="shared" si="13"/>
        <v>n/a</v>
      </c>
      <c r="G32" s="517" t="str">
        <f t="shared" si="13"/>
        <v>n/a</v>
      </c>
      <c r="H32" s="495" t="str">
        <f t="shared" si="13"/>
        <v>n/a</v>
      </c>
      <c r="I32" s="495" t="str">
        <f t="shared" si="13"/>
        <v>n/a</v>
      </c>
      <c r="J32" s="495" t="str">
        <f t="shared" si="13"/>
        <v>n/a</v>
      </c>
      <c r="K32" s="495" t="str">
        <f t="shared" si="13"/>
        <v>n/a</v>
      </c>
      <c r="L32" s="495" t="str">
        <f t="shared" si="13"/>
        <v>n/a</v>
      </c>
      <c r="M32" s="493"/>
    </row>
    <row r="33" spans="2:13" ht="13.5" customHeight="1" x14ac:dyDescent="0.3">
      <c r="B33" s="490" t="s">
        <v>917</v>
      </c>
      <c r="C33" s="491"/>
      <c r="D33" s="491"/>
      <c r="E33" s="491"/>
      <c r="F33" s="491"/>
      <c r="G33" s="516"/>
      <c r="H33" s="491"/>
      <c r="I33" s="491"/>
      <c r="J33" s="491"/>
      <c r="K33" s="491"/>
      <c r="L33" s="491"/>
      <c r="M33" s="493"/>
    </row>
    <row r="34" spans="2:13" ht="13.5" customHeight="1" x14ac:dyDescent="0.3">
      <c r="B34" s="494" t="s">
        <v>913</v>
      </c>
      <c r="C34" s="495" t="str">
        <f>IFERROR(C33/C10,"n/a")</f>
        <v>n/a</v>
      </c>
      <c r="D34" s="495" t="str">
        <f t="shared" ref="D34:L34" si="14">IFERROR(D33/D10,"n/a")</f>
        <v>n/a</v>
      </c>
      <c r="E34" s="495" t="str">
        <f t="shared" si="14"/>
        <v>n/a</v>
      </c>
      <c r="F34" s="495" t="str">
        <f t="shared" si="14"/>
        <v>n/a</v>
      </c>
      <c r="G34" s="517" t="str">
        <f t="shared" si="14"/>
        <v>n/a</v>
      </c>
      <c r="H34" s="495" t="str">
        <f t="shared" si="14"/>
        <v>n/a</v>
      </c>
      <c r="I34" s="495" t="str">
        <f t="shared" si="14"/>
        <v>n/a</v>
      </c>
      <c r="J34" s="495" t="str">
        <f t="shared" si="14"/>
        <v>n/a</v>
      </c>
      <c r="K34" s="495" t="str">
        <f t="shared" si="14"/>
        <v>n/a</v>
      </c>
      <c r="L34" s="495" t="str">
        <f t="shared" si="14"/>
        <v>n/a</v>
      </c>
      <c r="M34" s="493"/>
    </row>
    <row r="35" spans="2:13" ht="13.5" customHeight="1" x14ac:dyDescent="0.25">
      <c r="B35" s="759" t="s">
        <v>932</v>
      </c>
      <c r="C35" s="760">
        <f>C33-C31</f>
        <v>0</v>
      </c>
      <c r="D35" s="760">
        <f t="shared" ref="D35:L35" si="15">D33-D31</f>
        <v>0</v>
      </c>
      <c r="E35" s="760">
        <f t="shared" si="15"/>
        <v>0</v>
      </c>
      <c r="F35" s="760">
        <f t="shared" si="15"/>
        <v>0</v>
      </c>
      <c r="G35" s="761">
        <f t="shared" si="15"/>
        <v>0</v>
      </c>
      <c r="H35" s="760">
        <f t="shared" si="15"/>
        <v>0</v>
      </c>
      <c r="I35" s="760">
        <f t="shared" si="15"/>
        <v>0</v>
      </c>
      <c r="J35" s="760">
        <f t="shared" si="15"/>
        <v>0</v>
      </c>
      <c r="K35" s="760">
        <f t="shared" si="15"/>
        <v>0</v>
      </c>
      <c r="L35" s="760">
        <f t="shared" si="15"/>
        <v>0</v>
      </c>
    </row>
    <row r="36" spans="2:13" ht="13.5" customHeight="1" x14ac:dyDescent="0.25">
      <c r="B36" s="762" t="s">
        <v>905</v>
      </c>
      <c r="C36" s="763" t="str">
        <f>IFERROR(C35/C31,"n/a")</f>
        <v>n/a</v>
      </c>
      <c r="D36" s="763" t="str">
        <f t="shared" ref="D36" si="16">IFERROR(D35/D31,"n/a")</f>
        <v>n/a</v>
      </c>
      <c r="E36" s="763" t="str">
        <f t="shared" ref="E36" si="17">IFERROR(E35/E31,"n/a")</f>
        <v>n/a</v>
      </c>
      <c r="F36" s="763" t="str">
        <f t="shared" ref="F36" si="18">IFERROR(F35/F31,"n/a")</f>
        <v>n/a</v>
      </c>
      <c r="G36" s="764" t="str">
        <f t="shared" ref="G36" si="19">IFERROR(G35/G31,"n/a")</f>
        <v>n/a</v>
      </c>
      <c r="H36" s="763" t="str">
        <f t="shared" ref="H36" si="20">IFERROR(H35/H31,"n/a")</f>
        <v>n/a</v>
      </c>
      <c r="I36" s="763" t="str">
        <f t="shared" ref="I36" si="21">IFERROR(I35/I31,"n/a")</f>
        <v>n/a</v>
      </c>
      <c r="J36" s="763" t="str">
        <f t="shared" ref="J36" si="22">IFERROR(J35/J31,"n/a")</f>
        <v>n/a</v>
      </c>
      <c r="K36" s="763" t="str">
        <f t="shared" ref="K36" si="23">IFERROR(K35/K31,"n/a")</f>
        <v>n/a</v>
      </c>
      <c r="L36" s="763" t="str">
        <f t="shared" ref="L36" si="24">IFERROR(L35/L31,"n/a")</f>
        <v>n/a</v>
      </c>
    </row>
    <row r="40" spans="2:13" ht="2.1" customHeight="1" x14ac:dyDescent="0.25"/>
  </sheetData>
  <pageMargins left="0.7" right="0.7" top="0.75" bottom="0.75" header="0.3" footer="0.3"/>
  <pageSetup paperSize="9" orientation="portrait" verticalDpi="0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8D2E2-1ED6-4999-B4AF-D1107B8919B6}">
  <sheetPr>
    <tabColor theme="1"/>
  </sheetPr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2478A-70D5-432C-A9FB-F5C99D3463E0}">
  <sheetPr>
    <tabColor theme="4" tint="0.59999389629810485"/>
  </sheetPr>
  <dimension ref="B2:X51"/>
  <sheetViews>
    <sheetView showGridLines="0" workbookViewId="0">
      <selection activeCell="G12" sqref="G12"/>
    </sheetView>
  </sheetViews>
  <sheetFormatPr defaultColWidth="9.109375" defaultRowHeight="13.8" x14ac:dyDescent="0.25"/>
  <cols>
    <col min="1" max="1" width="3" style="29" customWidth="1"/>
    <col min="2" max="2" width="15.109375" style="29" bestFit="1" customWidth="1"/>
    <col min="3" max="4" width="9.33203125" style="29" customWidth="1"/>
    <col min="5" max="5" width="9.109375" style="29"/>
    <col min="6" max="6" width="4.33203125" style="30" customWidth="1"/>
    <col min="7" max="7" width="13.109375" style="29" bestFit="1" customWidth="1"/>
    <col min="8" max="12" width="9.109375" style="29"/>
    <col min="13" max="13" width="4.33203125" style="29" customWidth="1"/>
    <col min="14" max="14" width="15.5546875" style="29" bestFit="1" customWidth="1"/>
    <col min="15" max="17" width="9.109375" style="29"/>
    <col min="18" max="18" width="4.33203125" style="30" customWidth="1"/>
    <col min="19" max="19" width="13.5546875" style="29" bestFit="1" customWidth="1"/>
    <col min="20" max="16384" width="9.109375" style="29"/>
  </cols>
  <sheetData>
    <row r="2" spans="2:24" x14ac:dyDescent="0.25">
      <c r="B2" s="28" t="s">
        <v>79</v>
      </c>
      <c r="G2" s="28" t="s">
        <v>80</v>
      </c>
      <c r="H2" s="28"/>
      <c r="N2" s="28" t="s">
        <v>81</v>
      </c>
      <c r="S2" s="28" t="s">
        <v>82</v>
      </c>
      <c r="T2" s="28"/>
    </row>
    <row r="3" spans="2:24" x14ac:dyDescent="0.25">
      <c r="B3" s="738" t="s">
        <v>83</v>
      </c>
      <c r="C3" s="741" t="s">
        <v>84</v>
      </c>
      <c r="D3" s="741" t="s">
        <v>85</v>
      </c>
      <c r="E3" s="741" t="s">
        <v>86</v>
      </c>
      <c r="F3" s="765"/>
      <c r="G3" s="738" t="s">
        <v>87</v>
      </c>
      <c r="H3" s="741" t="s">
        <v>84</v>
      </c>
      <c r="I3" s="741" t="s">
        <v>85</v>
      </c>
      <c r="J3" s="741" t="s">
        <v>86</v>
      </c>
      <c r="K3" s="741" t="s">
        <v>88</v>
      </c>
      <c r="L3" s="741" t="s">
        <v>89</v>
      </c>
      <c r="N3" s="738" t="s">
        <v>83</v>
      </c>
      <c r="O3" s="741" t="s">
        <v>84</v>
      </c>
      <c r="P3" s="741" t="s">
        <v>85</v>
      </c>
      <c r="Q3" s="741" t="s">
        <v>86</v>
      </c>
      <c r="R3" s="765"/>
      <c r="S3" s="738" t="s">
        <v>87</v>
      </c>
      <c r="T3" s="741" t="s">
        <v>84</v>
      </c>
      <c r="U3" s="741" t="s">
        <v>85</v>
      </c>
      <c r="V3" s="741" t="s">
        <v>86</v>
      </c>
      <c r="W3" s="741" t="s">
        <v>88</v>
      </c>
      <c r="X3" s="741" t="s">
        <v>89</v>
      </c>
    </row>
    <row r="4" spans="2:24" x14ac:dyDescent="0.25">
      <c r="B4" s="2" t="s">
        <v>90</v>
      </c>
      <c r="C4" s="5">
        <f>MIN(TM!R48:T50)</f>
        <v>0</v>
      </c>
      <c r="D4" s="5">
        <f>TM!S49</f>
        <v>0</v>
      </c>
      <c r="E4" s="5">
        <f>MAX(TM!R48:T50)</f>
        <v>0</v>
      </c>
      <c r="F4" s="31"/>
      <c r="G4" s="2" t="s">
        <v>90</v>
      </c>
      <c r="H4" s="5">
        <f>C4</f>
        <v>0</v>
      </c>
      <c r="I4" s="5">
        <f t="shared" ref="I4:J6" si="0">D4-C4</f>
        <v>0</v>
      </c>
      <c r="J4" s="5">
        <f t="shared" si="0"/>
        <v>0</v>
      </c>
      <c r="K4" s="5">
        <f t="shared" ref="K4:L6" si="1">D4</f>
        <v>0</v>
      </c>
      <c r="L4" s="5">
        <f t="shared" si="1"/>
        <v>0</v>
      </c>
      <c r="N4" s="2" t="s">
        <v>90</v>
      </c>
      <c r="O4" s="5">
        <f>C4+'BP - Annual'!$F$141</f>
        <v>0</v>
      </c>
      <c r="P4" s="5">
        <f>D4+'BP - Annual'!$F$141</f>
        <v>0</v>
      </c>
      <c r="Q4" s="5">
        <f>E4+'BP - Annual'!$F$141</f>
        <v>0</v>
      </c>
      <c r="R4" s="31"/>
      <c r="S4" s="2" t="s">
        <v>90</v>
      </c>
      <c r="T4" s="5">
        <f>O4</f>
        <v>0</v>
      </c>
      <c r="U4" s="5">
        <f t="shared" ref="U4:V6" si="2">P4-O4</f>
        <v>0</v>
      </c>
      <c r="V4" s="5">
        <f t="shared" si="2"/>
        <v>0</v>
      </c>
      <c r="W4" s="5">
        <f t="shared" ref="W4:X6" si="3">P4</f>
        <v>0</v>
      </c>
      <c r="X4" s="5">
        <f t="shared" si="3"/>
        <v>0</v>
      </c>
    </row>
    <row r="5" spans="2:24" x14ac:dyDescent="0.25">
      <c r="B5" s="2" t="s">
        <v>91</v>
      </c>
      <c r="C5" s="5">
        <f>MIN(MM!R29:T31)</f>
        <v>0</v>
      </c>
      <c r="D5" s="5">
        <f>MM!S30</f>
        <v>0</v>
      </c>
      <c r="E5" s="5">
        <f>MAX(MM!R29:T31)</f>
        <v>0</v>
      </c>
      <c r="F5" s="31"/>
      <c r="G5" s="2" t="s">
        <v>91</v>
      </c>
      <c r="H5" s="5">
        <f>C5</f>
        <v>0</v>
      </c>
      <c r="I5" s="5">
        <f t="shared" si="0"/>
        <v>0</v>
      </c>
      <c r="J5" s="5">
        <f t="shared" si="0"/>
        <v>0</v>
      </c>
      <c r="K5" s="5">
        <f t="shared" si="1"/>
        <v>0</v>
      </c>
      <c r="L5" s="5">
        <f t="shared" si="1"/>
        <v>0</v>
      </c>
      <c r="N5" s="2" t="s">
        <v>91</v>
      </c>
      <c r="O5" s="5">
        <f>C5+'BP - Annual'!$F$141</f>
        <v>0</v>
      </c>
      <c r="P5" s="5">
        <f>D5+'BP - Annual'!$F$141</f>
        <v>0</v>
      </c>
      <c r="Q5" s="5">
        <f>E5+'BP - Annual'!$F$141</f>
        <v>0</v>
      </c>
      <c r="R5" s="31"/>
      <c r="S5" s="2" t="s">
        <v>91</v>
      </c>
      <c r="T5" s="5">
        <f>O5</f>
        <v>0</v>
      </c>
      <c r="U5" s="5">
        <f t="shared" si="2"/>
        <v>0</v>
      </c>
      <c r="V5" s="5">
        <f t="shared" si="2"/>
        <v>0</v>
      </c>
      <c r="W5" s="5">
        <f t="shared" si="3"/>
        <v>0</v>
      </c>
      <c r="X5" s="5">
        <f t="shared" si="3"/>
        <v>0</v>
      </c>
    </row>
    <row r="6" spans="2:24" x14ac:dyDescent="0.25">
      <c r="B6" s="2" t="s">
        <v>92</v>
      </c>
      <c r="C6" s="5" t="e">
        <f>MIN(DCF!G67:I69)</f>
        <v>#VALUE!</v>
      </c>
      <c r="D6" s="5" t="e">
        <f>DCF!H68</f>
        <v>#VALUE!</v>
      </c>
      <c r="E6" s="5" t="e">
        <f>MAX(DCF!G67:I69)</f>
        <v>#VALUE!</v>
      </c>
      <c r="F6" s="31"/>
      <c r="G6" s="2" t="s">
        <v>92</v>
      </c>
      <c r="H6" s="5" t="e">
        <f>C6</f>
        <v>#VALUE!</v>
      </c>
      <c r="I6" s="5" t="e">
        <f t="shared" si="0"/>
        <v>#VALUE!</v>
      </c>
      <c r="J6" s="5" t="e">
        <f t="shared" si="0"/>
        <v>#VALUE!</v>
      </c>
      <c r="K6" s="5" t="e">
        <f t="shared" si="1"/>
        <v>#VALUE!</v>
      </c>
      <c r="L6" s="5" t="e">
        <f t="shared" si="1"/>
        <v>#VALUE!</v>
      </c>
      <c r="N6" s="2" t="s">
        <v>92</v>
      </c>
      <c r="O6" s="5" t="e">
        <f>C6+'BP - Annual'!$F$141</f>
        <v>#VALUE!</v>
      </c>
      <c r="P6" s="5" t="e">
        <f>D6+'BP - Annual'!$F$141</f>
        <v>#VALUE!</v>
      </c>
      <c r="Q6" s="5" t="e">
        <f>E6+'BP - Annual'!$F$141</f>
        <v>#VALUE!</v>
      </c>
      <c r="R6" s="31"/>
      <c r="S6" s="2" t="s">
        <v>92</v>
      </c>
      <c r="T6" s="5" t="e">
        <f>O6</f>
        <v>#VALUE!</v>
      </c>
      <c r="U6" s="5" t="e">
        <f t="shared" si="2"/>
        <v>#VALUE!</v>
      </c>
      <c r="V6" s="5" t="e">
        <f t="shared" si="2"/>
        <v>#VALUE!</v>
      </c>
      <c r="W6" s="5" t="e">
        <f t="shared" si="3"/>
        <v>#VALUE!</v>
      </c>
      <c r="X6" s="5" t="e">
        <f t="shared" si="3"/>
        <v>#VALUE!</v>
      </c>
    </row>
    <row r="7" spans="2:24" x14ac:dyDescent="0.25">
      <c r="C7" s="5"/>
      <c r="D7" s="5"/>
      <c r="E7" s="5"/>
      <c r="H7" s="5"/>
      <c r="I7" s="5"/>
      <c r="J7" s="5"/>
      <c r="O7" s="5"/>
      <c r="P7" s="5"/>
      <c r="Q7" s="5"/>
      <c r="T7" s="5"/>
      <c r="U7" s="5"/>
      <c r="V7" s="5"/>
    </row>
    <row r="8" spans="2:24" x14ac:dyDescent="0.25">
      <c r="B8" s="28" t="s">
        <v>336</v>
      </c>
      <c r="G8" s="28" t="s">
        <v>80</v>
      </c>
      <c r="H8" s="28"/>
    </row>
    <row r="9" spans="2:24" x14ac:dyDescent="0.25">
      <c r="B9" s="738" t="s">
        <v>83</v>
      </c>
      <c r="C9" s="741" t="s">
        <v>84</v>
      </c>
      <c r="D9" s="741" t="s">
        <v>85</v>
      </c>
      <c r="E9" s="741" t="s">
        <v>86</v>
      </c>
      <c r="F9" s="765"/>
      <c r="G9" s="738" t="s">
        <v>87</v>
      </c>
      <c r="H9" s="741" t="s">
        <v>84</v>
      </c>
      <c r="I9" s="741" t="s">
        <v>85</v>
      </c>
      <c r="J9" s="741" t="s">
        <v>86</v>
      </c>
      <c r="K9" s="741" t="s">
        <v>88</v>
      </c>
      <c r="L9" s="741" t="s">
        <v>89</v>
      </c>
    </row>
    <row r="10" spans="2:24" x14ac:dyDescent="0.25">
      <c r="B10" s="2" t="s">
        <v>90</v>
      </c>
      <c r="C10" s="140" t="str">
        <f>IFERROR(C4/$C$14,"n/a")</f>
        <v>n/a</v>
      </c>
      <c r="D10" s="140" t="str">
        <f t="shared" ref="C10:E12" si="4">IFERROR(D4/$C$14,"n/a")</f>
        <v>n/a</v>
      </c>
      <c r="E10" s="140" t="str">
        <f t="shared" si="4"/>
        <v>n/a</v>
      </c>
      <c r="F10" s="31"/>
      <c r="G10" s="2" t="s">
        <v>90</v>
      </c>
      <c r="H10" s="140" t="str">
        <f>C10</f>
        <v>n/a</v>
      </c>
      <c r="I10" s="140" t="e">
        <f t="shared" ref="I10:J12" si="5">D10-C10</f>
        <v>#VALUE!</v>
      </c>
      <c r="J10" s="140" t="e">
        <f t="shared" si="5"/>
        <v>#VALUE!</v>
      </c>
      <c r="K10" s="140" t="str">
        <f t="shared" ref="K10:L12" si="6">D10</f>
        <v>n/a</v>
      </c>
      <c r="L10" s="140" t="str">
        <f t="shared" si="6"/>
        <v>n/a</v>
      </c>
    </row>
    <row r="11" spans="2:24" x14ac:dyDescent="0.25">
      <c r="B11" s="2" t="s">
        <v>91</v>
      </c>
      <c r="C11" s="140" t="str">
        <f t="shared" si="4"/>
        <v>n/a</v>
      </c>
      <c r="D11" s="140" t="str">
        <f t="shared" si="4"/>
        <v>n/a</v>
      </c>
      <c r="E11" s="140" t="str">
        <f t="shared" si="4"/>
        <v>n/a</v>
      </c>
      <c r="F11" s="31"/>
      <c r="G11" s="2" t="s">
        <v>91</v>
      </c>
      <c r="H11" s="140" t="str">
        <f>C11</f>
        <v>n/a</v>
      </c>
      <c r="I11" s="140" t="e">
        <f t="shared" si="5"/>
        <v>#VALUE!</v>
      </c>
      <c r="J11" s="140" t="e">
        <f t="shared" si="5"/>
        <v>#VALUE!</v>
      </c>
      <c r="K11" s="140" t="str">
        <f t="shared" si="6"/>
        <v>n/a</v>
      </c>
      <c r="L11" s="140" t="str">
        <f t="shared" si="6"/>
        <v>n/a</v>
      </c>
    </row>
    <row r="12" spans="2:24" x14ac:dyDescent="0.25">
      <c r="B12" s="2" t="s">
        <v>92</v>
      </c>
      <c r="C12" s="140" t="str">
        <f t="shared" si="4"/>
        <v>n/a</v>
      </c>
      <c r="D12" s="140" t="str">
        <f t="shared" si="4"/>
        <v>n/a</v>
      </c>
      <c r="E12" s="140" t="str">
        <f t="shared" si="4"/>
        <v>n/a</v>
      </c>
      <c r="F12" s="31"/>
      <c r="G12" s="2" t="s">
        <v>92</v>
      </c>
      <c r="H12" s="140" t="str">
        <f>C12</f>
        <v>n/a</v>
      </c>
      <c r="I12" s="140" t="e">
        <f t="shared" si="5"/>
        <v>#VALUE!</v>
      </c>
      <c r="J12" s="140" t="e">
        <f t="shared" si="5"/>
        <v>#VALUE!</v>
      </c>
      <c r="K12" s="140" t="str">
        <f t="shared" si="6"/>
        <v>n/a</v>
      </c>
      <c r="L12" s="140" t="str">
        <f t="shared" si="6"/>
        <v>n/a</v>
      </c>
    </row>
    <row r="13" spans="2:24" ht="14.4" thickBot="1" x14ac:dyDescent="0.3"/>
    <row r="14" spans="2:24" ht="14.4" thickBot="1" x14ac:dyDescent="0.3">
      <c r="B14" s="487" t="s">
        <v>880</v>
      </c>
      <c r="C14" s="488">
        <f>'BP - Annual'!F61</f>
        <v>0</v>
      </c>
    </row>
    <row r="51" spans="2:2" x14ac:dyDescent="0.25">
      <c r="B51" s="29" t="s">
        <v>93</v>
      </c>
    </row>
  </sheetData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9DEC6-2954-4A9A-8873-D24422C95BFA}">
  <sheetPr>
    <tabColor theme="4" tint="0.59999389629810485"/>
  </sheetPr>
  <dimension ref="A1:J82"/>
  <sheetViews>
    <sheetView showGridLines="0" workbookViewId="0">
      <selection activeCell="L76" sqref="L76"/>
    </sheetView>
  </sheetViews>
  <sheetFormatPr defaultColWidth="9.109375" defaultRowHeight="13.2" outlineLevelRow="1" x14ac:dyDescent="0.25"/>
  <cols>
    <col min="1" max="1" width="4.6640625" style="6" customWidth="1"/>
    <col min="2" max="2" width="4.44140625" style="6" customWidth="1"/>
    <col min="3" max="3" width="33.5546875" style="6" customWidth="1"/>
    <col min="4" max="4" width="9" style="6" customWidth="1"/>
    <col min="5" max="5" width="9" style="32" customWidth="1"/>
    <col min="6" max="7" width="9" style="6" customWidth="1"/>
    <col min="8" max="8" width="9" style="32" customWidth="1"/>
    <col min="9" max="10" width="9" style="6" customWidth="1"/>
    <col min="11" max="16384" width="9.109375" style="6"/>
  </cols>
  <sheetData>
    <row r="1" spans="1:8" x14ac:dyDescent="0.25">
      <c r="A1" s="1" t="e">
        <f>SUM(A2:A200)</f>
        <v>#VALUE!</v>
      </c>
    </row>
    <row r="3" spans="1:8" ht="12.75" customHeight="1" x14ac:dyDescent="0.25">
      <c r="C3" s="48" t="str">
        <f>"WACC - "&amp;Historiek!$A$2</f>
        <v>WACC - Dossier</v>
      </c>
    </row>
    <row r="4" spans="1:8" ht="12.75" customHeight="1" x14ac:dyDescent="0.25">
      <c r="C4" s="766" t="s">
        <v>875</v>
      </c>
      <c r="D4" s="767"/>
    </row>
    <row r="5" spans="1:8" ht="12.75" customHeight="1" x14ac:dyDescent="0.25">
      <c r="C5" s="33" t="s">
        <v>95</v>
      </c>
      <c r="D5" s="486">
        <v>3.5000000000000003E-2</v>
      </c>
      <c r="F5" s="6" t="s">
        <v>872</v>
      </c>
    </row>
    <row r="6" spans="1:8" ht="12.75" customHeight="1" x14ac:dyDescent="0.25">
      <c r="C6" s="35" t="s">
        <v>96</v>
      </c>
      <c r="D6" s="36"/>
      <c r="F6" s="6" t="s">
        <v>870</v>
      </c>
    </row>
    <row r="7" spans="1:8" ht="12.75" customHeight="1" x14ac:dyDescent="0.25">
      <c r="C7" s="37" t="s">
        <v>97</v>
      </c>
      <c r="D7" s="38"/>
      <c r="F7" s="6" t="s">
        <v>870</v>
      </c>
      <c r="G7" s="39"/>
      <c r="H7" s="40"/>
    </row>
    <row r="8" spans="1:8" ht="12.75" customHeight="1" x14ac:dyDescent="0.25">
      <c r="C8" s="41" t="s">
        <v>98</v>
      </c>
      <c r="D8" s="42">
        <f>D6*(1+D7*(1-D16))</f>
        <v>0</v>
      </c>
    </row>
    <row r="9" spans="1:8" ht="12.75" customHeight="1" x14ac:dyDescent="0.25">
      <c r="C9" s="33" t="s">
        <v>99</v>
      </c>
      <c r="D9" s="34">
        <v>0.06</v>
      </c>
      <c r="F9" s="6" t="s">
        <v>100</v>
      </c>
    </row>
    <row r="10" spans="1:8" ht="12.75" customHeight="1" x14ac:dyDescent="0.25">
      <c r="C10" s="33" t="s">
        <v>101</v>
      </c>
      <c r="D10" s="43"/>
      <c r="E10" s="44"/>
      <c r="F10" s="6" t="s">
        <v>871</v>
      </c>
    </row>
    <row r="11" spans="1:8" ht="12.75" customHeight="1" x14ac:dyDescent="0.25">
      <c r="C11" s="33" t="s">
        <v>102</v>
      </c>
      <c r="D11" s="45"/>
      <c r="E11" s="44"/>
      <c r="F11" s="3"/>
    </row>
    <row r="12" spans="1:8" ht="12.75" customHeight="1" x14ac:dyDescent="0.25">
      <c r="C12" s="46" t="s">
        <v>103</v>
      </c>
      <c r="D12" s="47">
        <f>SUM(D5,D8*D9,D10,D11)</f>
        <v>3.5000000000000003E-2</v>
      </c>
    </row>
    <row r="13" spans="1:8" ht="12.75" customHeight="1" x14ac:dyDescent="0.25">
      <c r="C13" s="33"/>
    </row>
    <row r="14" spans="1:8" ht="12.75" customHeight="1" x14ac:dyDescent="0.25">
      <c r="C14" s="33" t="s">
        <v>95</v>
      </c>
      <c r="D14" s="43">
        <f>D5</f>
        <v>3.5000000000000003E-2</v>
      </c>
    </row>
    <row r="15" spans="1:8" ht="12.75" customHeight="1" x14ac:dyDescent="0.25">
      <c r="C15" s="33" t="s">
        <v>874</v>
      </c>
      <c r="D15" s="43"/>
      <c r="F15" s="6" t="s">
        <v>877</v>
      </c>
    </row>
    <row r="16" spans="1:8" ht="12.75" customHeight="1" x14ac:dyDescent="0.25">
      <c r="C16" s="33" t="s">
        <v>104</v>
      </c>
      <c r="D16" s="43">
        <v>0.25</v>
      </c>
      <c r="F16" s="6" t="s">
        <v>873</v>
      </c>
    </row>
    <row r="17" spans="3:10" ht="12.75" customHeight="1" x14ac:dyDescent="0.25">
      <c r="C17" s="48" t="s">
        <v>105</v>
      </c>
      <c r="D17" s="47">
        <f>SUM(D14:D15)*(1-D16)</f>
        <v>2.6250000000000002E-2</v>
      </c>
    </row>
    <row r="18" spans="3:10" ht="12.75" customHeight="1" x14ac:dyDescent="0.25">
      <c r="C18" s="48"/>
      <c r="D18" s="47"/>
    </row>
    <row r="19" spans="3:10" ht="12.75" customHeight="1" x14ac:dyDescent="0.25">
      <c r="C19" s="33" t="s">
        <v>106</v>
      </c>
      <c r="D19" s="43">
        <f>1/(1+D7)</f>
        <v>1</v>
      </c>
      <c r="E19" s="44"/>
      <c r="F19" s="43"/>
    </row>
    <row r="20" spans="3:10" ht="12.75" customHeight="1" x14ac:dyDescent="0.25">
      <c r="C20" s="33" t="s">
        <v>107</v>
      </c>
      <c r="D20" s="43">
        <f>1-D19</f>
        <v>0</v>
      </c>
      <c r="E20" s="44"/>
    </row>
    <row r="21" spans="3:10" ht="12.75" customHeight="1" x14ac:dyDescent="0.25">
      <c r="C21" s="49" t="s">
        <v>108</v>
      </c>
      <c r="D21" s="50">
        <f>D12*D19+D17*D20</f>
        <v>3.5000000000000003E-2</v>
      </c>
    </row>
    <row r="22" spans="3:10" ht="12.75" customHeight="1" x14ac:dyDescent="0.25">
      <c r="C22" s="33"/>
    </row>
    <row r="23" spans="3:10" ht="12.75" customHeight="1" x14ac:dyDescent="0.25">
      <c r="C23" s="33"/>
    </row>
    <row r="24" spans="3:10" ht="12.75" customHeight="1" x14ac:dyDescent="0.25">
      <c r="C24" s="48" t="str">
        <f>"DCF waardering - "&amp;Historiek!$A$2</f>
        <v>DCF waardering - Dossier</v>
      </c>
    </row>
    <row r="25" spans="3:10" ht="12.75" customHeight="1" x14ac:dyDescent="0.25">
      <c r="C25" s="766" t="s">
        <v>109</v>
      </c>
      <c r="D25" s="767"/>
    </row>
    <row r="26" spans="3:10" ht="12.75" customHeight="1" x14ac:dyDescent="0.25">
      <c r="C26" s="33" t="s">
        <v>110</v>
      </c>
      <c r="D26" s="51"/>
    </row>
    <row r="27" spans="3:10" ht="12.75" customHeight="1" x14ac:dyDescent="0.25">
      <c r="C27" s="33" t="s">
        <v>111</v>
      </c>
      <c r="D27" s="52" t="s">
        <v>876</v>
      </c>
    </row>
    <row r="28" spans="3:10" ht="12.75" customHeight="1" x14ac:dyDescent="0.25">
      <c r="C28" s="33" t="s">
        <v>94</v>
      </c>
      <c r="D28" s="53">
        <f>D21</f>
        <v>3.5000000000000003E-2</v>
      </c>
    </row>
    <row r="29" spans="3:10" ht="12.75" customHeight="1" x14ac:dyDescent="0.25">
      <c r="C29" s="33" t="s">
        <v>112</v>
      </c>
      <c r="D29" s="53">
        <f>D5</f>
        <v>3.5000000000000003E-2</v>
      </c>
      <c r="H29" s="6"/>
    </row>
    <row r="30" spans="3:10" ht="12.75" customHeight="1" x14ac:dyDescent="0.25">
      <c r="C30" s="33" t="s">
        <v>104</v>
      </c>
      <c r="D30" s="53">
        <f>D16</f>
        <v>0.25</v>
      </c>
      <c r="H30" s="6"/>
    </row>
    <row r="31" spans="3:10" ht="12.75" customHeight="1" x14ac:dyDescent="0.25">
      <c r="C31" s="33"/>
      <c r="E31" s="6"/>
      <c r="H31" s="6"/>
    </row>
    <row r="32" spans="3:10" ht="12.75" customHeight="1" x14ac:dyDescent="0.25">
      <c r="C32" s="766" t="str">
        <f>'BP - Annual'!C9</f>
        <v>k€</v>
      </c>
      <c r="D32" s="743" t="str">
        <f>'BP - Annual'!F4</f>
        <v>FY23</v>
      </c>
      <c r="E32" s="741" t="str">
        <f>'BP - Annual'!G4</f>
        <v>FY24</v>
      </c>
      <c r="F32" s="741" t="str">
        <f>'BP - Annual'!H4</f>
        <v>FY25</v>
      </c>
      <c r="G32" s="741" t="str">
        <f>'BP - Annual'!I4</f>
        <v>FY26</v>
      </c>
      <c r="H32" s="741" t="str">
        <f>'BP - Annual'!J4</f>
        <v>FY27</v>
      </c>
      <c r="I32" s="741" t="str">
        <f>'BP - Annual'!K4</f>
        <v>FY28</v>
      </c>
      <c r="J32" s="741" t="s">
        <v>113</v>
      </c>
    </row>
    <row r="33" spans="3:10" ht="12.75" customHeight="1" x14ac:dyDescent="0.25">
      <c r="C33" s="48" t="s">
        <v>7</v>
      </c>
      <c r="D33" s="54">
        <f>'BP - Annual'!F52</f>
        <v>0</v>
      </c>
      <c r="E33" s="55">
        <f>'BP - Annual'!G52</f>
        <v>0</v>
      </c>
      <c r="F33" s="55">
        <f>'BP - Annual'!H52</f>
        <v>0</v>
      </c>
      <c r="G33" s="55">
        <f>'BP - Annual'!I52</f>
        <v>0</v>
      </c>
      <c r="H33" s="55">
        <f>'BP - Annual'!J52</f>
        <v>0</v>
      </c>
      <c r="I33" s="55">
        <f>'BP - Annual'!K52</f>
        <v>0</v>
      </c>
      <c r="J33" s="55">
        <f>I33*(1+J34)</f>
        <v>0</v>
      </c>
    </row>
    <row r="34" spans="3:10" ht="12.75" customHeight="1" x14ac:dyDescent="0.25">
      <c r="C34" s="56" t="s">
        <v>114</v>
      </c>
      <c r="D34" s="57" t="str">
        <f>IFERROR('BP - Annual'!F52/'BP - Annual'!E52-1,"n/a")</f>
        <v>n/a</v>
      </c>
      <c r="E34" s="58" t="str">
        <f>IFERROR(E33/D33-1,"n/a")</f>
        <v>n/a</v>
      </c>
      <c r="F34" s="58" t="str">
        <f t="shared" ref="F34:G34" si="0">IFERROR(F33/E33-1,"n/a")</f>
        <v>n/a</v>
      </c>
      <c r="G34" s="58" t="str">
        <f t="shared" si="0"/>
        <v>n/a</v>
      </c>
      <c r="H34" s="58" t="str">
        <f t="shared" ref="H34" si="1">IFERROR(H33/G33-1,"n/a")</f>
        <v>n/a</v>
      </c>
      <c r="I34" s="58" t="str">
        <f t="shared" ref="I34" si="2">IFERROR(I33/H33-1,"n/a")</f>
        <v>n/a</v>
      </c>
      <c r="J34" s="58">
        <f>D29</f>
        <v>3.5000000000000003E-2</v>
      </c>
    </row>
    <row r="35" spans="3:10" ht="12.75" customHeight="1" x14ac:dyDescent="0.25">
      <c r="C35" s="48" t="s">
        <v>0</v>
      </c>
      <c r="D35" s="54">
        <f>'BP - Annual'!F61</f>
        <v>0</v>
      </c>
      <c r="E35" s="55">
        <f>'BP - Annual'!G61</f>
        <v>0</v>
      </c>
      <c r="F35" s="55">
        <f>'BP - Annual'!H61</f>
        <v>0</v>
      </c>
      <c r="G35" s="55">
        <f>'BP - Annual'!I61</f>
        <v>0</v>
      </c>
      <c r="H35" s="59">
        <f>'BP - Annual'!J61</f>
        <v>0</v>
      </c>
      <c r="I35" s="59">
        <f>'BP - Annual'!K61</f>
        <v>0</v>
      </c>
      <c r="J35" s="59" t="e">
        <f>J36*J33</f>
        <v>#VALUE!</v>
      </c>
    </row>
    <row r="36" spans="3:10" ht="12.75" customHeight="1" x14ac:dyDescent="0.25">
      <c r="C36" s="56" t="s">
        <v>13</v>
      </c>
      <c r="D36" s="60" t="str">
        <f>IFERROR(D35/D33,"n/a")</f>
        <v>n/a</v>
      </c>
      <c r="E36" s="60" t="str">
        <f t="shared" ref="E36:I36" si="3">IFERROR(E35/E33,"n/a")</f>
        <v>n/a</v>
      </c>
      <c r="F36" s="60" t="str">
        <f t="shared" si="3"/>
        <v>n/a</v>
      </c>
      <c r="G36" s="60" t="str">
        <f t="shared" si="3"/>
        <v>n/a</v>
      </c>
      <c r="H36" s="60" t="str">
        <f t="shared" si="3"/>
        <v>n/a</v>
      </c>
      <c r="I36" s="60" t="str">
        <f t="shared" si="3"/>
        <v>n/a</v>
      </c>
      <c r="J36" s="60" t="str">
        <f>I36</f>
        <v>n/a</v>
      </c>
    </row>
    <row r="37" spans="3:10" ht="12.75" customHeight="1" x14ac:dyDescent="0.25">
      <c r="C37" s="6" t="s">
        <v>115</v>
      </c>
      <c r="D37" s="61">
        <f>'BP - Annual'!F63</f>
        <v>0</v>
      </c>
      <c r="E37" s="482">
        <f>'BP - Annual'!G63</f>
        <v>0</v>
      </c>
      <c r="F37" s="482">
        <f>'BP - Annual'!H63</f>
        <v>0</v>
      </c>
      <c r="G37" s="482">
        <f>'BP - Annual'!I63</f>
        <v>0</v>
      </c>
      <c r="H37" s="482">
        <f>'BP - Annual'!J63</f>
        <v>0</v>
      </c>
      <c r="I37" s="482">
        <f>'BP - Annual'!K63</f>
        <v>0</v>
      </c>
      <c r="J37" s="482">
        <f>J44</f>
        <v>0</v>
      </c>
    </row>
    <row r="38" spans="3:10" ht="12.75" customHeight="1" x14ac:dyDescent="0.25">
      <c r="C38" s="48" t="s">
        <v>3</v>
      </c>
      <c r="D38" s="54">
        <f>D35+D37</f>
        <v>0</v>
      </c>
      <c r="E38" s="54">
        <f t="shared" ref="E38:J38" si="4">E35+E37</f>
        <v>0</v>
      </c>
      <c r="F38" s="54">
        <f t="shared" si="4"/>
        <v>0</v>
      </c>
      <c r="G38" s="54">
        <f t="shared" si="4"/>
        <v>0</v>
      </c>
      <c r="H38" s="54">
        <f t="shared" si="4"/>
        <v>0</v>
      </c>
      <c r="I38" s="54">
        <f t="shared" si="4"/>
        <v>0</v>
      </c>
      <c r="J38" s="54" t="e">
        <f t="shared" si="4"/>
        <v>#VALUE!</v>
      </c>
    </row>
    <row r="39" spans="3:10" ht="12.75" customHeight="1" x14ac:dyDescent="0.25">
      <c r="C39" s="56" t="s">
        <v>40</v>
      </c>
      <c r="D39" s="60" t="str">
        <f>IFERROR(D38/D33,"n/a")</f>
        <v>n/a</v>
      </c>
      <c r="E39" s="60" t="str">
        <f t="shared" ref="E39:J39" si="5">IFERROR(E38/E33,"n/a")</f>
        <v>n/a</v>
      </c>
      <c r="F39" s="60" t="str">
        <f t="shared" si="5"/>
        <v>n/a</v>
      </c>
      <c r="G39" s="60" t="str">
        <f t="shared" si="5"/>
        <v>n/a</v>
      </c>
      <c r="H39" s="60" t="str">
        <f t="shared" si="5"/>
        <v>n/a</v>
      </c>
      <c r="I39" s="60" t="str">
        <f t="shared" si="5"/>
        <v>n/a</v>
      </c>
      <c r="J39" s="60" t="str">
        <f t="shared" si="5"/>
        <v>n/a</v>
      </c>
    </row>
    <row r="40" spans="3:10" ht="12.75" customHeight="1" x14ac:dyDescent="0.25">
      <c r="C40" s="33" t="s">
        <v>2</v>
      </c>
      <c r="D40" s="61">
        <f>'BP - Annual'!F73</f>
        <v>0</v>
      </c>
      <c r="E40" s="61">
        <f>IF(E38&gt;0,-E41*E38,0)</f>
        <v>0</v>
      </c>
      <c r="F40" s="61">
        <f t="shared" ref="F40:J40" si="6">IF(F38&gt;0,-F41*F38,0)</f>
        <v>0</v>
      </c>
      <c r="G40" s="61">
        <f t="shared" si="6"/>
        <v>0</v>
      </c>
      <c r="H40" s="61">
        <f t="shared" si="6"/>
        <v>0</v>
      </c>
      <c r="I40" s="61">
        <f t="shared" si="6"/>
        <v>0</v>
      </c>
      <c r="J40" s="61" t="e">
        <f t="shared" si="6"/>
        <v>#VALUE!</v>
      </c>
    </row>
    <row r="41" spans="3:10" ht="12.75" customHeight="1" x14ac:dyDescent="0.25">
      <c r="C41" s="56" t="s">
        <v>104</v>
      </c>
      <c r="D41" s="62" t="str">
        <f>IFERROR(D40/D38,"n/a")</f>
        <v>n/a</v>
      </c>
      <c r="E41" s="63">
        <f t="shared" ref="E41:J41" si="7">$D$30</f>
        <v>0.25</v>
      </c>
      <c r="F41" s="63">
        <f t="shared" si="7"/>
        <v>0.25</v>
      </c>
      <c r="G41" s="63">
        <f t="shared" si="7"/>
        <v>0.25</v>
      </c>
      <c r="H41" s="63">
        <f t="shared" si="7"/>
        <v>0.25</v>
      </c>
      <c r="I41" s="63">
        <f t="shared" si="7"/>
        <v>0.25</v>
      </c>
      <c r="J41" s="63">
        <f t="shared" si="7"/>
        <v>0.25</v>
      </c>
    </row>
    <row r="42" spans="3:10" ht="12.75" customHeight="1" x14ac:dyDescent="0.25">
      <c r="C42" s="48" t="s">
        <v>116</v>
      </c>
      <c r="D42" s="17">
        <f>SUM(D38,D40)</f>
        <v>0</v>
      </c>
      <c r="E42" s="16">
        <f t="shared" ref="E42:J42" si="8">SUM(E38,E40)</f>
        <v>0</v>
      </c>
      <c r="F42" s="16">
        <f t="shared" si="8"/>
        <v>0</v>
      </c>
      <c r="G42" s="16">
        <f t="shared" si="8"/>
        <v>0</v>
      </c>
      <c r="H42" s="16">
        <f t="shared" si="8"/>
        <v>0</v>
      </c>
      <c r="I42" s="16">
        <f t="shared" si="8"/>
        <v>0</v>
      </c>
      <c r="J42" s="16" t="e">
        <f t="shared" si="8"/>
        <v>#VALUE!</v>
      </c>
    </row>
    <row r="43" spans="3:10" ht="12.75" customHeight="1" x14ac:dyDescent="0.25">
      <c r="C43" s="33" t="s">
        <v>117</v>
      </c>
      <c r="D43" s="14"/>
      <c r="E43" s="14">
        <f t="shared" ref="E43:J43" si="9">-E37</f>
        <v>0</v>
      </c>
      <c r="F43" s="14">
        <f t="shared" si="9"/>
        <v>0</v>
      </c>
      <c r="G43" s="14">
        <f t="shared" si="9"/>
        <v>0</v>
      </c>
      <c r="H43" s="14">
        <f t="shared" si="9"/>
        <v>0</v>
      </c>
      <c r="I43" s="14">
        <f t="shared" si="9"/>
        <v>0</v>
      </c>
      <c r="J43" s="14">
        <f t="shared" si="9"/>
        <v>0</v>
      </c>
    </row>
    <row r="44" spans="3:10" ht="12.75" customHeight="1" x14ac:dyDescent="0.25">
      <c r="C44" s="33" t="s">
        <v>4</v>
      </c>
      <c r="D44" s="14"/>
      <c r="E44" s="14">
        <f>'BP - Annual'!G86</f>
        <v>0</v>
      </c>
      <c r="F44" s="14">
        <f>'BP - Annual'!H86</f>
        <v>0</v>
      </c>
      <c r="G44" s="14">
        <f>'BP - Annual'!I86</f>
        <v>0</v>
      </c>
      <c r="H44" s="14">
        <f>'BP - Annual'!J86</f>
        <v>0</v>
      </c>
      <c r="I44" s="14">
        <f>'BP - Annual'!K86</f>
        <v>0</v>
      </c>
      <c r="J44" s="485"/>
    </row>
    <row r="45" spans="3:10" ht="12.75" customHeight="1" x14ac:dyDescent="0.25">
      <c r="C45" s="33" t="s">
        <v>118</v>
      </c>
      <c r="D45" s="14"/>
      <c r="E45" s="4">
        <f>D46-E46</f>
        <v>0</v>
      </c>
      <c r="F45" s="4">
        <f t="shared" ref="F45:J45" si="10">E46-F46</f>
        <v>0</v>
      </c>
      <c r="G45" s="4">
        <f t="shared" si="10"/>
        <v>0</v>
      </c>
      <c r="H45" s="4">
        <f t="shared" si="10"/>
        <v>0</v>
      </c>
      <c r="I45" s="4">
        <f t="shared" si="10"/>
        <v>0</v>
      </c>
      <c r="J45" s="4" t="e">
        <f t="shared" si="10"/>
        <v>#VALUE!</v>
      </c>
    </row>
    <row r="46" spans="3:10" ht="12.75" customHeight="1" outlineLevel="1" x14ac:dyDescent="0.25">
      <c r="C46" s="64" t="s">
        <v>878</v>
      </c>
      <c r="D46" s="65">
        <f>'BP - Annual'!F127</f>
        <v>0</v>
      </c>
      <c r="E46" s="66">
        <f>'BP - Annual'!G127</f>
        <v>0</v>
      </c>
      <c r="F46" s="66">
        <f>'BP - Annual'!H127</f>
        <v>0</v>
      </c>
      <c r="G46" s="66">
        <f>'BP - Annual'!I127</f>
        <v>0</v>
      </c>
      <c r="H46" s="66">
        <f>'BP - Annual'!J127</f>
        <v>0</v>
      </c>
      <c r="I46" s="66">
        <f>'BP - Annual'!K127</f>
        <v>0</v>
      </c>
      <c r="J46" s="66" t="e">
        <f>J47*J33</f>
        <v>#VALUE!</v>
      </c>
    </row>
    <row r="47" spans="3:10" ht="12.75" customHeight="1" outlineLevel="1" x14ac:dyDescent="0.25">
      <c r="C47" s="64" t="s">
        <v>879</v>
      </c>
      <c r="D47" s="483" t="str">
        <f>IFERROR(D46/D33,"n/a")</f>
        <v>n/a</v>
      </c>
      <c r="E47" s="484" t="str">
        <f t="shared" ref="E47:I47" si="11">IFERROR(E46/E33,"n/a")</f>
        <v>n/a</v>
      </c>
      <c r="F47" s="484" t="str">
        <f t="shared" si="11"/>
        <v>n/a</v>
      </c>
      <c r="G47" s="484" t="str">
        <f t="shared" si="11"/>
        <v>n/a</v>
      </c>
      <c r="H47" s="484" t="str">
        <f t="shared" si="11"/>
        <v>n/a</v>
      </c>
      <c r="I47" s="484" t="str">
        <f t="shared" si="11"/>
        <v>n/a</v>
      </c>
      <c r="J47" s="484" t="str">
        <f>I47</f>
        <v>n/a</v>
      </c>
    </row>
    <row r="48" spans="3:10" ht="12.75" customHeight="1" x14ac:dyDescent="0.25">
      <c r="C48" s="48" t="s">
        <v>119</v>
      </c>
      <c r="D48" s="67"/>
      <c r="E48" s="17">
        <f>SUM(E42:E45)</f>
        <v>0</v>
      </c>
      <c r="F48" s="17">
        <f t="shared" ref="F48:J48" si="12">SUM(F42:F45)</f>
        <v>0</v>
      </c>
      <c r="G48" s="17">
        <f t="shared" si="12"/>
        <v>0</v>
      </c>
      <c r="H48" s="17">
        <f t="shared" si="12"/>
        <v>0</v>
      </c>
      <c r="I48" s="17">
        <f t="shared" si="12"/>
        <v>0</v>
      </c>
      <c r="J48" s="17" t="e">
        <f t="shared" si="12"/>
        <v>#VALUE!</v>
      </c>
    </row>
    <row r="49" spans="3:10" ht="12.75" customHeight="1" x14ac:dyDescent="0.25">
      <c r="C49" s="48" t="s">
        <v>113</v>
      </c>
      <c r="D49" s="16"/>
      <c r="E49" s="16"/>
      <c r="F49" s="16"/>
      <c r="G49" s="16"/>
      <c r="H49" s="16"/>
      <c r="I49" s="16"/>
      <c r="J49" s="16" t="e">
        <f>J48/(D28-D29)</f>
        <v>#VALUE!</v>
      </c>
    </row>
    <row r="50" spans="3:10" ht="12.75" customHeight="1" x14ac:dyDescent="0.25">
      <c r="C50" s="33"/>
      <c r="D50" s="4"/>
      <c r="E50" s="4"/>
      <c r="F50" s="4"/>
      <c r="H50" s="6"/>
    </row>
    <row r="51" spans="3:10" ht="12.75" customHeight="1" x14ac:dyDescent="0.25">
      <c r="C51" s="6" t="s">
        <v>120</v>
      </c>
      <c r="D51" s="68"/>
      <c r="E51" s="68">
        <v>0.5</v>
      </c>
      <c r="F51" s="68">
        <f>E51+1</f>
        <v>1.5</v>
      </c>
      <c r="G51" s="68">
        <f t="shared" ref="G51:I51" si="13">F51+1</f>
        <v>2.5</v>
      </c>
      <c r="H51" s="68">
        <f t="shared" si="13"/>
        <v>3.5</v>
      </c>
      <c r="I51" s="68">
        <f t="shared" si="13"/>
        <v>4.5</v>
      </c>
      <c r="J51" s="68">
        <f>I51</f>
        <v>4.5</v>
      </c>
    </row>
    <row r="52" spans="3:10" ht="12.75" customHeight="1" x14ac:dyDescent="0.25">
      <c r="C52" s="33" t="s">
        <v>121</v>
      </c>
      <c r="D52" s="68"/>
      <c r="E52" s="68">
        <f>1/(1+$D$28)^E51</f>
        <v>0.98294637436598087</v>
      </c>
      <c r="F52" s="68">
        <f t="shared" ref="F52:J52" si="14">1/(1+$D$28)^F51</f>
        <v>0.94970664189949849</v>
      </c>
      <c r="G52" s="68">
        <f t="shared" si="14"/>
        <v>0.91759095835700355</v>
      </c>
      <c r="H52" s="68">
        <f t="shared" si="14"/>
        <v>0.88656131242222569</v>
      </c>
      <c r="I52" s="68">
        <f t="shared" si="14"/>
        <v>0.85658097818572543</v>
      </c>
      <c r="J52" s="68">
        <f t="shared" si="14"/>
        <v>0.85658097818572543</v>
      </c>
    </row>
    <row r="53" spans="3:10" ht="12.75" customHeight="1" x14ac:dyDescent="0.25">
      <c r="C53" s="46" t="s">
        <v>122</v>
      </c>
      <c r="D53" s="16"/>
      <c r="E53" s="16">
        <f>E48*E52</f>
        <v>0</v>
      </c>
      <c r="F53" s="16">
        <f t="shared" ref="F53:I53" si="15">F48*F52</f>
        <v>0</v>
      </c>
      <c r="G53" s="16">
        <f t="shared" si="15"/>
        <v>0</v>
      </c>
      <c r="H53" s="16">
        <f t="shared" si="15"/>
        <v>0</v>
      </c>
      <c r="I53" s="16">
        <f t="shared" si="15"/>
        <v>0</v>
      </c>
      <c r="J53" s="16" t="e">
        <f>J49*J52</f>
        <v>#VALUE!</v>
      </c>
    </row>
    <row r="54" spans="3:10" x14ac:dyDescent="0.25">
      <c r="H54" s="6"/>
    </row>
    <row r="55" spans="3:10" ht="12.75" customHeight="1" x14ac:dyDescent="0.25">
      <c r="C55" s="768" t="s">
        <v>123</v>
      </c>
      <c r="D55" s="769" t="e">
        <f>SUM(E53:J53)</f>
        <v>#VALUE!</v>
      </c>
      <c r="H55" s="6"/>
    </row>
    <row r="56" spans="3:10" ht="12.75" customHeight="1" x14ac:dyDescent="0.25">
      <c r="C56" s="69" t="s">
        <v>326</v>
      </c>
      <c r="D56" s="70">
        <f>'BP - Annual'!F141</f>
        <v>0</v>
      </c>
      <c r="F56" s="3"/>
      <c r="H56" s="6"/>
    </row>
    <row r="57" spans="3:10" ht="12.75" customHeight="1" x14ac:dyDescent="0.25">
      <c r="C57" s="71" t="s">
        <v>124</v>
      </c>
      <c r="D57" s="72" t="e">
        <f>SUM(D55:D56)</f>
        <v>#VALUE!</v>
      </c>
      <c r="E57" s="73"/>
      <c r="F57" s="74"/>
      <c r="H57" s="6"/>
    </row>
    <row r="58" spans="3:10" ht="12.75" customHeight="1" x14ac:dyDescent="0.25">
      <c r="E58" s="6"/>
      <c r="H58" s="6"/>
    </row>
    <row r="59" spans="3:10" ht="12.75" customHeight="1" x14ac:dyDescent="0.25">
      <c r="C59" s="75" t="s">
        <v>125</v>
      </c>
      <c r="D59" s="76"/>
      <c r="E59" s="76"/>
      <c r="F59" s="76"/>
      <c r="G59" s="76"/>
      <c r="H59" s="76"/>
      <c r="I59" s="76"/>
      <c r="J59" s="77"/>
    </row>
    <row r="60" spans="3:10" ht="12.75" customHeight="1" x14ac:dyDescent="0.25">
      <c r="C60" s="69" t="s">
        <v>126</v>
      </c>
      <c r="D60" s="78" t="str">
        <f>IFERROR($D$55/D33,"n/a")</f>
        <v>n/a</v>
      </c>
      <c r="E60" s="78" t="str">
        <f t="shared" ref="E60:I60" si="16">IFERROR($D$55/E33,"n/a")</f>
        <v>n/a</v>
      </c>
      <c r="F60" s="78" t="str">
        <f t="shared" si="16"/>
        <v>n/a</v>
      </c>
      <c r="G60" s="78" t="str">
        <f t="shared" si="16"/>
        <v>n/a</v>
      </c>
      <c r="H60" s="78" t="str">
        <f t="shared" si="16"/>
        <v>n/a</v>
      </c>
      <c r="I60" s="78" t="str">
        <f t="shared" si="16"/>
        <v>n/a</v>
      </c>
      <c r="J60" s="79" t="str">
        <f>IFERROR($J$49/J33,"n/a")</f>
        <v>n/a</v>
      </c>
    </row>
    <row r="61" spans="3:10" ht="12.75" customHeight="1" x14ac:dyDescent="0.25">
      <c r="C61" s="69" t="s">
        <v>127</v>
      </c>
      <c r="D61" s="78" t="str">
        <f>IFERROR($D$55/D35,"n/a")</f>
        <v>n/a</v>
      </c>
      <c r="E61" s="78" t="str">
        <f t="shared" ref="E61:I61" si="17">IFERROR($D$55/E35,"n/a")</f>
        <v>n/a</v>
      </c>
      <c r="F61" s="78" t="str">
        <f t="shared" si="17"/>
        <v>n/a</v>
      </c>
      <c r="G61" s="78" t="str">
        <f t="shared" si="17"/>
        <v>n/a</v>
      </c>
      <c r="H61" s="78" t="str">
        <f t="shared" si="17"/>
        <v>n/a</v>
      </c>
      <c r="I61" s="78" t="str">
        <f t="shared" si="17"/>
        <v>n/a</v>
      </c>
      <c r="J61" s="79" t="str">
        <f>IFERROR($J$49/J35,"n/a")</f>
        <v>n/a</v>
      </c>
    </row>
    <row r="62" spans="3:10" ht="12.75" customHeight="1" x14ac:dyDescent="0.25">
      <c r="C62" s="80" t="s">
        <v>128</v>
      </c>
      <c r="D62" s="81" t="str">
        <f>IFERROR($D$55/D38,"n/a")</f>
        <v>n/a</v>
      </c>
      <c r="E62" s="81" t="str">
        <f t="shared" ref="E62:I62" si="18">IFERROR($D$55/E38,"n/a")</f>
        <v>n/a</v>
      </c>
      <c r="F62" s="81" t="str">
        <f t="shared" si="18"/>
        <v>n/a</v>
      </c>
      <c r="G62" s="81" t="str">
        <f t="shared" si="18"/>
        <v>n/a</v>
      </c>
      <c r="H62" s="81" t="str">
        <f t="shared" si="18"/>
        <v>n/a</v>
      </c>
      <c r="I62" s="81" t="str">
        <f t="shared" si="18"/>
        <v>n/a</v>
      </c>
      <c r="J62" s="82" t="str">
        <f>IFERROR($J$49/J38,"n/a")</f>
        <v>n/a</v>
      </c>
    </row>
    <row r="63" spans="3:10" ht="12.75" customHeight="1" x14ac:dyDescent="0.25">
      <c r="E63" s="6"/>
      <c r="H63" s="6"/>
    </row>
    <row r="64" spans="3:10" ht="12.75" customHeight="1" x14ac:dyDescent="0.25">
      <c r="C64" s="46"/>
      <c r="D64" s="46" t="s">
        <v>129</v>
      </c>
      <c r="E64" s="6"/>
      <c r="H64" s="83" t="s">
        <v>130</v>
      </c>
      <c r="J64" s="46"/>
    </row>
    <row r="65" spans="1:10" ht="12.75" customHeight="1" x14ac:dyDescent="0.25">
      <c r="C65" s="84"/>
      <c r="D65" s="84"/>
      <c r="E65" s="775" t="e">
        <f>D55</f>
        <v>#VALUE!</v>
      </c>
      <c r="F65" s="773">
        <f>G65-1%</f>
        <v>1.5000000000000001E-2</v>
      </c>
      <c r="G65" s="773">
        <f>H65-1%</f>
        <v>2.5000000000000001E-2</v>
      </c>
      <c r="H65" s="774">
        <v>3.5000000000000003E-2</v>
      </c>
      <c r="I65" s="773">
        <f>H65+1%</f>
        <v>4.5000000000000005E-2</v>
      </c>
      <c r="J65" s="773">
        <f>I65+1%</f>
        <v>5.5000000000000007E-2</v>
      </c>
    </row>
    <row r="66" spans="1:10" ht="12.75" customHeight="1" x14ac:dyDescent="0.25">
      <c r="C66" s="84"/>
      <c r="D66" s="84"/>
      <c r="E66" s="771">
        <f>E67-1%</f>
        <v>0.12999999999999998</v>
      </c>
      <c r="F66" s="4" t="e">
        <f t="dataTable" ref="F66:J70" dt2D="1" dtr="1" r1="D5" r2="D28"/>
        <v>#VALUE!</v>
      </c>
      <c r="G66" s="4" t="e">
        <v>#VALUE!</v>
      </c>
      <c r="H66" s="4" t="e">
        <v>#VALUE!</v>
      </c>
      <c r="I66" s="4" t="e">
        <v>#VALUE!</v>
      </c>
      <c r="J66" s="4" t="e">
        <v>#VALUE!</v>
      </c>
    </row>
    <row r="67" spans="1:10" ht="12.75" customHeight="1" x14ac:dyDescent="0.25">
      <c r="C67" s="84"/>
      <c r="D67" s="84"/>
      <c r="E67" s="771">
        <f>E68-1%</f>
        <v>0.13999999999999999</v>
      </c>
      <c r="F67" s="4" t="e">
        <v>#VALUE!</v>
      </c>
      <c r="G67" s="85" t="e">
        <v>#VALUE!</v>
      </c>
      <c r="H67" s="85" t="e">
        <v>#VALUE!</v>
      </c>
      <c r="I67" s="85" t="e">
        <v>#VALUE!</v>
      </c>
      <c r="J67" s="4" t="e">
        <v>#VALUE!</v>
      </c>
    </row>
    <row r="68" spans="1:10" ht="12.75" customHeight="1" x14ac:dyDescent="0.25">
      <c r="C68" s="84"/>
      <c r="D68" s="83" t="s">
        <v>94</v>
      </c>
      <c r="E68" s="772">
        <v>0.15</v>
      </c>
      <c r="F68" s="4" t="e">
        <v>#VALUE!</v>
      </c>
      <c r="G68" s="85" t="e">
        <v>#VALUE!</v>
      </c>
      <c r="H68" s="86" t="e">
        <v>#VALUE!</v>
      </c>
      <c r="I68" s="85" t="e">
        <v>#VALUE!</v>
      </c>
      <c r="J68" s="4" t="e">
        <v>#VALUE!</v>
      </c>
    </row>
    <row r="69" spans="1:10" ht="12.75" customHeight="1" x14ac:dyDescent="0.25">
      <c r="C69" s="84"/>
      <c r="D69" s="84"/>
      <c r="E69" s="771">
        <f>E68+1%</f>
        <v>0.16</v>
      </c>
      <c r="F69" s="4" t="e">
        <v>#VALUE!</v>
      </c>
      <c r="G69" s="85" t="e">
        <v>#VALUE!</v>
      </c>
      <c r="H69" s="85" t="e">
        <v>#VALUE!</v>
      </c>
      <c r="I69" s="85" t="e">
        <v>#VALUE!</v>
      </c>
      <c r="J69" s="4" t="e">
        <v>#VALUE!</v>
      </c>
    </row>
    <row r="70" spans="1:10" ht="12.75" customHeight="1" x14ac:dyDescent="0.25">
      <c r="C70" s="84"/>
      <c r="D70" s="84"/>
      <c r="E70" s="771">
        <f>E69+1%</f>
        <v>0.17</v>
      </c>
      <c r="F70" s="4" t="e">
        <v>#VALUE!</v>
      </c>
      <c r="G70" s="4" t="e">
        <v>#VALUE!</v>
      </c>
      <c r="H70" s="4" t="e">
        <v>#VALUE!</v>
      </c>
      <c r="I70" s="4" t="e">
        <v>#VALUE!</v>
      </c>
      <c r="J70" s="4" t="e">
        <v>#VALUE!</v>
      </c>
    </row>
    <row r="71" spans="1:10" ht="12.75" customHeight="1" x14ac:dyDescent="0.25">
      <c r="E71" s="6"/>
      <c r="H71" s="6"/>
    </row>
    <row r="72" spans="1:10" ht="12.75" customHeight="1" x14ac:dyDescent="0.25">
      <c r="C72" s="46"/>
      <c r="D72" s="46" t="s">
        <v>131</v>
      </c>
      <c r="E72" s="6"/>
      <c r="H72" s="83"/>
      <c r="J72" s="46"/>
    </row>
    <row r="73" spans="1:10" ht="12.75" customHeight="1" x14ac:dyDescent="0.25">
      <c r="C73" s="84"/>
      <c r="D73" s="84"/>
      <c r="E73" s="770"/>
      <c r="F73" s="773">
        <f>F65</f>
        <v>1.5000000000000001E-2</v>
      </c>
      <c r="G73" s="773">
        <f t="shared" ref="G73:J73" si="19">G65</f>
        <v>2.5000000000000001E-2</v>
      </c>
      <c r="H73" s="773">
        <f t="shared" si="19"/>
        <v>3.5000000000000003E-2</v>
      </c>
      <c r="I73" s="773">
        <f t="shared" si="19"/>
        <v>4.5000000000000005E-2</v>
      </c>
      <c r="J73" s="773">
        <f t="shared" si="19"/>
        <v>5.5000000000000007E-2</v>
      </c>
    </row>
    <row r="74" spans="1:10" ht="12.75" customHeight="1" x14ac:dyDescent="0.25">
      <c r="C74" s="84"/>
      <c r="D74" s="84"/>
      <c r="E74" s="771">
        <f>E66</f>
        <v>0.12999999999999998</v>
      </c>
      <c r="F74" s="4" t="e">
        <f>F66+$D$56</f>
        <v>#VALUE!</v>
      </c>
      <c r="G74" s="4" t="e">
        <f t="shared" ref="G74:J74" si="20">G66+$D$56</f>
        <v>#VALUE!</v>
      </c>
      <c r="H74" s="4" t="e">
        <f t="shared" si="20"/>
        <v>#VALUE!</v>
      </c>
      <c r="I74" s="4" t="e">
        <f t="shared" si="20"/>
        <v>#VALUE!</v>
      </c>
      <c r="J74" s="4" t="e">
        <f t="shared" si="20"/>
        <v>#VALUE!</v>
      </c>
    </row>
    <row r="75" spans="1:10" ht="12.75" customHeight="1" x14ac:dyDescent="0.25">
      <c r="C75" s="84"/>
      <c r="D75" s="84"/>
      <c r="E75" s="771">
        <f t="shared" ref="E75:E78" si="21">E67</f>
        <v>0.13999999999999999</v>
      </c>
      <c r="F75" s="4" t="e">
        <f t="shared" ref="F75:J75" si="22">F67+$D$56</f>
        <v>#VALUE!</v>
      </c>
      <c r="G75" s="85" t="e">
        <f t="shared" si="22"/>
        <v>#VALUE!</v>
      </c>
      <c r="H75" s="85" t="e">
        <f t="shared" si="22"/>
        <v>#VALUE!</v>
      </c>
      <c r="I75" s="85" t="e">
        <f t="shared" si="22"/>
        <v>#VALUE!</v>
      </c>
      <c r="J75" s="4" t="e">
        <f t="shared" si="22"/>
        <v>#VALUE!</v>
      </c>
    </row>
    <row r="76" spans="1:10" ht="12.75" customHeight="1" x14ac:dyDescent="0.25">
      <c r="C76" s="84"/>
      <c r="D76" s="83" t="s">
        <v>94</v>
      </c>
      <c r="E76" s="776">
        <f t="shared" si="21"/>
        <v>0.15</v>
      </c>
      <c r="F76" s="4" t="e">
        <f t="shared" ref="F76:J76" si="23">F68+$D$56</f>
        <v>#VALUE!</v>
      </c>
      <c r="G76" s="85" t="e">
        <f t="shared" si="23"/>
        <v>#VALUE!</v>
      </c>
      <c r="H76" s="86" t="e">
        <f t="shared" si="23"/>
        <v>#VALUE!</v>
      </c>
      <c r="I76" s="85" t="e">
        <f t="shared" si="23"/>
        <v>#VALUE!</v>
      </c>
      <c r="J76" s="4" t="e">
        <f t="shared" si="23"/>
        <v>#VALUE!</v>
      </c>
    </row>
    <row r="77" spans="1:10" ht="12.75" customHeight="1" x14ac:dyDescent="0.25">
      <c r="C77" s="84"/>
      <c r="D77" s="84"/>
      <c r="E77" s="771">
        <f t="shared" si="21"/>
        <v>0.16</v>
      </c>
      <c r="F77" s="4" t="e">
        <f t="shared" ref="F77:J77" si="24">F69+$D$56</f>
        <v>#VALUE!</v>
      </c>
      <c r="G77" s="85" t="e">
        <f t="shared" si="24"/>
        <v>#VALUE!</v>
      </c>
      <c r="H77" s="85" t="e">
        <f t="shared" si="24"/>
        <v>#VALUE!</v>
      </c>
      <c r="I77" s="85" t="e">
        <f t="shared" si="24"/>
        <v>#VALUE!</v>
      </c>
      <c r="J77" s="4" t="e">
        <f t="shared" si="24"/>
        <v>#VALUE!</v>
      </c>
    </row>
    <row r="78" spans="1:10" ht="12.75" customHeight="1" x14ac:dyDescent="0.25">
      <c r="C78" s="84"/>
      <c r="D78" s="84"/>
      <c r="E78" s="771">
        <f t="shared" si="21"/>
        <v>0.17</v>
      </c>
      <c r="F78" s="4" t="e">
        <f t="shared" ref="F78:J78" si="25">F70+$D$56</f>
        <v>#VALUE!</v>
      </c>
      <c r="G78" s="4" t="e">
        <f t="shared" si="25"/>
        <v>#VALUE!</v>
      </c>
      <c r="H78" s="4" t="e">
        <f t="shared" si="25"/>
        <v>#VALUE!</v>
      </c>
      <c r="I78" s="4" t="e">
        <f t="shared" si="25"/>
        <v>#VALUE!</v>
      </c>
      <c r="J78" s="4" t="e">
        <f t="shared" si="25"/>
        <v>#VALUE!</v>
      </c>
    </row>
    <row r="79" spans="1:10" ht="12.75" customHeight="1" x14ac:dyDescent="0.25">
      <c r="E79" s="6"/>
      <c r="H79" s="6"/>
    </row>
    <row r="80" spans="1:10" ht="12.75" customHeight="1" outlineLevel="1" x14ac:dyDescent="0.25">
      <c r="A80" s="10" t="e">
        <f>H80</f>
        <v>#VALUE!</v>
      </c>
      <c r="B80" s="2"/>
      <c r="C80" s="8" t="s">
        <v>5</v>
      </c>
      <c r="E80" s="6"/>
      <c r="G80" s="3"/>
      <c r="H80" s="1" t="e">
        <f>H76-D57</f>
        <v>#VALUE!</v>
      </c>
      <c r="J80" s="46"/>
    </row>
    <row r="81" spans="5:10" ht="12.75" customHeight="1" x14ac:dyDescent="0.25">
      <c r="E81" s="6"/>
      <c r="H81" s="6"/>
      <c r="J81" s="84"/>
    </row>
    <row r="82" spans="5:10" ht="12.75" customHeight="1" x14ac:dyDescent="0.25">
      <c r="E82" s="6"/>
      <c r="H82" s="6"/>
    </row>
  </sheetData>
  <pageMargins left="0.7" right="0.7" top="0.75" bottom="0.75" header="0.3" footer="0.3"/>
  <legacy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D957D-8C79-4958-8065-6EAFE2190F26}">
  <sheetPr>
    <tabColor theme="4" tint="0.59999389629810485"/>
  </sheetPr>
  <dimension ref="A1:U61"/>
  <sheetViews>
    <sheetView showGridLines="0" workbookViewId="0">
      <selection activeCell="L25" sqref="L25"/>
    </sheetView>
  </sheetViews>
  <sheetFormatPr defaultColWidth="9.109375" defaultRowHeight="13.2" x14ac:dyDescent="0.25"/>
  <cols>
    <col min="1" max="2" width="9.109375" style="2"/>
    <col min="3" max="3" width="31.5546875" style="2" customWidth="1"/>
    <col min="4" max="4" width="11.33203125" style="2" customWidth="1"/>
    <col min="5" max="5" width="11.88671875" style="2" customWidth="1"/>
    <col min="6" max="6" width="9.6640625" style="2" customWidth="1"/>
    <col min="7" max="7" width="9.33203125" style="2" customWidth="1"/>
    <col min="8" max="8" width="9.5546875" style="2" bestFit="1" customWidth="1"/>
    <col min="9" max="9" width="9.33203125" style="2" bestFit="1" customWidth="1"/>
    <col min="10" max="10" width="9.5546875" style="2" bestFit="1" customWidth="1"/>
    <col min="11" max="16384" width="9.109375" style="2"/>
  </cols>
  <sheetData>
    <row r="1" spans="1:16" x14ac:dyDescent="0.25">
      <c r="A1" s="1">
        <f>SUM(A2:A200)</f>
        <v>0</v>
      </c>
      <c r="F1" s="87"/>
      <c r="K1" s="88"/>
    </row>
    <row r="2" spans="1:16" x14ac:dyDescent="0.25">
      <c r="F2" s="45">
        <v>0.25</v>
      </c>
      <c r="K2" s="45">
        <v>0.5</v>
      </c>
    </row>
    <row r="3" spans="1:16" x14ac:dyDescent="0.25">
      <c r="C3" s="406" t="str">
        <f>"Transactie multiples waardering - "&amp;Historiek!$A$2</f>
        <v>Transactie multiples waardering - Dossier</v>
      </c>
    </row>
    <row r="4" spans="1:16" ht="26.4" x14ac:dyDescent="0.25">
      <c r="C4" s="766" t="s">
        <v>6</v>
      </c>
      <c r="D4" s="777" t="s">
        <v>132</v>
      </c>
      <c r="E4" s="777" t="s">
        <v>133</v>
      </c>
      <c r="F4" s="777" t="s">
        <v>134</v>
      </c>
      <c r="G4" s="777" t="s">
        <v>135</v>
      </c>
      <c r="H4" s="777" t="s">
        <v>136</v>
      </c>
      <c r="I4" s="777" t="s">
        <v>77</v>
      </c>
      <c r="J4" s="777" t="s">
        <v>137</v>
      </c>
      <c r="K4" s="777" t="s">
        <v>138</v>
      </c>
    </row>
    <row r="5" spans="1:16" x14ac:dyDescent="0.25">
      <c r="C5" s="89"/>
      <c r="D5" s="90"/>
    </row>
    <row r="6" spans="1:16" x14ac:dyDescent="0.25">
      <c r="C6" s="33" t="s">
        <v>139</v>
      </c>
      <c r="D6" s="5">
        <f>'BP - Annual'!D52</f>
        <v>0</v>
      </c>
      <c r="E6" s="91"/>
      <c r="F6" s="34">
        <f>$F$2</f>
        <v>0.25</v>
      </c>
      <c r="G6" s="91">
        <f>E6*(1-F6)</f>
        <v>0</v>
      </c>
      <c r="H6" s="5">
        <f>D6*G6</f>
        <v>0</v>
      </c>
      <c r="I6" s="5">
        <f>'BP - Annual'!$F$141</f>
        <v>0</v>
      </c>
      <c r="J6" s="5">
        <f>H6+I6</f>
        <v>0</v>
      </c>
      <c r="K6" s="480"/>
    </row>
    <row r="7" spans="1:16" x14ac:dyDescent="0.25">
      <c r="C7" s="33" t="s">
        <v>140</v>
      </c>
      <c r="D7" s="5">
        <f>'BP - Annual'!E52</f>
        <v>0</v>
      </c>
      <c r="E7" s="91"/>
      <c r="F7" s="34">
        <f t="shared" ref="F7:F9" si="0">$F$2</f>
        <v>0.25</v>
      </c>
      <c r="G7" s="91">
        <f t="shared" ref="G7:G9" si="1">E7*(1-F7)</f>
        <v>0</v>
      </c>
      <c r="H7" s="5">
        <f t="shared" ref="H7:H9" si="2">D7*G7</f>
        <v>0</v>
      </c>
      <c r="I7" s="5">
        <f>'BP - Annual'!$F$141</f>
        <v>0</v>
      </c>
      <c r="J7" s="5">
        <f t="shared" ref="J7:J9" si="3">H7+I7</f>
        <v>0</v>
      </c>
      <c r="K7" s="481">
        <f>(1-$K$2)/4</f>
        <v>0.125</v>
      </c>
    </row>
    <row r="8" spans="1:16" x14ac:dyDescent="0.25">
      <c r="C8" s="33" t="s">
        <v>327</v>
      </c>
      <c r="D8" s="5">
        <f>'BP - Annual'!F52</f>
        <v>0</v>
      </c>
      <c r="E8" s="91"/>
      <c r="F8" s="34">
        <f t="shared" si="0"/>
        <v>0.25</v>
      </c>
      <c r="G8" s="91">
        <f t="shared" si="1"/>
        <v>0</v>
      </c>
      <c r="H8" s="5">
        <f t="shared" si="2"/>
        <v>0</v>
      </c>
      <c r="I8" s="5">
        <f>'BP - Annual'!$F$141</f>
        <v>0</v>
      </c>
      <c r="J8" s="5">
        <f t="shared" si="3"/>
        <v>0</v>
      </c>
      <c r="K8" s="481">
        <f>K2/2</f>
        <v>0.25</v>
      </c>
    </row>
    <row r="9" spans="1:16" x14ac:dyDescent="0.25">
      <c r="C9" s="33" t="s">
        <v>859</v>
      </c>
      <c r="D9" s="5">
        <f>'BP - Annual'!G52</f>
        <v>0</v>
      </c>
      <c r="E9" s="91"/>
      <c r="F9" s="34">
        <f t="shared" si="0"/>
        <v>0.25</v>
      </c>
      <c r="G9" s="91">
        <f t="shared" si="1"/>
        <v>0</v>
      </c>
      <c r="H9" s="5">
        <f t="shared" si="2"/>
        <v>0</v>
      </c>
      <c r="I9" s="5">
        <f>'BP - Annual'!$F$141</f>
        <v>0</v>
      </c>
      <c r="J9" s="5">
        <f t="shared" si="3"/>
        <v>0</v>
      </c>
      <c r="K9" s="481">
        <f>(1-$K$2)/4</f>
        <v>0.125</v>
      </c>
    </row>
    <row r="10" spans="1:16" x14ac:dyDescent="0.25">
      <c r="E10" s="91"/>
      <c r="F10" s="11"/>
      <c r="G10" s="91"/>
      <c r="K10" s="481"/>
    </row>
    <row r="11" spans="1:16" x14ac:dyDescent="0.25">
      <c r="C11" s="33" t="s">
        <v>141</v>
      </c>
      <c r="D11" s="93">
        <f>'BP - Annual'!D61</f>
        <v>0</v>
      </c>
      <c r="E11" s="91"/>
      <c r="F11" s="34">
        <f t="shared" ref="F11:F14" si="4">$F$2</f>
        <v>0.25</v>
      </c>
      <c r="G11" s="91">
        <f t="shared" ref="G11:G14" si="5">E11*(1-F11)</f>
        <v>0</v>
      </c>
      <c r="H11" s="5">
        <f t="shared" ref="H11:H14" si="6">D11*G11</f>
        <v>0</v>
      </c>
      <c r="I11" s="5">
        <f>'BP - Annual'!$F$141</f>
        <v>0</v>
      </c>
      <c r="J11" s="5">
        <f t="shared" ref="J11:J14" si="7">H11+I11</f>
        <v>0</v>
      </c>
      <c r="K11" s="481"/>
      <c r="L11" s="3"/>
      <c r="M11" s="5"/>
      <c r="N11" s="5"/>
      <c r="O11" s="5"/>
      <c r="P11" s="5"/>
    </row>
    <row r="12" spans="1:16" x14ac:dyDescent="0.25">
      <c r="C12" s="33" t="s">
        <v>142</v>
      </c>
      <c r="D12" s="93">
        <f>'BP - Annual'!E61</f>
        <v>0</v>
      </c>
      <c r="E12" s="91"/>
      <c r="F12" s="34">
        <f t="shared" si="4"/>
        <v>0.25</v>
      </c>
      <c r="G12" s="91">
        <f t="shared" si="5"/>
        <v>0</v>
      </c>
      <c r="H12" s="5">
        <f t="shared" si="6"/>
        <v>0</v>
      </c>
      <c r="I12" s="5">
        <f>'BP - Annual'!$F$141</f>
        <v>0</v>
      </c>
      <c r="J12" s="5">
        <f t="shared" si="7"/>
        <v>0</v>
      </c>
      <c r="K12" s="481">
        <f>(1-$K$2)/4</f>
        <v>0.125</v>
      </c>
    </row>
    <row r="13" spans="1:16" x14ac:dyDescent="0.25">
      <c r="C13" s="33" t="s">
        <v>328</v>
      </c>
      <c r="D13" s="93">
        <f>'BP - Annual'!F61</f>
        <v>0</v>
      </c>
      <c r="E13" s="91"/>
      <c r="F13" s="34">
        <f t="shared" si="4"/>
        <v>0.25</v>
      </c>
      <c r="G13" s="91">
        <f t="shared" si="5"/>
        <v>0</v>
      </c>
      <c r="H13" s="5">
        <f t="shared" si="6"/>
        <v>0</v>
      </c>
      <c r="I13" s="5">
        <f>'BP - Annual'!$F$141</f>
        <v>0</v>
      </c>
      <c r="J13" s="5">
        <f t="shared" si="7"/>
        <v>0</v>
      </c>
      <c r="K13" s="481">
        <f>K8</f>
        <v>0.25</v>
      </c>
    </row>
    <row r="14" spans="1:16" x14ac:dyDescent="0.25">
      <c r="C14" s="33" t="s">
        <v>860</v>
      </c>
      <c r="D14" s="93">
        <f>'BP - Annual'!G61</f>
        <v>0</v>
      </c>
      <c r="E14" s="91"/>
      <c r="F14" s="34">
        <f t="shared" si="4"/>
        <v>0.25</v>
      </c>
      <c r="G14" s="91">
        <f t="shared" si="5"/>
        <v>0</v>
      </c>
      <c r="H14" s="5">
        <f t="shared" si="6"/>
        <v>0</v>
      </c>
      <c r="I14" s="5">
        <f>'BP - Annual'!$F$141</f>
        <v>0</v>
      </c>
      <c r="J14" s="5">
        <f t="shared" si="7"/>
        <v>0</v>
      </c>
      <c r="K14" s="481">
        <f>(1-$K$2)/4</f>
        <v>0.125</v>
      </c>
    </row>
    <row r="15" spans="1:16" x14ac:dyDescent="0.25">
      <c r="D15" s="6"/>
      <c r="E15" s="91"/>
      <c r="F15" s="34"/>
      <c r="G15" s="91"/>
      <c r="H15" s="46"/>
      <c r="I15" s="6"/>
      <c r="J15" s="46"/>
      <c r="K15" s="480"/>
    </row>
    <row r="16" spans="1:16" x14ac:dyDescent="0.25">
      <c r="C16" s="33" t="s">
        <v>329</v>
      </c>
      <c r="D16" s="93">
        <f>'BP - Annual'!D64</f>
        <v>0</v>
      </c>
      <c r="E16" s="91"/>
      <c r="F16" s="34">
        <f t="shared" ref="F16:F19" si="8">$F$2</f>
        <v>0.25</v>
      </c>
      <c r="G16" s="91">
        <f t="shared" ref="G16:G19" si="9">E16*(1-F16)</f>
        <v>0</v>
      </c>
      <c r="H16" s="5">
        <f t="shared" ref="H16:H19" si="10">D16*G16</f>
        <v>0</v>
      </c>
      <c r="I16" s="5">
        <f>'BP - Annual'!$F$141</f>
        <v>0</v>
      </c>
      <c r="J16" s="5">
        <f t="shared" ref="J16:J19" si="11">H16+I16</f>
        <v>0</v>
      </c>
      <c r="K16" s="480"/>
      <c r="M16" s="5"/>
      <c r="N16" s="5"/>
      <c r="O16" s="5"/>
      <c r="P16" s="5"/>
    </row>
    <row r="17" spans="3:11" x14ac:dyDescent="0.25">
      <c r="C17" s="33" t="s">
        <v>330</v>
      </c>
      <c r="D17" s="93">
        <f>'BP - Annual'!E64</f>
        <v>0</v>
      </c>
      <c r="E17" s="91"/>
      <c r="F17" s="34">
        <f t="shared" si="8"/>
        <v>0.25</v>
      </c>
      <c r="G17" s="91">
        <f t="shared" si="9"/>
        <v>0</v>
      </c>
      <c r="H17" s="5">
        <f t="shared" si="10"/>
        <v>0</v>
      </c>
      <c r="I17" s="5">
        <f>'BP - Annual'!$F$141</f>
        <v>0</v>
      </c>
      <c r="J17" s="5">
        <f t="shared" si="11"/>
        <v>0</v>
      </c>
      <c r="K17" s="480"/>
    </row>
    <row r="18" spans="3:11" x14ac:dyDescent="0.25">
      <c r="C18" s="33" t="s">
        <v>143</v>
      </c>
      <c r="D18" s="93">
        <f>'BP - Annual'!F64</f>
        <v>0</v>
      </c>
      <c r="E18" s="91"/>
      <c r="F18" s="34">
        <f t="shared" si="8"/>
        <v>0.25</v>
      </c>
      <c r="G18" s="91">
        <f t="shared" si="9"/>
        <v>0</v>
      </c>
      <c r="H18" s="5">
        <f t="shared" si="10"/>
        <v>0</v>
      </c>
      <c r="I18" s="5">
        <f>'BP - Annual'!$F$141</f>
        <v>0</v>
      </c>
      <c r="J18" s="5">
        <f t="shared" si="11"/>
        <v>0</v>
      </c>
      <c r="K18" s="480"/>
    </row>
    <row r="19" spans="3:11" x14ac:dyDescent="0.25">
      <c r="C19" s="33" t="s">
        <v>861</v>
      </c>
      <c r="D19" s="93">
        <f>'BP - Annual'!G64</f>
        <v>0</v>
      </c>
      <c r="E19" s="91"/>
      <c r="F19" s="34">
        <f t="shared" si="8"/>
        <v>0.25</v>
      </c>
      <c r="G19" s="91">
        <f t="shared" si="9"/>
        <v>0</v>
      </c>
      <c r="H19" s="5">
        <f t="shared" si="10"/>
        <v>0</v>
      </c>
      <c r="I19" s="5">
        <f>'BP - Annual'!$F$141</f>
        <v>0</v>
      </c>
      <c r="J19" s="5">
        <f t="shared" si="11"/>
        <v>0</v>
      </c>
      <c r="K19" s="480"/>
    </row>
    <row r="21" spans="3:11" x14ac:dyDescent="0.25">
      <c r="C21" s="94" t="s">
        <v>144</v>
      </c>
      <c r="D21" s="95"/>
      <c r="E21" s="95"/>
      <c r="F21" s="95"/>
      <c r="G21" s="95"/>
      <c r="H21" s="96">
        <f>SUMPRODUCT(H6:H19,K6:K19)</f>
        <v>0</v>
      </c>
      <c r="I21" s="96"/>
      <c r="J21" s="97">
        <f>SUMPRODUCT(J6:J19,K6:K19)</f>
        <v>0</v>
      </c>
    </row>
    <row r="23" spans="3:11" x14ac:dyDescent="0.25">
      <c r="C23" s="33" t="s">
        <v>862</v>
      </c>
      <c r="D23" s="99" t="str">
        <f>IFERROR(H21/D13,"n/a")</f>
        <v>n/a</v>
      </c>
      <c r="E23" s="91"/>
    </row>
    <row r="24" spans="3:11" x14ac:dyDescent="0.25">
      <c r="C24" s="33" t="s">
        <v>863</v>
      </c>
      <c r="D24" s="99" t="str">
        <f>IFERROR(H21/D14,"n/a")</f>
        <v>n/a</v>
      </c>
      <c r="E24" s="91"/>
    </row>
    <row r="26" spans="3:11" x14ac:dyDescent="0.25">
      <c r="C26" s="24" t="str">
        <f>"Overzicht transactie multiples - "&amp;Historiek!A2</f>
        <v>Overzicht transactie multiples - Dossier</v>
      </c>
    </row>
    <row r="27" spans="3:11" ht="26.4" x14ac:dyDescent="0.25">
      <c r="C27" s="766" t="s">
        <v>145</v>
      </c>
      <c r="D27" s="777" t="s">
        <v>146</v>
      </c>
      <c r="E27" s="777" t="s">
        <v>864</v>
      </c>
      <c r="F27" s="777" t="s">
        <v>147</v>
      </c>
      <c r="G27" s="777" t="s">
        <v>148</v>
      </c>
      <c r="H27" s="777" t="s">
        <v>127</v>
      </c>
      <c r="I27" s="777" t="s">
        <v>149</v>
      </c>
    </row>
    <row r="28" spans="3:11" x14ac:dyDescent="0.25">
      <c r="C28" s="560"/>
      <c r="D28" s="560"/>
      <c r="E28" s="561"/>
      <c r="F28" s="562"/>
      <c r="G28" s="563"/>
      <c r="H28" s="563"/>
      <c r="I28" s="564"/>
    </row>
    <row r="29" spans="3:11" x14ac:dyDescent="0.25">
      <c r="C29" s="560"/>
      <c r="D29" s="560"/>
      <c r="E29" s="561"/>
      <c r="F29" s="562"/>
      <c r="G29" s="563"/>
      <c r="H29" s="563"/>
      <c r="I29" s="563"/>
    </row>
    <row r="30" spans="3:11" x14ac:dyDescent="0.25">
      <c r="C30" s="560"/>
      <c r="D30" s="560"/>
      <c r="E30" s="561"/>
      <c r="F30" s="562"/>
      <c r="G30" s="563"/>
      <c r="H30" s="563"/>
      <c r="I30" s="563"/>
    </row>
    <row r="31" spans="3:11" x14ac:dyDescent="0.25">
      <c r="C31" s="560"/>
      <c r="D31" s="560"/>
      <c r="E31" s="561"/>
      <c r="F31" s="562"/>
      <c r="G31" s="563"/>
      <c r="H31" s="563"/>
      <c r="I31" s="563"/>
    </row>
    <row r="32" spans="3:11" x14ac:dyDescent="0.25">
      <c r="C32" s="560"/>
      <c r="D32" s="560"/>
      <c r="E32" s="561"/>
      <c r="F32" s="562"/>
      <c r="G32" s="563"/>
      <c r="H32" s="563"/>
      <c r="I32" s="563"/>
    </row>
    <row r="33" spans="3:21" x14ac:dyDescent="0.25">
      <c r="C33" s="560"/>
      <c r="D33" s="560"/>
      <c r="E33" s="561"/>
      <c r="F33" s="562"/>
      <c r="G33" s="563"/>
      <c r="H33" s="563"/>
      <c r="I33" s="563"/>
    </row>
    <row r="34" spans="3:21" x14ac:dyDescent="0.25">
      <c r="C34" s="560"/>
      <c r="D34" s="560"/>
      <c r="E34" s="561"/>
      <c r="F34" s="562"/>
      <c r="G34" s="563"/>
      <c r="H34" s="563"/>
      <c r="I34" s="563"/>
    </row>
    <row r="35" spans="3:21" x14ac:dyDescent="0.25">
      <c r="C35" s="560"/>
      <c r="D35" s="560"/>
      <c r="E35" s="561"/>
      <c r="F35" s="562"/>
      <c r="G35" s="563"/>
      <c r="H35" s="563"/>
      <c r="I35" s="563"/>
    </row>
    <row r="36" spans="3:21" x14ac:dyDescent="0.25">
      <c r="C36" s="560"/>
      <c r="D36" s="560"/>
      <c r="E36" s="561"/>
      <c r="F36" s="562"/>
      <c r="G36" s="564"/>
      <c r="H36" s="563"/>
      <c r="I36" s="563"/>
    </row>
    <row r="37" spans="3:21" x14ac:dyDescent="0.25">
      <c r="C37" s="560"/>
      <c r="D37" s="560"/>
      <c r="E37" s="561"/>
      <c r="F37" s="562"/>
      <c r="G37" s="563"/>
      <c r="H37" s="563"/>
      <c r="I37" s="563"/>
    </row>
    <row r="39" spans="3:21" x14ac:dyDescent="0.25">
      <c r="C39" s="100" t="s">
        <v>151</v>
      </c>
      <c r="D39" s="101"/>
      <c r="E39" s="101"/>
      <c r="F39" s="101"/>
      <c r="G39" s="473" t="str">
        <f>IFERROR(QUARTILE(G28:G37,1),"n/a")</f>
        <v>n/a</v>
      </c>
      <c r="H39" s="473" t="str">
        <f t="shared" ref="H39:I39" si="12">IFERROR(QUARTILE(H28:H37,1),"n/a")</f>
        <v>n/a</v>
      </c>
      <c r="I39" s="474" t="str">
        <f t="shared" si="12"/>
        <v>n/a</v>
      </c>
    </row>
    <row r="40" spans="3:21" x14ac:dyDescent="0.25">
      <c r="C40" s="103" t="s">
        <v>152</v>
      </c>
      <c r="G40" s="475" t="str">
        <f>IFERROR(MEDIAN(G28:G37),"n/a")</f>
        <v>n/a</v>
      </c>
      <c r="H40" s="475" t="str">
        <f t="shared" ref="H40:I40" si="13">IFERROR(MEDIAN(H28:H37),"n/a")</f>
        <v>n/a</v>
      </c>
      <c r="I40" s="476" t="str">
        <f t="shared" si="13"/>
        <v>n/a</v>
      </c>
    </row>
    <row r="41" spans="3:21" x14ac:dyDescent="0.25">
      <c r="C41" s="104" t="s">
        <v>153</v>
      </c>
      <c r="G41" s="140" t="str">
        <f>IFERROR(AVERAGE(G28:G37),"n/a")</f>
        <v>n/a</v>
      </c>
      <c r="H41" s="140" t="str">
        <f>IFERROR(AVERAGE(H28:H37),"n/a")</f>
        <v>n/a</v>
      </c>
      <c r="I41" s="477" t="str">
        <f t="shared" ref="I41" si="14">IFERROR(AVERAGE(I28:I37),"n/a")</f>
        <v>n/a</v>
      </c>
    </row>
    <row r="42" spans="3:21" x14ac:dyDescent="0.25">
      <c r="C42" s="105" t="s">
        <v>154</v>
      </c>
      <c r="D42" s="106"/>
      <c r="E42" s="106"/>
      <c r="F42" s="106"/>
      <c r="G42" s="478" t="str">
        <f>IFERROR(QUARTILE(G28:G37,3),"n/a")</f>
        <v>n/a</v>
      </c>
      <c r="H42" s="478" t="str">
        <f t="shared" ref="H42" si="15">IFERROR(QUARTILE(H28:H37,3),"n/a")</f>
        <v>n/a</v>
      </c>
      <c r="I42" s="479" t="str">
        <f>IFERROR(QUARTILE(I28:I37,3),"n/a")</f>
        <v>n/a</v>
      </c>
    </row>
    <row r="45" spans="3:21" x14ac:dyDescent="0.25">
      <c r="L45" s="46"/>
      <c r="N45" s="46" t="s">
        <v>129</v>
      </c>
      <c r="O45" s="6"/>
      <c r="P45" s="6"/>
      <c r="Q45" s="6"/>
      <c r="R45" s="6"/>
      <c r="S45" s="83" t="s">
        <v>869</v>
      </c>
      <c r="T45" s="6"/>
      <c r="U45" s="6"/>
    </row>
    <row r="46" spans="3:21" x14ac:dyDescent="0.25">
      <c r="N46" s="84"/>
      <c r="O46" s="84"/>
      <c r="P46" s="775">
        <f>H21</f>
        <v>0</v>
      </c>
      <c r="Q46" s="773">
        <f>R46-10%</f>
        <v>0.30000000000000004</v>
      </c>
      <c r="R46" s="773">
        <f>S46-10%</f>
        <v>0.4</v>
      </c>
      <c r="S46" s="778">
        <v>0.5</v>
      </c>
      <c r="T46" s="773">
        <f>S46+10%</f>
        <v>0.6</v>
      </c>
      <c r="U46" s="773">
        <f>T46+10%</f>
        <v>0.7</v>
      </c>
    </row>
    <row r="47" spans="3:21" x14ac:dyDescent="0.25">
      <c r="N47" s="84"/>
      <c r="O47" s="84"/>
      <c r="P47" s="771">
        <f>P48-5%</f>
        <v>0.15000000000000002</v>
      </c>
      <c r="Q47" s="4">
        <f t="dataTable" ref="Q47:U51" dt2D="1" dtr="1" r1="K2" r2="F2"/>
        <v>0</v>
      </c>
      <c r="R47" s="4">
        <v>0</v>
      </c>
      <c r="S47" s="4">
        <v>0</v>
      </c>
      <c r="T47" s="4">
        <v>0</v>
      </c>
      <c r="U47" s="4">
        <v>0</v>
      </c>
    </row>
    <row r="48" spans="3:21" x14ac:dyDescent="0.25">
      <c r="N48" s="84"/>
      <c r="O48" s="84"/>
      <c r="P48" s="771">
        <f>P49-5%</f>
        <v>0.2</v>
      </c>
      <c r="Q48" s="4">
        <v>0</v>
      </c>
      <c r="R48" s="85">
        <v>0</v>
      </c>
      <c r="S48" s="85">
        <v>0</v>
      </c>
      <c r="T48" s="85">
        <v>0</v>
      </c>
      <c r="U48" s="4">
        <v>0</v>
      </c>
    </row>
    <row r="49" spans="1:21" x14ac:dyDescent="0.25">
      <c r="N49" s="84"/>
      <c r="O49" s="83" t="s">
        <v>150</v>
      </c>
      <c r="P49" s="779">
        <v>0.25</v>
      </c>
      <c r="Q49" s="4">
        <v>0</v>
      </c>
      <c r="R49" s="85">
        <v>0</v>
      </c>
      <c r="S49" s="86">
        <v>0</v>
      </c>
      <c r="T49" s="85">
        <v>0</v>
      </c>
      <c r="U49" s="4">
        <v>0</v>
      </c>
    </row>
    <row r="50" spans="1:21" x14ac:dyDescent="0.25">
      <c r="N50" s="84"/>
      <c r="O50" s="84"/>
      <c r="P50" s="771">
        <f>P49+5%</f>
        <v>0.3</v>
      </c>
      <c r="Q50" s="4">
        <v>0</v>
      </c>
      <c r="R50" s="85">
        <v>0</v>
      </c>
      <c r="S50" s="85">
        <v>0</v>
      </c>
      <c r="T50" s="85">
        <v>0</v>
      </c>
      <c r="U50" s="4">
        <v>0</v>
      </c>
    </row>
    <row r="51" spans="1:21" x14ac:dyDescent="0.25">
      <c r="N51" s="84"/>
      <c r="O51" s="84"/>
      <c r="P51" s="771">
        <f>P50+5%</f>
        <v>0.35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</row>
    <row r="52" spans="1:21" x14ac:dyDescent="0.25">
      <c r="N52" s="6"/>
      <c r="O52" s="6"/>
      <c r="P52" s="6"/>
      <c r="Q52" s="6"/>
      <c r="R52" s="6"/>
      <c r="S52" s="6"/>
      <c r="T52" s="6"/>
      <c r="U52" s="6"/>
    </row>
    <row r="53" spans="1:21" x14ac:dyDescent="0.25">
      <c r="N53" s="46" t="s">
        <v>131</v>
      </c>
      <c r="O53" s="6"/>
      <c r="P53" s="6"/>
      <c r="Q53" s="6"/>
      <c r="R53" s="6"/>
      <c r="S53" s="83" t="s">
        <v>869</v>
      </c>
      <c r="T53" s="6"/>
      <c r="U53" s="6"/>
    </row>
    <row r="54" spans="1:21" x14ac:dyDescent="0.25">
      <c r="N54" s="84"/>
      <c r="O54" s="84"/>
      <c r="P54" s="770"/>
      <c r="Q54" s="773">
        <f>Q46</f>
        <v>0.30000000000000004</v>
      </c>
      <c r="R54" s="773">
        <f t="shared" ref="R54:U54" si="16">R46</f>
        <v>0.4</v>
      </c>
      <c r="S54" s="780">
        <f t="shared" si="16"/>
        <v>0.5</v>
      </c>
      <c r="T54" s="773">
        <f t="shared" si="16"/>
        <v>0.6</v>
      </c>
      <c r="U54" s="773">
        <f t="shared" si="16"/>
        <v>0.7</v>
      </c>
    </row>
    <row r="55" spans="1:21" x14ac:dyDescent="0.25">
      <c r="N55" s="84"/>
      <c r="O55" s="84"/>
      <c r="P55" s="771">
        <f>P47</f>
        <v>0.15000000000000002</v>
      </c>
      <c r="Q55" s="4">
        <f>Q47+$I$6</f>
        <v>0</v>
      </c>
      <c r="R55" s="4">
        <f t="shared" ref="R55:U55" si="17">R47+$I$6</f>
        <v>0</v>
      </c>
      <c r="S55" s="4">
        <f t="shared" si="17"/>
        <v>0</v>
      </c>
      <c r="T55" s="4">
        <f t="shared" si="17"/>
        <v>0</v>
      </c>
      <c r="U55" s="4">
        <f t="shared" si="17"/>
        <v>0</v>
      </c>
    </row>
    <row r="56" spans="1:21" x14ac:dyDescent="0.25">
      <c r="N56" s="84"/>
      <c r="O56" s="84"/>
      <c r="P56" s="771">
        <f t="shared" ref="P56:P59" si="18">P48</f>
        <v>0.2</v>
      </c>
      <c r="Q56" s="4">
        <f t="shared" ref="Q56:U56" si="19">Q48+$I$6</f>
        <v>0</v>
      </c>
      <c r="R56" s="85">
        <f t="shared" si="19"/>
        <v>0</v>
      </c>
      <c r="S56" s="85">
        <f t="shared" si="19"/>
        <v>0</v>
      </c>
      <c r="T56" s="85">
        <f t="shared" si="19"/>
        <v>0</v>
      </c>
      <c r="U56" s="4">
        <f t="shared" si="19"/>
        <v>0</v>
      </c>
    </row>
    <row r="57" spans="1:21" x14ac:dyDescent="0.25">
      <c r="N57" s="84"/>
      <c r="O57" s="83" t="s">
        <v>150</v>
      </c>
      <c r="P57" s="781">
        <f t="shared" si="18"/>
        <v>0.25</v>
      </c>
      <c r="Q57" s="4">
        <f t="shared" ref="Q57:U57" si="20">Q49+$I$6</f>
        <v>0</v>
      </c>
      <c r="R57" s="85">
        <f t="shared" si="20"/>
        <v>0</v>
      </c>
      <c r="S57" s="85">
        <f t="shared" si="20"/>
        <v>0</v>
      </c>
      <c r="T57" s="85">
        <f t="shared" si="20"/>
        <v>0</v>
      </c>
      <c r="U57" s="4">
        <f t="shared" si="20"/>
        <v>0</v>
      </c>
    </row>
    <row r="58" spans="1:21" x14ac:dyDescent="0.25">
      <c r="N58" s="84"/>
      <c r="O58" s="84"/>
      <c r="P58" s="771">
        <f t="shared" si="18"/>
        <v>0.3</v>
      </c>
      <c r="Q58" s="4">
        <f t="shared" ref="Q58:U58" si="21">Q50+$I$6</f>
        <v>0</v>
      </c>
      <c r="R58" s="85">
        <f t="shared" si="21"/>
        <v>0</v>
      </c>
      <c r="S58" s="85">
        <f t="shared" si="21"/>
        <v>0</v>
      </c>
      <c r="T58" s="85">
        <f t="shared" si="21"/>
        <v>0</v>
      </c>
      <c r="U58" s="4">
        <f t="shared" si="21"/>
        <v>0</v>
      </c>
    </row>
    <row r="59" spans="1:21" x14ac:dyDescent="0.25">
      <c r="N59" s="84"/>
      <c r="O59" s="84"/>
      <c r="P59" s="771">
        <f t="shared" si="18"/>
        <v>0.35</v>
      </c>
      <c r="Q59" s="4">
        <f t="shared" ref="Q59:U59" si="22">Q51+$I$6</f>
        <v>0</v>
      </c>
      <c r="R59" s="4">
        <f t="shared" si="22"/>
        <v>0</v>
      </c>
      <c r="S59" s="4">
        <f t="shared" si="22"/>
        <v>0</v>
      </c>
      <c r="T59" s="4">
        <f t="shared" si="22"/>
        <v>0</v>
      </c>
      <c r="U59" s="4">
        <f t="shared" si="22"/>
        <v>0</v>
      </c>
    </row>
    <row r="60" spans="1:21" x14ac:dyDescent="0.25">
      <c r="N60" s="6"/>
      <c r="O60" s="6"/>
      <c r="P60" s="6"/>
      <c r="Q60" s="6"/>
      <c r="R60" s="6"/>
      <c r="S60" s="6"/>
      <c r="T60" s="6"/>
      <c r="U60" s="6"/>
    </row>
    <row r="61" spans="1:21" x14ac:dyDescent="0.25">
      <c r="A61" s="10">
        <f>S61</f>
        <v>0</v>
      </c>
      <c r="C61" s="8" t="s">
        <v>5</v>
      </c>
      <c r="N61" s="6"/>
      <c r="O61" s="6"/>
      <c r="P61" s="6"/>
      <c r="Q61" s="6"/>
      <c r="R61" s="3"/>
      <c r="S61" s="102">
        <f>S57-J21</f>
        <v>0</v>
      </c>
      <c r="T61" s="6"/>
      <c r="U61" s="6"/>
    </row>
  </sheetData>
  <pageMargins left="0.7" right="0.7" top="0.75" bottom="0.75" header="0.3" footer="0.3"/>
  <pageSetup paperSize="9" orientation="portrait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FCD2D-607A-4641-BDEC-EACD03BB06D2}">
  <sheetPr>
    <tabColor theme="4" tint="0.59999389629810485"/>
    <pageSetUpPr autoPageBreaks="0"/>
  </sheetPr>
  <dimension ref="A1:W61"/>
  <sheetViews>
    <sheetView showGridLines="0" workbookViewId="0">
      <selection activeCell="J30" sqref="J30"/>
    </sheetView>
  </sheetViews>
  <sheetFormatPr defaultColWidth="9.109375" defaultRowHeight="13.2" x14ac:dyDescent="0.25"/>
  <cols>
    <col min="1" max="2" width="9.109375" style="2"/>
    <col min="3" max="3" width="27" style="2" customWidth="1"/>
    <col min="4" max="4" width="12.88671875" style="2" customWidth="1"/>
    <col min="5" max="5" width="11.44140625" style="2" customWidth="1"/>
    <col min="6" max="6" width="9.6640625" style="2" customWidth="1"/>
    <col min="7" max="7" width="10.33203125" style="2" customWidth="1"/>
    <col min="8" max="8" width="9.33203125" style="2" customWidth="1"/>
    <col min="9" max="9" width="9.5546875" style="2" bestFit="1" customWidth="1"/>
    <col min="10" max="10" width="9.33203125" style="2" bestFit="1" customWidth="1"/>
    <col min="11" max="11" width="9.5546875" style="2" bestFit="1" customWidth="1"/>
    <col min="12" max="16384" width="9.109375" style="2"/>
  </cols>
  <sheetData>
    <row r="1" spans="1:17" x14ac:dyDescent="0.25">
      <c r="A1" s="1">
        <f>SUM(A2:A162)</f>
        <v>0</v>
      </c>
      <c r="F1" s="87"/>
      <c r="L1" s="88"/>
    </row>
    <row r="2" spans="1:17" x14ac:dyDescent="0.25">
      <c r="F2" s="45">
        <v>0.5</v>
      </c>
      <c r="K2" s="45">
        <v>0.5</v>
      </c>
    </row>
    <row r="3" spans="1:17" x14ac:dyDescent="0.25">
      <c r="C3" s="406" t="str">
        <f>"Markt multiples waardering - "&amp;Historiek!$A$2</f>
        <v>Markt multiples waardering - Dossier</v>
      </c>
    </row>
    <row r="4" spans="1:17" ht="39.6" x14ac:dyDescent="0.25">
      <c r="C4" s="766" t="s">
        <v>6</v>
      </c>
      <c r="D4" s="777" t="s">
        <v>132</v>
      </c>
      <c r="E4" s="777" t="s">
        <v>133</v>
      </c>
      <c r="F4" s="777" t="s">
        <v>865</v>
      </c>
      <c r="G4" s="777" t="s">
        <v>135</v>
      </c>
      <c r="H4" s="777" t="s">
        <v>136</v>
      </c>
      <c r="I4" s="777" t="s">
        <v>77</v>
      </c>
      <c r="J4" s="777" t="s">
        <v>137</v>
      </c>
      <c r="K4" s="777" t="s">
        <v>138</v>
      </c>
    </row>
    <row r="5" spans="1:17" x14ac:dyDescent="0.25">
      <c r="C5" s="89"/>
      <c r="D5" s="90"/>
    </row>
    <row r="6" spans="1:17" x14ac:dyDescent="0.25">
      <c r="C6" s="33" t="s">
        <v>139</v>
      </c>
      <c r="D6" s="5">
        <f>'BP - Annual'!D52</f>
        <v>0</v>
      </c>
      <c r="E6" s="91"/>
      <c r="F6" s="34">
        <f>$F$2</f>
        <v>0.5</v>
      </c>
      <c r="G6" s="91">
        <f>E6*(1-F6)</f>
        <v>0</v>
      </c>
      <c r="H6" s="5">
        <f>D6*G6</f>
        <v>0</v>
      </c>
      <c r="I6" s="5">
        <f>'BP - Annual'!$F$141</f>
        <v>0</v>
      </c>
      <c r="J6" s="5">
        <f>H6+I6</f>
        <v>0</v>
      </c>
      <c r="K6" s="480"/>
    </row>
    <row r="7" spans="1:17" x14ac:dyDescent="0.25">
      <c r="C7" s="33" t="s">
        <v>140</v>
      </c>
      <c r="D7" s="5">
        <f>'BP - Annual'!E52</f>
        <v>0</v>
      </c>
      <c r="E7" s="91"/>
      <c r="F7" s="34">
        <f t="shared" ref="F7:F9" si="0">$F$2</f>
        <v>0.5</v>
      </c>
      <c r="G7" s="91">
        <f t="shared" ref="G7:G9" si="1">E7*(1-F7)</f>
        <v>0</v>
      </c>
      <c r="H7" s="5">
        <f t="shared" ref="H7:H9" si="2">D7*G7</f>
        <v>0</v>
      </c>
      <c r="I7" s="5">
        <f>'BP - Annual'!$F$141</f>
        <v>0</v>
      </c>
      <c r="J7" s="5">
        <f t="shared" ref="J7:J9" si="3">H7+I7</f>
        <v>0</v>
      </c>
      <c r="K7" s="481">
        <f>(1-$K$2)/4</f>
        <v>0.125</v>
      </c>
    </row>
    <row r="8" spans="1:17" x14ac:dyDescent="0.25">
      <c r="C8" s="33" t="s">
        <v>327</v>
      </c>
      <c r="D8" s="5">
        <f>'BP - Annual'!F52</f>
        <v>0</v>
      </c>
      <c r="E8" s="91"/>
      <c r="F8" s="34">
        <f t="shared" si="0"/>
        <v>0.5</v>
      </c>
      <c r="G8" s="91">
        <f t="shared" si="1"/>
        <v>0</v>
      </c>
      <c r="H8" s="5">
        <f t="shared" si="2"/>
        <v>0</v>
      </c>
      <c r="I8" s="5">
        <f>'BP - Annual'!$F$141</f>
        <v>0</v>
      </c>
      <c r="J8" s="5">
        <f t="shared" si="3"/>
        <v>0</v>
      </c>
      <c r="K8" s="481">
        <f>K2/2</f>
        <v>0.25</v>
      </c>
    </row>
    <row r="9" spans="1:17" x14ac:dyDescent="0.25">
      <c r="C9" s="33" t="s">
        <v>859</v>
      </c>
      <c r="D9" s="5">
        <f>'BP - Annual'!G52</f>
        <v>0</v>
      </c>
      <c r="E9" s="91"/>
      <c r="F9" s="34">
        <f t="shared" si="0"/>
        <v>0.5</v>
      </c>
      <c r="G9" s="91">
        <f t="shared" si="1"/>
        <v>0</v>
      </c>
      <c r="H9" s="5">
        <f t="shared" si="2"/>
        <v>0</v>
      </c>
      <c r="I9" s="5">
        <f>'BP - Annual'!$F$141</f>
        <v>0</v>
      </c>
      <c r="J9" s="5">
        <f t="shared" si="3"/>
        <v>0</v>
      </c>
      <c r="K9" s="481">
        <f>(1-$K$2)/4</f>
        <v>0.125</v>
      </c>
    </row>
    <row r="10" spans="1:17" x14ac:dyDescent="0.25">
      <c r="E10" s="91"/>
      <c r="F10" s="11"/>
      <c r="G10" s="91"/>
      <c r="K10" s="481"/>
    </row>
    <row r="11" spans="1:17" x14ac:dyDescent="0.25">
      <c r="C11" s="33" t="s">
        <v>141</v>
      </c>
      <c r="D11" s="93">
        <f>'BP - Annual'!D61</f>
        <v>0</v>
      </c>
      <c r="E11" s="91"/>
      <c r="F11" s="34">
        <f t="shared" ref="F11:F14" si="4">$F$2</f>
        <v>0.5</v>
      </c>
      <c r="G11" s="91">
        <f t="shared" ref="G11:G14" si="5">E11*(1-F11)</f>
        <v>0</v>
      </c>
      <c r="H11" s="5">
        <f t="shared" ref="H11:H14" si="6">D11*G11</f>
        <v>0</v>
      </c>
      <c r="I11" s="5">
        <f>'BP - Annual'!$F$141</f>
        <v>0</v>
      </c>
      <c r="J11" s="5">
        <f t="shared" ref="J11:J14" si="7">H11+I11</f>
        <v>0</v>
      </c>
      <c r="K11" s="481"/>
      <c r="M11" s="3"/>
      <c r="N11" s="5"/>
      <c r="O11" s="5"/>
      <c r="P11" s="5"/>
      <c r="Q11" s="5"/>
    </row>
    <row r="12" spans="1:17" x14ac:dyDescent="0.25">
      <c r="C12" s="33" t="s">
        <v>142</v>
      </c>
      <c r="D12" s="93">
        <f>'BP - Annual'!E61</f>
        <v>0</v>
      </c>
      <c r="E12" s="91"/>
      <c r="F12" s="34">
        <f t="shared" si="4"/>
        <v>0.5</v>
      </c>
      <c r="G12" s="91">
        <f t="shared" si="5"/>
        <v>0</v>
      </c>
      <c r="H12" s="5">
        <f t="shared" si="6"/>
        <v>0</v>
      </c>
      <c r="I12" s="5">
        <f>'BP - Annual'!$F$141</f>
        <v>0</v>
      </c>
      <c r="J12" s="5">
        <f t="shared" si="7"/>
        <v>0</v>
      </c>
      <c r="K12" s="481">
        <f>(1-$K$2)/4</f>
        <v>0.125</v>
      </c>
    </row>
    <row r="13" spans="1:17" x14ac:dyDescent="0.25">
      <c r="C13" s="33" t="s">
        <v>328</v>
      </c>
      <c r="D13" s="93">
        <f>'BP - Annual'!F61</f>
        <v>0</v>
      </c>
      <c r="E13" s="91"/>
      <c r="F13" s="34">
        <f t="shared" si="4"/>
        <v>0.5</v>
      </c>
      <c r="G13" s="91">
        <f t="shared" si="5"/>
        <v>0</v>
      </c>
      <c r="H13" s="5">
        <f t="shared" si="6"/>
        <v>0</v>
      </c>
      <c r="I13" s="5">
        <f>'BP - Annual'!$F$141</f>
        <v>0</v>
      </c>
      <c r="J13" s="5">
        <f t="shared" si="7"/>
        <v>0</v>
      </c>
      <c r="K13" s="481">
        <f>K8</f>
        <v>0.25</v>
      </c>
    </row>
    <row r="14" spans="1:17" x14ac:dyDescent="0.25">
      <c r="C14" s="33" t="s">
        <v>860</v>
      </c>
      <c r="D14" s="93">
        <f>'BP - Annual'!G61</f>
        <v>0</v>
      </c>
      <c r="E14" s="91"/>
      <c r="F14" s="34">
        <f t="shared" si="4"/>
        <v>0.5</v>
      </c>
      <c r="G14" s="91">
        <f t="shared" si="5"/>
        <v>0</v>
      </c>
      <c r="H14" s="5">
        <f t="shared" si="6"/>
        <v>0</v>
      </c>
      <c r="I14" s="5">
        <f>'BP - Annual'!$F$141</f>
        <v>0</v>
      </c>
      <c r="J14" s="5">
        <f t="shared" si="7"/>
        <v>0</v>
      </c>
      <c r="K14" s="481">
        <f>(1-$K$2)/4</f>
        <v>0.125</v>
      </c>
    </row>
    <row r="15" spans="1:17" x14ac:dyDescent="0.25">
      <c r="D15" s="6"/>
      <c r="E15" s="91"/>
      <c r="F15" s="34"/>
      <c r="G15" s="91"/>
      <c r="H15" s="46"/>
      <c r="I15" s="6"/>
      <c r="J15" s="46"/>
      <c r="K15" s="480"/>
    </row>
    <row r="16" spans="1:17" x14ac:dyDescent="0.25">
      <c r="C16" s="33" t="s">
        <v>329</v>
      </c>
      <c r="D16" s="93">
        <f>'BP - Annual'!D64</f>
        <v>0</v>
      </c>
      <c r="E16" s="91"/>
      <c r="F16" s="34">
        <f t="shared" ref="F16:F19" si="8">$F$2</f>
        <v>0.5</v>
      </c>
      <c r="G16" s="91">
        <f t="shared" ref="G16:G19" si="9">E16*(1-F16)</f>
        <v>0</v>
      </c>
      <c r="H16" s="5">
        <f t="shared" ref="H16:H19" si="10">D16*G16</f>
        <v>0</v>
      </c>
      <c r="I16" s="5">
        <f>'BP - Annual'!$F$141</f>
        <v>0</v>
      </c>
      <c r="J16" s="5">
        <f t="shared" ref="J16:J19" si="11">H16+I16</f>
        <v>0</v>
      </c>
      <c r="K16" s="480"/>
      <c r="N16" s="5"/>
      <c r="O16" s="5"/>
      <c r="P16" s="5"/>
      <c r="Q16" s="5"/>
    </row>
    <row r="17" spans="3:21" x14ac:dyDescent="0.25">
      <c r="C17" s="33" t="s">
        <v>330</v>
      </c>
      <c r="D17" s="93">
        <f>'BP - Annual'!E64</f>
        <v>0</v>
      </c>
      <c r="E17" s="91"/>
      <c r="F17" s="34">
        <f t="shared" si="8"/>
        <v>0.5</v>
      </c>
      <c r="G17" s="91">
        <f t="shared" si="9"/>
        <v>0</v>
      </c>
      <c r="H17" s="5">
        <f t="shared" si="10"/>
        <v>0</v>
      </c>
      <c r="I17" s="5">
        <f>'BP - Annual'!$F$141</f>
        <v>0</v>
      </c>
      <c r="J17" s="5">
        <f t="shared" si="11"/>
        <v>0</v>
      </c>
      <c r="K17" s="480"/>
    </row>
    <row r="18" spans="3:21" x14ac:dyDescent="0.25">
      <c r="C18" s="33" t="s">
        <v>143</v>
      </c>
      <c r="D18" s="93">
        <f>'BP - Annual'!F64</f>
        <v>0</v>
      </c>
      <c r="E18" s="91"/>
      <c r="F18" s="34">
        <f t="shared" si="8"/>
        <v>0.5</v>
      </c>
      <c r="G18" s="91">
        <f t="shared" si="9"/>
        <v>0</v>
      </c>
      <c r="H18" s="5">
        <f t="shared" si="10"/>
        <v>0</v>
      </c>
      <c r="I18" s="5">
        <f>'BP - Annual'!$F$141</f>
        <v>0</v>
      </c>
      <c r="J18" s="5">
        <f t="shared" si="11"/>
        <v>0</v>
      </c>
      <c r="K18" s="480"/>
    </row>
    <row r="19" spans="3:21" x14ac:dyDescent="0.25">
      <c r="C19" s="33" t="s">
        <v>861</v>
      </c>
      <c r="D19" s="93">
        <f>'BP - Annual'!G64</f>
        <v>0</v>
      </c>
      <c r="E19" s="91"/>
      <c r="F19" s="34">
        <f t="shared" si="8"/>
        <v>0.5</v>
      </c>
      <c r="G19" s="91">
        <f t="shared" si="9"/>
        <v>0</v>
      </c>
      <c r="H19" s="5">
        <f t="shared" si="10"/>
        <v>0</v>
      </c>
      <c r="I19" s="5">
        <f>'BP - Annual'!$F$141</f>
        <v>0</v>
      </c>
      <c r="J19" s="5">
        <f t="shared" si="11"/>
        <v>0</v>
      </c>
      <c r="K19" s="480"/>
    </row>
    <row r="21" spans="3:21" x14ac:dyDescent="0.25">
      <c r="C21" s="94" t="s">
        <v>144</v>
      </c>
      <c r="D21" s="95"/>
      <c r="E21" s="95"/>
      <c r="F21" s="95"/>
      <c r="G21" s="95"/>
      <c r="H21" s="96">
        <f>SUMPRODUCT(H6:H19,K6:K19)</f>
        <v>0</v>
      </c>
      <c r="I21" s="96"/>
      <c r="J21" s="97">
        <f>SUMPRODUCT(J6:J19,K6:K19)</f>
        <v>0</v>
      </c>
    </row>
    <row r="23" spans="3:21" x14ac:dyDescent="0.25">
      <c r="C23" s="33" t="s">
        <v>862</v>
      </c>
      <c r="D23" s="99" t="str">
        <f>IFERROR(H21/D13,"n/a")</f>
        <v>n/a</v>
      </c>
      <c r="E23" s="91"/>
    </row>
    <row r="24" spans="3:21" x14ac:dyDescent="0.25">
      <c r="C24" s="33" t="s">
        <v>863</v>
      </c>
      <c r="D24" s="99" t="str">
        <f>IFERROR(H21/D14,"n/a")</f>
        <v>n/a</v>
      </c>
      <c r="E24" s="91"/>
    </row>
    <row r="26" spans="3:21" x14ac:dyDescent="0.25">
      <c r="L26" s="46"/>
      <c r="N26" s="46" t="s">
        <v>129</v>
      </c>
      <c r="O26" s="6"/>
      <c r="P26" s="6"/>
      <c r="Q26" s="6"/>
      <c r="R26" s="6"/>
      <c r="S26" s="83" t="s">
        <v>869</v>
      </c>
      <c r="T26" s="6"/>
      <c r="U26" s="6"/>
    </row>
    <row r="27" spans="3:21" x14ac:dyDescent="0.25">
      <c r="N27" s="84"/>
      <c r="O27" s="84"/>
      <c r="P27" s="775">
        <f>H21</f>
        <v>0</v>
      </c>
      <c r="Q27" s="773">
        <f>R27-10%</f>
        <v>0.30000000000000004</v>
      </c>
      <c r="R27" s="773">
        <f>S27-10%</f>
        <v>0.4</v>
      </c>
      <c r="S27" s="778">
        <v>0.5</v>
      </c>
      <c r="T27" s="773">
        <f>S27+10%</f>
        <v>0.6</v>
      </c>
      <c r="U27" s="773">
        <f>T27+10%</f>
        <v>0.7</v>
      </c>
    </row>
    <row r="28" spans="3:21" x14ac:dyDescent="0.25">
      <c r="N28" s="84"/>
      <c r="O28" s="84"/>
      <c r="P28" s="771">
        <f>P29-10%</f>
        <v>0.30000000000000004</v>
      </c>
      <c r="Q28" s="4">
        <f t="dataTable" ref="Q28:U32" dt2D="1" dtr="1" r1="K2" r2="F2"/>
        <v>0</v>
      </c>
      <c r="R28" s="4">
        <v>0</v>
      </c>
      <c r="S28" s="4">
        <v>0</v>
      </c>
      <c r="T28" s="4">
        <v>0</v>
      </c>
      <c r="U28" s="4">
        <v>0</v>
      </c>
    </row>
    <row r="29" spans="3:21" x14ac:dyDescent="0.25">
      <c r="N29" s="84"/>
      <c r="O29" s="84"/>
      <c r="P29" s="771">
        <f>P30-10%</f>
        <v>0.4</v>
      </c>
      <c r="Q29" s="4">
        <v>0</v>
      </c>
      <c r="R29" s="85">
        <v>0</v>
      </c>
      <c r="S29" s="85">
        <v>0</v>
      </c>
      <c r="T29" s="85">
        <v>0</v>
      </c>
      <c r="U29" s="4">
        <v>0</v>
      </c>
    </row>
    <row r="30" spans="3:21" x14ac:dyDescent="0.25">
      <c r="N30" s="84"/>
      <c r="O30" s="83" t="s">
        <v>150</v>
      </c>
      <c r="P30" s="779">
        <v>0.5</v>
      </c>
      <c r="Q30" s="4">
        <v>0</v>
      </c>
      <c r="R30" s="85">
        <v>0</v>
      </c>
      <c r="S30" s="86">
        <v>0</v>
      </c>
      <c r="T30" s="85">
        <v>0</v>
      </c>
      <c r="U30" s="4">
        <v>0</v>
      </c>
    </row>
    <row r="31" spans="3:21" x14ac:dyDescent="0.25">
      <c r="N31" s="84"/>
      <c r="O31" s="84"/>
      <c r="P31" s="771">
        <f>P30+10%</f>
        <v>0.6</v>
      </c>
      <c r="Q31" s="4">
        <v>0</v>
      </c>
      <c r="R31" s="85">
        <v>0</v>
      </c>
      <c r="S31" s="85">
        <v>0</v>
      </c>
      <c r="T31" s="85">
        <v>0</v>
      </c>
      <c r="U31" s="4">
        <v>0</v>
      </c>
    </row>
    <row r="32" spans="3:21" x14ac:dyDescent="0.25">
      <c r="N32" s="84"/>
      <c r="O32" s="84"/>
      <c r="P32" s="771">
        <f>P31+10%</f>
        <v>0.7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</row>
    <row r="33" spans="1:21" x14ac:dyDescent="0.25">
      <c r="N33" s="6"/>
      <c r="O33" s="6"/>
      <c r="P33" s="6"/>
      <c r="Q33" s="6"/>
      <c r="R33" s="6"/>
      <c r="S33" s="6"/>
      <c r="T33" s="6"/>
      <c r="U33" s="6"/>
    </row>
    <row r="34" spans="1:21" x14ac:dyDescent="0.25">
      <c r="N34" s="46" t="s">
        <v>131</v>
      </c>
      <c r="O34" s="6"/>
      <c r="P34" s="6"/>
      <c r="Q34" s="6"/>
      <c r="R34" s="6"/>
      <c r="S34" s="83" t="s">
        <v>869</v>
      </c>
      <c r="T34" s="6"/>
      <c r="U34" s="6"/>
    </row>
    <row r="35" spans="1:21" x14ac:dyDescent="0.25">
      <c r="N35" s="84"/>
      <c r="O35" s="84"/>
      <c r="P35" s="770"/>
      <c r="Q35" s="773">
        <f>Q27</f>
        <v>0.30000000000000004</v>
      </c>
      <c r="R35" s="773">
        <f t="shared" ref="R35:U35" si="12">R27</f>
        <v>0.4</v>
      </c>
      <c r="S35" s="780">
        <f t="shared" si="12"/>
        <v>0.5</v>
      </c>
      <c r="T35" s="773">
        <f t="shared" si="12"/>
        <v>0.6</v>
      </c>
      <c r="U35" s="773">
        <f t="shared" si="12"/>
        <v>0.7</v>
      </c>
    </row>
    <row r="36" spans="1:21" x14ac:dyDescent="0.25">
      <c r="N36" s="84"/>
      <c r="O36" s="84"/>
      <c r="P36" s="771">
        <f>P28</f>
        <v>0.30000000000000004</v>
      </c>
      <c r="Q36" s="4">
        <f>Q28+MM!$I$6</f>
        <v>0</v>
      </c>
      <c r="R36" s="4">
        <f>R28+MM!$I$6</f>
        <v>0</v>
      </c>
      <c r="S36" s="4">
        <f>S28+MM!$I$6</f>
        <v>0</v>
      </c>
      <c r="T36" s="4">
        <f>T28+MM!$I$6</f>
        <v>0</v>
      </c>
      <c r="U36" s="4">
        <f>U28+MM!$I$6</f>
        <v>0</v>
      </c>
    </row>
    <row r="37" spans="1:21" x14ac:dyDescent="0.25">
      <c r="N37" s="84"/>
      <c r="O37" s="84"/>
      <c r="P37" s="771">
        <f t="shared" ref="P37:P40" si="13">P29</f>
        <v>0.4</v>
      </c>
      <c r="Q37" s="4">
        <f>Q29+MM!$I$6</f>
        <v>0</v>
      </c>
      <c r="R37" s="85">
        <f>R29+MM!$I$6</f>
        <v>0</v>
      </c>
      <c r="S37" s="85">
        <f>S29+MM!$I$6</f>
        <v>0</v>
      </c>
      <c r="T37" s="85">
        <f>T29+MM!$I$6</f>
        <v>0</v>
      </c>
      <c r="U37" s="4">
        <f>U29+MM!$I$6</f>
        <v>0</v>
      </c>
    </row>
    <row r="38" spans="1:21" x14ac:dyDescent="0.25">
      <c r="N38" s="84"/>
      <c r="O38" s="83" t="s">
        <v>150</v>
      </c>
      <c r="P38" s="782">
        <f t="shared" si="13"/>
        <v>0.5</v>
      </c>
      <c r="Q38" s="4">
        <f>Q30+MM!$I$6</f>
        <v>0</v>
      </c>
      <c r="R38" s="85">
        <f>R30+MM!$I$6</f>
        <v>0</v>
      </c>
      <c r="S38" s="86">
        <f>S30+MM!$I$6</f>
        <v>0</v>
      </c>
      <c r="T38" s="85">
        <f>T30+MM!$I$6</f>
        <v>0</v>
      </c>
      <c r="U38" s="4">
        <f>U30+MM!$I$6</f>
        <v>0</v>
      </c>
    </row>
    <row r="39" spans="1:21" x14ac:dyDescent="0.25">
      <c r="N39" s="84"/>
      <c r="O39" s="84"/>
      <c r="P39" s="771">
        <f t="shared" si="13"/>
        <v>0.6</v>
      </c>
      <c r="Q39" s="4">
        <f>Q31+MM!$I$6</f>
        <v>0</v>
      </c>
      <c r="R39" s="85">
        <f>R31+MM!$I$6</f>
        <v>0</v>
      </c>
      <c r="S39" s="85">
        <f>S31+MM!$I$6</f>
        <v>0</v>
      </c>
      <c r="T39" s="85">
        <f>T31+MM!$I$6</f>
        <v>0</v>
      </c>
      <c r="U39" s="4">
        <f>U31+MM!$I$6</f>
        <v>0</v>
      </c>
    </row>
    <row r="40" spans="1:21" x14ac:dyDescent="0.25">
      <c r="N40" s="84"/>
      <c r="O40" s="84"/>
      <c r="P40" s="771">
        <f t="shared" si="13"/>
        <v>0.7</v>
      </c>
      <c r="Q40" s="4">
        <f>Q32+MM!$I$6</f>
        <v>0</v>
      </c>
      <c r="R40" s="4">
        <f>R32+MM!$I$6</f>
        <v>0</v>
      </c>
      <c r="S40" s="4">
        <f>S32+MM!$I$6</f>
        <v>0</v>
      </c>
      <c r="T40" s="4">
        <f>T32+MM!$I$6</f>
        <v>0</v>
      </c>
      <c r="U40" s="4">
        <f>U32+MM!$I$6</f>
        <v>0</v>
      </c>
    </row>
    <row r="41" spans="1:21" x14ac:dyDescent="0.25">
      <c r="N41" s="6"/>
      <c r="O41" s="6"/>
      <c r="P41" s="6"/>
      <c r="Q41" s="6"/>
      <c r="R41" s="6"/>
      <c r="S41" s="6"/>
      <c r="T41" s="6"/>
      <c r="U41" s="6"/>
    </row>
    <row r="42" spans="1:21" x14ac:dyDescent="0.25">
      <c r="A42" s="10">
        <f>S42</f>
        <v>0</v>
      </c>
      <c r="C42" s="8" t="s">
        <v>5</v>
      </c>
      <c r="N42" s="6"/>
      <c r="O42" s="6"/>
      <c r="P42" s="6"/>
      <c r="Q42" s="6"/>
      <c r="R42" s="3"/>
      <c r="S42" s="102">
        <f>S38-J21</f>
        <v>0</v>
      </c>
      <c r="T42" s="6"/>
      <c r="U42" s="6"/>
    </row>
    <row r="44" spans="1:21" x14ac:dyDescent="0.25">
      <c r="C44" s="406" t="str">
        <f>"Overzicht markt multiples - "&amp;Historiek!$A$2</f>
        <v>Overzicht markt multiples - Dossier</v>
      </c>
    </row>
    <row r="45" spans="1:21" ht="39.6" x14ac:dyDescent="0.25">
      <c r="C45" s="766" t="s">
        <v>155</v>
      </c>
      <c r="D45" s="766" t="s">
        <v>146</v>
      </c>
      <c r="E45" s="777" t="s">
        <v>156</v>
      </c>
      <c r="F45" s="783" t="s">
        <v>147</v>
      </c>
      <c r="G45" s="777" t="s">
        <v>157</v>
      </c>
      <c r="H45" s="777" t="s">
        <v>158</v>
      </c>
      <c r="I45" s="777" t="s">
        <v>159</v>
      </c>
      <c r="J45" s="777" t="s">
        <v>160</v>
      </c>
      <c r="K45" s="783" t="s">
        <v>866</v>
      </c>
      <c r="L45" s="777" t="s">
        <v>161</v>
      </c>
      <c r="M45" s="777" t="s">
        <v>162</v>
      </c>
      <c r="N45" s="777" t="s">
        <v>163</v>
      </c>
      <c r="O45" s="777" t="s">
        <v>164</v>
      </c>
      <c r="P45" s="783" t="s">
        <v>867</v>
      </c>
      <c r="Q45" s="777" t="s">
        <v>165</v>
      </c>
      <c r="R45" s="777" t="s">
        <v>166</v>
      </c>
      <c r="S45" s="777" t="s">
        <v>167</v>
      </c>
      <c r="T45" s="777" t="s">
        <v>168</v>
      </c>
      <c r="U45" s="777" t="s">
        <v>868</v>
      </c>
    </row>
    <row r="46" spans="1:21" x14ac:dyDescent="0.25">
      <c r="C46" s="637"/>
      <c r="D46" s="560"/>
      <c r="E46" s="562"/>
      <c r="F46" s="562"/>
      <c r="G46" s="563"/>
      <c r="H46" s="563"/>
      <c r="I46" s="563"/>
      <c r="J46" s="563"/>
      <c r="K46" s="563"/>
      <c r="L46" s="563"/>
      <c r="M46" s="563"/>
      <c r="N46" s="563"/>
      <c r="O46" s="563"/>
      <c r="P46" s="563"/>
      <c r="Q46" s="563"/>
      <c r="R46" s="563"/>
      <c r="S46" s="563"/>
      <c r="T46" s="563"/>
      <c r="U46" s="563"/>
    </row>
    <row r="47" spans="1:21" x14ac:dyDescent="0.25">
      <c r="C47" s="637"/>
      <c r="D47" s="560"/>
      <c r="E47" s="562"/>
      <c r="F47" s="562"/>
      <c r="G47" s="563"/>
      <c r="H47" s="563"/>
      <c r="I47" s="563"/>
      <c r="J47" s="563"/>
      <c r="K47" s="563"/>
      <c r="L47" s="563"/>
      <c r="M47" s="563"/>
      <c r="N47" s="563"/>
      <c r="O47" s="563"/>
      <c r="P47" s="563"/>
      <c r="Q47" s="563"/>
      <c r="R47" s="563"/>
      <c r="S47" s="563"/>
      <c r="T47" s="563"/>
      <c r="U47" s="563"/>
    </row>
    <row r="48" spans="1:21" x14ac:dyDescent="0.25">
      <c r="C48" s="637"/>
      <c r="D48" s="560"/>
      <c r="E48" s="562"/>
      <c r="F48" s="562"/>
      <c r="G48" s="563"/>
      <c r="H48" s="563"/>
      <c r="I48" s="563"/>
      <c r="J48" s="563"/>
      <c r="K48" s="563"/>
      <c r="L48" s="563"/>
      <c r="M48" s="563"/>
      <c r="N48" s="563"/>
      <c r="O48" s="563"/>
      <c r="P48" s="563"/>
      <c r="Q48" s="563"/>
      <c r="R48" s="563"/>
      <c r="S48" s="563"/>
      <c r="T48" s="563"/>
      <c r="U48" s="563"/>
    </row>
    <row r="49" spans="3:23" x14ac:dyDescent="0.25">
      <c r="C49" s="637"/>
      <c r="D49" s="560"/>
      <c r="E49" s="562"/>
      <c r="F49" s="562"/>
      <c r="G49" s="563"/>
      <c r="H49" s="563"/>
      <c r="I49" s="563"/>
      <c r="J49" s="563"/>
      <c r="K49" s="563"/>
      <c r="L49" s="563"/>
      <c r="M49" s="563"/>
      <c r="N49" s="563"/>
      <c r="O49" s="563"/>
      <c r="P49" s="563"/>
      <c r="Q49" s="563"/>
      <c r="R49" s="563"/>
      <c r="S49" s="563"/>
      <c r="T49" s="563"/>
      <c r="U49" s="563"/>
    </row>
    <row r="50" spans="3:23" x14ac:dyDescent="0.25">
      <c r="C50" s="637"/>
      <c r="D50" s="560"/>
      <c r="E50" s="562"/>
      <c r="F50" s="562"/>
      <c r="G50" s="563"/>
      <c r="H50" s="563"/>
      <c r="I50" s="563"/>
      <c r="J50" s="563"/>
      <c r="K50" s="563"/>
      <c r="L50" s="563"/>
      <c r="M50" s="563"/>
      <c r="N50" s="563"/>
      <c r="O50" s="563"/>
      <c r="P50" s="563"/>
      <c r="Q50" s="563"/>
      <c r="R50" s="563"/>
      <c r="S50" s="563"/>
      <c r="T50" s="563"/>
      <c r="U50" s="563"/>
    </row>
    <row r="51" spans="3:23" x14ac:dyDescent="0.25">
      <c r="C51" s="637"/>
      <c r="D51" s="560"/>
      <c r="E51" s="562"/>
      <c r="F51" s="562"/>
      <c r="G51" s="563"/>
      <c r="H51" s="563"/>
      <c r="I51" s="563"/>
      <c r="J51" s="563"/>
      <c r="K51" s="563"/>
      <c r="L51" s="563"/>
      <c r="M51" s="563"/>
      <c r="N51" s="563"/>
      <c r="O51" s="563"/>
      <c r="P51" s="563"/>
      <c r="Q51" s="563"/>
      <c r="R51" s="563"/>
      <c r="S51" s="563"/>
      <c r="T51" s="563"/>
      <c r="U51" s="563"/>
    </row>
    <row r="52" spans="3:23" x14ac:dyDescent="0.25">
      <c r="C52" s="637"/>
      <c r="D52" s="560"/>
      <c r="E52" s="562"/>
      <c r="F52" s="562"/>
      <c r="G52" s="563"/>
      <c r="H52" s="563"/>
      <c r="I52" s="563"/>
      <c r="J52" s="563"/>
      <c r="K52" s="563"/>
      <c r="L52" s="563"/>
      <c r="M52" s="563"/>
      <c r="N52" s="563"/>
      <c r="O52" s="563"/>
      <c r="P52" s="563"/>
      <c r="Q52" s="563"/>
      <c r="R52" s="563"/>
      <c r="S52" s="563"/>
      <c r="T52" s="563"/>
      <c r="U52" s="563"/>
    </row>
    <row r="53" spans="3:23" x14ac:dyDescent="0.25">
      <c r="C53" s="637"/>
      <c r="D53" s="560"/>
      <c r="E53" s="562"/>
      <c r="F53" s="562"/>
      <c r="G53" s="563"/>
      <c r="H53" s="563"/>
      <c r="I53" s="563"/>
      <c r="J53" s="563"/>
      <c r="K53" s="563"/>
      <c r="L53" s="563"/>
      <c r="M53" s="563"/>
      <c r="N53" s="563"/>
      <c r="O53" s="563"/>
      <c r="P53" s="563"/>
      <c r="Q53" s="563"/>
      <c r="R53" s="563"/>
      <c r="S53" s="563"/>
      <c r="T53" s="563"/>
      <c r="U53" s="563"/>
      <c r="V53" s="99"/>
      <c r="W53" s="99"/>
    </row>
    <row r="54" spans="3:23" x14ac:dyDescent="0.25">
      <c r="C54" s="637"/>
      <c r="D54" s="560"/>
      <c r="E54" s="562"/>
      <c r="F54" s="562"/>
      <c r="G54" s="563"/>
      <c r="H54" s="563"/>
      <c r="I54" s="563"/>
      <c r="J54" s="563"/>
      <c r="K54" s="563"/>
      <c r="L54" s="563"/>
      <c r="M54" s="563"/>
      <c r="N54" s="563"/>
      <c r="O54" s="563"/>
      <c r="P54" s="563"/>
      <c r="Q54" s="563"/>
      <c r="R54" s="563"/>
      <c r="S54" s="563"/>
      <c r="T54" s="563"/>
      <c r="U54" s="563"/>
      <c r="W54" s="99"/>
    </row>
    <row r="55" spans="3:23" x14ac:dyDescent="0.25">
      <c r="C55" s="637"/>
      <c r="D55" s="560"/>
      <c r="E55" s="562"/>
      <c r="F55" s="562"/>
      <c r="G55" s="563"/>
      <c r="H55" s="563"/>
      <c r="I55" s="563"/>
      <c r="J55" s="563"/>
      <c r="K55" s="563"/>
      <c r="L55" s="563"/>
      <c r="M55" s="563"/>
      <c r="N55" s="563"/>
      <c r="O55" s="563"/>
      <c r="P55" s="563"/>
      <c r="Q55" s="563"/>
      <c r="R55" s="563"/>
      <c r="S55" s="563"/>
      <c r="T55" s="563"/>
      <c r="U55" s="563"/>
    </row>
    <row r="56" spans="3:23" x14ac:dyDescent="0.25">
      <c r="C56" s="637"/>
      <c r="D56" s="560"/>
      <c r="E56" s="562"/>
      <c r="F56" s="562"/>
      <c r="G56" s="563"/>
      <c r="H56" s="563"/>
      <c r="I56" s="563"/>
      <c r="J56" s="563"/>
      <c r="K56" s="563"/>
      <c r="L56" s="563"/>
      <c r="M56" s="563"/>
      <c r="N56" s="563"/>
      <c r="O56" s="563"/>
      <c r="P56" s="563"/>
      <c r="Q56" s="563"/>
      <c r="R56" s="563"/>
      <c r="S56" s="563"/>
      <c r="T56" s="563"/>
      <c r="U56" s="563"/>
    </row>
    <row r="57" spans="3:23" x14ac:dyDescent="0.25">
      <c r="E57" s="98"/>
      <c r="F57" s="5"/>
      <c r="G57" s="91"/>
      <c r="H57" s="91"/>
      <c r="I57" s="91"/>
      <c r="J57" s="91"/>
      <c r="K57" s="91"/>
      <c r="L57" s="91"/>
      <c r="M57" s="91"/>
      <c r="N57" s="91"/>
      <c r="O57" s="91"/>
      <c r="P57" s="91"/>
      <c r="Q57" s="91"/>
      <c r="R57" s="91"/>
      <c r="S57" s="91"/>
    </row>
    <row r="58" spans="3:23" s="24" customFormat="1" x14ac:dyDescent="0.25">
      <c r="C58" s="100" t="s">
        <v>151</v>
      </c>
      <c r="D58" s="107"/>
      <c r="E58" s="107"/>
      <c r="F58" s="107"/>
      <c r="G58" s="473" t="str">
        <f>IFERROR(QUARTILE(G46:G56,1),"n/a")</f>
        <v>n/a</v>
      </c>
      <c r="H58" s="473" t="str">
        <f t="shared" ref="H58:U58" si="14">IFERROR(QUARTILE(H46:H56,1),"n/a")</f>
        <v>n/a</v>
      </c>
      <c r="I58" s="473" t="str">
        <f t="shared" si="14"/>
        <v>n/a</v>
      </c>
      <c r="J58" s="473" t="str">
        <f t="shared" si="14"/>
        <v>n/a</v>
      </c>
      <c r="K58" s="473" t="str">
        <f t="shared" si="14"/>
        <v>n/a</v>
      </c>
      <c r="L58" s="473" t="str">
        <f t="shared" si="14"/>
        <v>n/a</v>
      </c>
      <c r="M58" s="473" t="str">
        <f t="shared" si="14"/>
        <v>n/a</v>
      </c>
      <c r="N58" s="473" t="str">
        <f t="shared" si="14"/>
        <v>n/a</v>
      </c>
      <c r="O58" s="473" t="str">
        <f t="shared" si="14"/>
        <v>n/a</v>
      </c>
      <c r="P58" s="473" t="str">
        <f t="shared" si="14"/>
        <v>n/a</v>
      </c>
      <c r="Q58" s="473" t="str">
        <f t="shared" si="14"/>
        <v>n/a</v>
      </c>
      <c r="R58" s="473" t="str">
        <f t="shared" si="14"/>
        <v>n/a</v>
      </c>
      <c r="S58" s="473" t="str">
        <f t="shared" si="14"/>
        <v>n/a</v>
      </c>
      <c r="T58" s="473" t="str">
        <f t="shared" si="14"/>
        <v>n/a</v>
      </c>
      <c r="U58" s="474" t="str">
        <f t="shared" si="14"/>
        <v>n/a</v>
      </c>
    </row>
    <row r="59" spans="3:23" x14ac:dyDescent="0.25">
      <c r="C59" s="103" t="s">
        <v>152</v>
      </c>
      <c r="D59" s="24"/>
      <c r="E59" s="24"/>
      <c r="F59" s="24"/>
      <c r="G59" s="475" t="str">
        <f>IFERROR(MEDIAN(G46:G56),"n/a")</f>
        <v>n/a</v>
      </c>
      <c r="H59" s="475" t="str">
        <f t="shared" ref="H59:U59" si="15">IFERROR(MEDIAN(H46:H56),"n/a")</f>
        <v>n/a</v>
      </c>
      <c r="I59" s="475" t="str">
        <f t="shared" si="15"/>
        <v>n/a</v>
      </c>
      <c r="J59" s="475" t="str">
        <f t="shared" si="15"/>
        <v>n/a</v>
      </c>
      <c r="K59" s="475" t="str">
        <f t="shared" si="15"/>
        <v>n/a</v>
      </c>
      <c r="L59" s="475" t="str">
        <f t="shared" si="15"/>
        <v>n/a</v>
      </c>
      <c r="M59" s="475" t="str">
        <f t="shared" si="15"/>
        <v>n/a</v>
      </c>
      <c r="N59" s="475" t="str">
        <f t="shared" si="15"/>
        <v>n/a</v>
      </c>
      <c r="O59" s="475" t="str">
        <f t="shared" si="15"/>
        <v>n/a</v>
      </c>
      <c r="P59" s="475" t="str">
        <f t="shared" si="15"/>
        <v>n/a</v>
      </c>
      <c r="Q59" s="475" t="str">
        <f t="shared" si="15"/>
        <v>n/a</v>
      </c>
      <c r="R59" s="475" t="str">
        <f t="shared" si="15"/>
        <v>n/a</v>
      </c>
      <c r="S59" s="475" t="str">
        <f t="shared" si="15"/>
        <v>n/a</v>
      </c>
      <c r="T59" s="475" t="str">
        <f t="shared" si="15"/>
        <v>n/a</v>
      </c>
      <c r="U59" s="476" t="str">
        <f t="shared" si="15"/>
        <v>n/a</v>
      </c>
    </row>
    <row r="60" spans="3:23" x14ac:dyDescent="0.25">
      <c r="C60" s="104" t="s">
        <v>153</v>
      </c>
      <c r="G60" s="140" t="str">
        <f>IFERROR(AVERAGE(G46:G56),"n/a")</f>
        <v>n/a</v>
      </c>
      <c r="H60" s="140" t="str">
        <f t="shared" ref="H60:U60" si="16">IFERROR(AVERAGE(H46:H56),"n/a")</f>
        <v>n/a</v>
      </c>
      <c r="I60" s="140" t="str">
        <f t="shared" si="16"/>
        <v>n/a</v>
      </c>
      <c r="J60" s="140" t="str">
        <f t="shared" si="16"/>
        <v>n/a</v>
      </c>
      <c r="K60" s="140" t="str">
        <f t="shared" si="16"/>
        <v>n/a</v>
      </c>
      <c r="L60" s="140" t="str">
        <f t="shared" si="16"/>
        <v>n/a</v>
      </c>
      <c r="M60" s="140" t="str">
        <f t="shared" si="16"/>
        <v>n/a</v>
      </c>
      <c r="N60" s="140" t="str">
        <f t="shared" si="16"/>
        <v>n/a</v>
      </c>
      <c r="O60" s="140" t="str">
        <f t="shared" si="16"/>
        <v>n/a</v>
      </c>
      <c r="P60" s="140" t="str">
        <f t="shared" si="16"/>
        <v>n/a</v>
      </c>
      <c r="Q60" s="140" t="str">
        <f t="shared" si="16"/>
        <v>n/a</v>
      </c>
      <c r="R60" s="140" t="str">
        <f t="shared" si="16"/>
        <v>n/a</v>
      </c>
      <c r="S60" s="140" t="str">
        <f t="shared" si="16"/>
        <v>n/a</v>
      </c>
      <c r="T60" s="140" t="str">
        <f t="shared" si="16"/>
        <v>n/a</v>
      </c>
      <c r="U60" s="477" t="str">
        <f t="shared" si="16"/>
        <v>n/a</v>
      </c>
    </row>
    <row r="61" spans="3:23" x14ac:dyDescent="0.25">
      <c r="C61" s="105" t="s">
        <v>154</v>
      </c>
      <c r="D61" s="106"/>
      <c r="E61" s="106"/>
      <c r="F61" s="106"/>
      <c r="G61" s="478" t="str">
        <f>IFERROR(QUARTILE(G46:G56,3),"n/a")</f>
        <v>n/a</v>
      </c>
      <c r="H61" s="478" t="str">
        <f t="shared" ref="H61:U61" si="17">IFERROR(QUARTILE(H46:H56,3),"n/a")</f>
        <v>n/a</v>
      </c>
      <c r="I61" s="478" t="str">
        <f t="shared" si="17"/>
        <v>n/a</v>
      </c>
      <c r="J61" s="478" t="str">
        <f t="shared" si="17"/>
        <v>n/a</v>
      </c>
      <c r="K61" s="478" t="str">
        <f t="shared" si="17"/>
        <v>n/a</v>
      </c>
      <c r="L61" s="478" t="str">
        <f t="shared" si="17"/>
        <v>n/a</v>
      </c>
      <c r="M61" s="478" t="str">
        <f t="shared" si="17"/>
        <v>n/a</v>
      </c>
      <c r="N61" s="478" t="str">
        <f t="shared" si="17"/>
        <v>n/a</v>
      </c>
      <c r="O61" s="478" t="str">
        <f t="shared" si="17"/>
        <v>n/a</v>
      </c>
      <c r="P61" s="478" t="str">
        <f t="shared" si="17"/>
        <v>n/a</v>
      </c>
      <c r="Q61" s="478" t="str">
        <f t="shared" si="17"/>
        <v>n/a</v>
      </c>
      <c r="R61" s="478" t="str">
        <f t="shared" si="17"/>
        <v>n/a</v>
      </c>
      <c r="S61" s="478" t="str">
        <f t="shared" si="17"/>
        <v>n/a</v>
      </c>
      <c r="T61" s="478" t="str">
        <f t="shared" si="17"/>
        <v>n/a</v>
      </c>
      <c r="U61" s="479" t="str">
        <f t="shared" si="17"/>
        <v>n/a</v>
      </c>
    </row>
  </sheetData>
  <pageMargins left="0.7" right="0.7" top="0.75" bottom="0.75" header="0.3" footer="0.3"/>
  <pageSetup paperSize="9" orientation="portrait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5167D-3AD9-475E-B2BA-6EC6AD6FE6AB}">
  <sheetPr>
    <tabColor theme="4" tint="0.79998168889431442"/>
  </sheetPr>
  <dimension ref="B2:M48"/>
  <sheetViews>
    <sheetView showGridLines="0" workbookViewId="0">
      <selection activeCell="C3" sqref="C3:I3"/>
    </sheetView>
  </sheetViews>
  <sheetFormatPr defaultColWidth="9.109375" defaultRowHeight="14.4" outlineLevelRow="1" x14ac:dyDescent="0.3"/>
  <cols>
    <col min="1" max="2" width="4.6640625" style="110" customWidth="1"/>
    <col min="3" max="4" width="9.109375" style="110"/>
    <col min="5" max="5" width="22.33203125" style="110" bestFit="1" customWidth="1"/>
    <col min="6" max="6" width="1" style="110" customWidth="1"/>
    <col min="7" max="7" width="20.6640625" style="110" customWidth="1"/>
    <col min="8" max="8" width="1" style="110" customWidth="1"/>
    <col min="9" max="9" width="18.109375" style="110" customWidth="1"/>
    <col min="10" max="16384" width="9.109375" style="110"/>
  </cols>
  <sheetData>
    <row r="2" spans="2:9" ht="15.75" customHeight="1" x14ac:dyDescent="0.3">
      <c r="B2" s="108"/>
      <c r="C2" s="109" t="s">
        <v>169</v>
      </c>
      <c r="D2" s="108"/>
      <c r="E2" s="108"/>
      <c r="F2" s="108"/>
      <c r="G2" s="108"/>
      <c r="H2" s="108"/>
      <c r="I2" s="108"/>
    </row>
    <row r="3" spans="2:9" ht="24" x14ac:dyDescent="0.3">
      <c r="B3" s="108"/>
      <c r="C3" s="111" t="s">
        <v>170</v>
      </c>
      <c r="D3" s="112"/>
      <c r="E3" s="113" t="s">
        <v>171</v>
      </c>
      <c r="F3" s="112"/>
      <c r="G3" s="113" t="s">
        <v>172</v>
      </c>
      <c r="H3" s="112"/>
      <c r="I3" s="113" t="s">
        <v>173</v>
      </c>
    </row>
    <row r="4" spans="2:9" s="108" customFormat="1" ht="12" x14ac:dyDescent="0.2">
      <c r="C4" s="114"/>
      <c r="D4" s="115"/>
      <c r="E4" s="116"/>
      <c r="F4" s="115"/>
      <c r="G4" s="116"/>
      <c r="H4" s="115"/>
      <c r="I4" s="116"/>
    </row>
    <row r="5" spans="2:9" ht="11.25" customHeight="1" x14ac:dyDescent="0.3">
      <c r="B5" s="117" t="s">
        <v>174</v>
      </c>
      <c r="C5" s="117" t="s">
        <v>175</v>
      </c>
      <c r="D5" s="117" t="s">
        <v>176</v>
      </c>
      <c r="E5" s="118">
        <v>3239</v>
      </c>
      <c r="F5" s="118"/>
      <c r="G5" s="118">
        <v>13523</v>
      </c>
      <c r="H5" s="119"/>
      <c r="I5" s="120">
        <v>0.01</v>
      </c>
    </row>
    <row r="6" spans="2:9" ht="11.25" customHeight="1" x14ac:dyDescent="0.3">
      <c r="B6" s="117" t="s">
        <v>177</v>
      </c>
      <c r="C6" s="117" t="s">
        <v>178</v>
      </c>
      <c r="D6" s="117" t="s">
        <v>179</v>
      </c>
      <c r="E6" s="118">
        <v>800</v>
      </c>
      <c r="F6" s="118"/>
      <c r="G6" s="118">
        <v>3235</v>
      </c>
      <c r="H6" s="119"/>
      <c r="I6" s="120">
        <v>1.7500000000000002E-2</v>
      </c>
    </row>
    <row r="7" spans="2:9" ht="11.25" customHeight="1" x14ac:dyDescent="0.3">
      <c r="B7" s="117" t="s">
        <v>180</v>
      </c>
      <c r="C7" s="117" t="s">
        <v>181</v>
      </c>
      <c r="D7" s="117" t="s">
        <v>182</v>
      </c>
      <c r="E7" s="118">
        <v>3</v>
      </c>
      <c r="F7" s="118"/>
      <c r="G7" s="118">
        <v>799</v>
      </c>
      <c r="H7" s="119"/>
      <c r="I7" s="120">
        <v>3.7499999999999999E-2</v>
      </c>
    </row>
    <row r="8" spans="2:9" ht="2.25" customHeight="1" x14ac:dyDescent="0.3">
      <c r="B8" s="108"/>
      <c r="C8" s="119"/>
      <c r="D8" s="119"/>
      <c r="E8" s="118"/>
      <c r="F8" s="118"/>
      <c r="G8" s="118"/>
      <c r="H8" s="119"/>
      <c r="I8" s="120"/>
    </row>
    <row r="9" spans="2:9" ht="11.25" customHeight="1" x14ac:dyDescent="0.3">
      <c r="B9" s="108"/>
      <c r="C9" s="121" t="s">
        <v>183</v>
      </c>
      <c r="D9" s="119"/>
      <c r="E9" s="118"/>
      <c r="F9" s="118"/>
      <c r="G9" s="118"/>
      <c r="H9" s="119"/>
      <c r="I9" s="120"/>
    </row>
    <row r="10" spans="2:9" ht="11.25" customHeight="1" x14ac:dyDescent="0.3">
      <c r="B10" s="119" t="s">
        <v>184</v>
      </c>
      <c r="C10" s="119">
        <v>1</v>
      </c>
      <c r="D10" s="119" t="s">
        <v>185</v>
      </c>
      <c r="E10" s="118">
        <v>30772</v>
      </c>
      <c r="F10" s="118"/>
      <c r="G10" s="118">
        <v>1090307</v>
      </c>
      <c r="H10" s="119"/>
      <c r="I10" s="120">
        <v>0</v>
      </c>
    </row>
    <row r="11" spans="2:9" ht="11.25" customHeight="1" x14ac:dyDescent="0.3">
      <c r="B11" s="119" t="s">
        <v>186</v>
      </c>
      <c r="C11" s="119">
        <v>2</v>
      </c>
      <c r="D11" s="119"/>
      <c r="E11" s="118">
        <v>13538</v>
      </c>
      <c r="F11" s="118"/>
      <c r="G11" s="118">
        <v>30612</v>
      </c>
      <c r="H11" s="119"/>
      <c r="I11" s="120">
        <v>5.0000000000000001E-3</v>
      </c>
    </row>
    <row r="12" spans="2:9" ht="11.25" customHeight="1" x14ac:dyDescent="0.3">
      <c r="B12" s="119" t="s">
        <v>187</v>
      </c>
      <c r="C12" s="119">
        <v>3</v>
      </c>
      <c r="D12" s="119"/>
      <c r="E12" s="118">
        <v>7455</v>
      </c>
      <c r="F12" s="118"/>
      <c r="G12" s="118">
        <v>13523</v>
      </c>
      <c r="H12" s="119"/>
      <c r="I12" s="120">
        <v>7.4999999999999997E-3</v>
      </c>
    </row>
    <row r="13" spans="2:9" ht="11.25" customHeight="1" x14ac:dyDescent="0.3">
      <c r="B13" s="119" t="s">
        <v>188</v>
      </c>
      <c r="C13" s="119">
        <v>4</v>
      </c>
      <c r="D13" s="119"/>
      <c r="E13" s="118">
        <v>4756</v>
      </c>
      <c r="F13" s="118"/>
      <c r="G13" s="118">
        <v>7408</v>
      </c>
      <c r="H13" s="119"/>
      <c r="I13" s="120">
        <v>0.01</v>
      </c>
    </row>
    <row r="14" spans="2:9" ht="11.25" customHeight="1" x14ac:dyDescent="0.3">
      <c r="B14" s="119" t="s">
        <v>189</v>
      </c>
      <c r="C14" s="119">
        <v>5</v>
      </c>
      <c r="D14" s="119"/>
      <c r="E14" s="118">
        <v>3239</v>
      </c>
      <c r="F14" s="118"/>
      <c r="G14" s="118">
        <v>4725</v>
      </c>
      <c r="H14" s="119"/>
      <c r="I14" s="120">
        <v>1.4999999999999999E-2</v>
      </c>
    </row>
    <row r="15" spans="2:9" ht="11.25" customHeight="1" x14ac:dyDescent="0.3">
      <c r="B15" s="119" t="s">
        <v>190</v>
      </c>
      <c r="C15" s="119">
        <v>6</v>
      </c>
      <c r="D15" s="119"/>
      <c r="E15" s="118">
        <v>2161</v>
      </c>
      <c r="F15" s="118"/>
      <c r="G15" s="118">
        <v>3235</v>
      </c>
      <c r="H15" s="119"/>
      <c r="I15" s="120">
        <v>1.7500000000000002E-2</v>
      </c>
    </row>
    <row r="16" spans="2:9" ht="11.25" customHeight="1" x14ac:dyDescent="0.3">
      <c r="B16" s="119" t="s">
        <v>191</v>
      </c>
      <c r="C16" s="119">
        <v>7</v>
      </c>
      <c r="D16" s="119"/>
      <c r="E16" s="118">
        <v>1364</v>
      </c>
      <c r="F16" s="118"/>
      <c r="G16" s="118">
        <v>2159</v>
      </c>
      <c r="H16" s="119"/>
      <c r="I16" s="120">
        <v>1.7500000000000002E-2</v>
      </c>
    </row>
    <row r="17" spans="2:9" ht="11.25" customHeight="1" x14ac:dyDescent="0.3">
      <c r="B17" s="119" t="s">
        <v>192</v>
      </c>
      <c r="C17" s="119">
        <v>8</v>
      </c>
      <c r="D17" s="119"/>
      <c r="E17" s="118">
        <v>800</v>
      </c>
      <c r="F17" s="118"/>
      <c r="G17" s="118">
        <v>1364</v>
      </c>
      <c r="H17" s="119"/>
      <c r="I17" s="120">
        <v>2.2499999999999999E-2</v>
      </c>
    </row>
    <row r="18" spans="2:9" ht="11.25" customHeight="1" x14ac:dyDescent="0.3">
      <c r="B18" s="119" t="s">
        <v>193</v>
      </c>
      <c r="C18" s="119">
        <v>9</v>
      </c>
      <c r="D18" s="119"/>
      <c r="E18" s="118">
        <v>366</v>
      </c>
      <c r="F18" s="118"/>
      <c r="G18" s="118">
        <v>799</v>
      </c>
      <c r="H18" s="119"/>
      <c r="I18" s="120">
        <v>2.75E-2</v>
      </c>
    </row>
    <row r="19" spans="2:9" ht="11.25" customHeight="1" x14ac:dyDescent="0.3">
      <c r="B19" s="119" t="s">
        <v>194</v>
      </c>
      <c r="C19" s="119">
        <v>10</v>
      </c>
      <c r="D19" s="119" t="s">
        <v>195</v>
      </c>
      <c r="E19" s="118">
        <v>3</v>
      </c>
      <c r="F19" s="118"/>
      <c r="G19" s="118">
        <v>366</v>
      </c>
      <c r="H19" s="119"/>
      <c r="I19" s="120">
        <v>0.06</v>
      </c>
    </row>
    <row r="20" spans="2:9" ht="15" thickBot="1" x14ac:dyDescent="0.35">
      <c r="B20" s="108"/>
      <c r="C20" s="122"/>
      <c r="D20" s="122"/>
      <c r="E20" s="123"/>
      <c r="F20" s="123"/>
      <c r="G20" s="123"/>
      <c r="H20" s="122"/>
      <c r="I20" s="124"/>
    </row>
    <row r="21" spans="2:9" ht="11.25" customHeight="1" outlineLevel="1" x14ac:dyDescent="0.3">
      <c r="B21" s="108"/>
      <c r="C21" s="121" t="s">
        <v>196</v>
      </c>
      <c r="D21" s="119"/>
      <c r="E21" s="118"/>
      <c r="F21" s="118"/>
      <c r="G21" s="118"/>
      <c r="H21" s="119"/>
      <c r="I21" s="120"/>
    </row>
    <row r="22" spans="2:9" ht="11.25" customHeight="1" outlineLevel="1" x14ac:dyDescent="0.3">
      <c r="B22" s="119" t="s">
        <v>197</v>
      </c>
      <c r="C22" s="119" t="s">
        <v>198</v>
      </c>
      <c r="D22" s="119"/>
      <c r="E22" s="118">
        <v>127.29600000000001</v>
      </c>
      <c r="F22" s="118"/>
      <c r="G22" s="118">
        <v>262.89100000000002</v>
      </c>
      <c r="H22" s="119"/>
      <c r="I22" s="120">
        <v>4.0899999999999999E-2</v>
      </c>
    </row>
    <row r="23" spans="2:9" ht="11.25" customHeight="1" outlineLevel="1" x14ac:dyDescent="0.3">
      <c r="B23" s="119" t="s">
        <v>199</v>
      </c>
      <c r="C23" s="119" t="s">
        <v>200</v>
      </c>
      <c r="D23" s="119"/>
      <c r="E23" s="118">
        <v>2.516</v>
      </c>
      <c r="F23" s="118"/>
      <c r="G23" s="118">
        <v>127.279</v>
      </c>
      <c r="H23" s="119"/>
      <c r="I23" s="120">
        <v>8.6400000000000005E-2</v>
      </c>
    </row>
    <row r="24" spans="2:9" ht="15" outlineLevel="1" thickBot="1" x14ac:dyDescent="0.35">
      <c r="B24" s="108"/>
      <c r="C24" s="125">
        <v>0</v>
      </c>
      <c r="D24" s="125">
        <v>0</v>
      </c>
      <c r="E24" s="125">
        <v>0</v>
      </c>
      <c r="F24" s="125">
        <v>0</v>
      </c>
      <c r="G24" s="125">
        <v>0</v>
      </c>
      <c r="H24" s="125">
        <v>0</v>
      </c>
      <c r="I24" s="125">
        <v>0</v>
      </c>
    </row>
    <row r="25" spans="2:9" ht="11.25" customHeight="1" x14ac:dyDescent="0.3">
      <c r="B25" s="108"/>
      <c r="C25" s="126" t="s">
        <v>201</v>
      </c>
      <c r="D25" s="108"/>
      <c r="E25" s="108"/>
      <c r="F25" s="108"/>
      <c r="G25" s="108"/>
      <c r="H25" s="108"/>
      <c r="I25" s="108"/>
    </row>
    <row r="26" spans="2:9" x14ac:dyDescent="0.3">
      <c r="B26" s="127"/>
      <c r="C26" s="127"/>
      <c r="D26" s="127"/>
      <c r="E26" s="127"/>
      <c r="F26" s="127"/>
      <c r="G26" s="127"/>
      <c r="H26" s="127"/>
      <c r="I26" s="127"/>
    </row>
    <row r="28" spans="2:9" x14ac:dyDescent="0.3">
      <c r="B28" s="128"/>
      <c r="C28" s="128"/>
      <c r="D28" s="128"/>
      <c r="E28" s="128"/>
      <c r="F28" s="128"/>
      <c r="G28" s="128"/>
      <c r="H28" s="128"/>
      <c r="I28" s="128"/>
    </row>
    <row r="29" spans="2:9" hidden="1" outlineLevel="1" x14ac:dyDescent="0.3">
      <c r="B29" s="108"/>
      <c r="C29" s="108" t="s">
        <v>202</v>
      </c>
      <c r="D29" s="108"/>
      <c r="E29" s="108"/>
      <c r="F29" s="108"/>
      <c r="G29" s="108"/>
      <c r="H29" s="108"/>
      <c r="I29" s="108"/>
    </row>
    <row r="30" spans="2:9" hidden="1" outlineLevel="1" x14ac:dyDescent="0.3">
      <c r="B30" s="128"/>
      <c r="C30" s="117" t="s">
        <v>174</v>
      </c>
      <c r="D30" s="108"/>
      <c r="E30" s="108"/>
      <c r="F30" s="108"/>
      <c r="G30" s="108"/>
      <c r="H30" s="108"/>
      <c r="I30" s="108"/>
    </row>
    <row r="31" spans="2:9" hidden="1" outlineLevel="1" x14ac:dyDescent="0.3">
      <c r="C31" s="117" t="s">
        <v>177</v>
      </c>
    </row>
    <row r="32" spans="2:9" hidden="1" outlineLevel="1" x14ac:dyDescent="0.3">
      <c r="C32" s="117" t="s">
        <v>180</v>
      </c>
    </row>
    <row r="33" spans="3:13" hidden="1" outlineLevel="1" x14ac:dyDescent="0.3">
      <c r="C33" s="119" t="s">
        <v>184</v>
      </c>
    </row>
    <row r="34" spans="3:13" hidden="1" outlineLevel="1" x14ac:dyDescent="0.3">
      <c r="C34" s="119" t="s">
        <v>186</v>
      </c>
    </row>
    <row r="35" spans="3:13" hidden="1" outlineLevel="1" x14ac:dyDescent="0.3">
      <c r="C35" s="119" t="s">
        <v>187</v>
      </c>
    </row>
    <row r="36" spans="3:13" hidden="1" outlineLevel="1" x14ac:dyDescent="0.3">
      <c r="C36" s="119" t="s">
        <v>188</v>
      </c>
    </row>
    <row r="37" spans="3:13" hidden="1" outlineLevel="1" x14ac:dyDescent="0.3">
      <c r="C37" s="119" t="s">
        <v>189</v>
      </c>
    </row>
    <row r="38" spans="3:13" hidden="1" outlineLevel="1" x14ac:dyDescent="0.3">
      <c r="C38" s="119" t="s">
        <v>190</v>
      </c>
    </row>
    <row r="39" spans="3:13" hidden="1" outlineLevel="1" x14ac:dyDescent="0.3">
      <c r="C39" s="119" t="s">
        <v>191</v>
      </c>
    </row>
    <row r="40" spans="3:13" hidden="1" outlineLevel="1" x14ac:dyDescent="0.3">
      <c r="C40" s="119" t="s">
        <v>192</v>
      </c>
    </row>
    <row r="41" spans="3:13" hidden="1" outlineLevel="1" x14ac:dyDescent="0.3">
      <c r="C41" s="119" t="s">
        <v>193</v>
      </c>
    </row>
    <row r="42" spans="3:13" hidden="1" outlineLevel="1" x14ac:dyDescent="0.3">
      <c r="C42" s="119" t="s">
        <v>194</v>
      </c>
    </row>
    <row r="43" spans="3:13" hidden="1" outlineLevel="1" x14ac:dyDescent="0.3">
      <c r="C43" s="119" t="s">
        <v>197</v>
      </c>
    </row>
    <row r="44" spans="3:13" hidden="1" outlineLevel="1" x14ac:dyDescent="0.3">
      <c r="C44" s="119" t="s">
        <v>199</v>
      </c>
    </row>
    <row r="45" spans="3:13" hidden="1" outlineLevel="1" x14ac:dyDescent="0.3">
      <c r="C45" s="108"/>
    </row>
    <row r="46" spans="3:13" collapsed="1" x14ac:dyDescent="0.3">
      <c r="C46" s="108"/>
    </row>
    <row r="48" spans="3:13" x14ac:dyDescent="0.3">
      <c r="M48" s="129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86453-2767-4F76-BD63-023012312D01}">
  <sheetPr>
    <tabColor theme="4" tint="0.79998168889431442"/>
  </sheetPr>
  <dimension ref="A1:P106"/>
  <sheetViews>
    <sheetView showGridLines="0" workbookViewId="0">
      <selection activeCell="F24" sqref="F24"/>
    </sheetView>
  </sheetViews>
  <sheetFormatPr defaultColWidth="9.109375" defaultRowHeight="15.6" x14ac:dyDescent="0.3"/>
  <cols>
    <col min="1" max="1" width="39.88671875" style="471" customWidth="1"/>
    <col min="2" max="2" width="20.109375" style="436" customWidth="1"/>
    <col min="3" max="3" width="12.6640625" style="436" customWidth="1"/>
    <col min="4" max="4" width="15.88671875" style="436" customWidth="1"/>
    <col min="5" max="5" width="12.5546875" style="436" customWidth="1"/>
    <col min="6" max="6" width="19" style="436" customWidth="1"/>
    <col min="7" max="7" width="20.109375" style="436" customWidth="1"/>
    <col min="8" max="8" width="37.109375" style="436" customWidth="1"/>
    <col min="9" max="9" width="13.33203125" style="436" customWidth="1"/>
    <col min="10" max="10" width="31.88671875" style="436" customWidth="1"/>
    <col min="11" max="11" width="54.44140625" style="436" customWidth="1"/>
    <col min="12" max="256" width="12.5546875" style="436" customWidth="1"/>
    <col min="257" max="16384" width="9.109375" style="436"/>
  </cols>
  <sheetData>
    <row r="1" spans="1:16" ht="15.75" customHeight="1" x14ac:dyDescent="0.3">
      <c r="A1" s="435" t="s">
        <v>203</v>
      </c>
      <c r="B1" s="641">
        <v>45296</v>
      </c>
      <c r="C1" s="642"/>
      <c r="D1" s="642"/>
      <c r="E1" s="642"/>
      <c r="F1" s="642"/>
      <c r="G1" s="643"/>
      <c r="H1" s="644" t="s">
        <v>204</v>
      </c>
    </row>
    <row r="2" spans="1:16" x14ac:dyDescent="0.3">
      <c r="A2" s="437" t="s">
        <v>205</v>
      </c>
      <c r="B2" s="647" t="s">
        <v>206</v>
      </c>
      <c r="C2" s="648"/>
      <c r="D2" s="648"/>
      <c r="E2" s="648"/>
      <c r="F2" s="648"/>
      <c r="G2" s="649"/>
      <c r="H2" s="645"/>
    </row>
    <row r="3" spans="1:16" x14ac:dyDescent="0.3">
      <c r="A3" s="437" t="s">
        <v>207</v>
      </c>
      <c r="B3" s="650" t="s">
        <v>208</v>
      </c>
      <c r="C3" s="651"/>
      <c r="D3" s="651"/>
      <c r="E3" s="652"/>
      <c r="F3" s="650" t="s">
        <v>209</v>
      </c>
      <c r="G3" s="653"/>
      <c r="H3" s="645"/>
      <c r="I3" s="438"/>
      <c r="J3" s="438"/>
    </row>
    <row r="4" spans="1:16" x14ac:dyDescent="0.3">
      <c r="A4" s="437" t="s">
        <v>210</v>
      </c>
      <c r="B4" s="654" t="s">
        <v>211</v>
      </c>
      <c r="C4" s="655"/>
      <c r="D4" s="655"/>
      <c r="E4" s="655"/>
      <c r="F4" s="655"/>
      <c r="G4" s="656"/>
      <c r="H4" s="645"/>
    </row>
    <row r="5" spans="1:16" x14ac:dyDescent="0.3">
      <c r="A5" s="437" t="s">
        <v>212</v>
      </c>
      <c r="B5" s="657" t="s">
        <v>856</v>
      </c>
      <c r="C5" s="658"/>
      <c r="D5" s="658"/>
      <c r="E5" s="658"/>
      <c r="F5" s="658"/>
      <c r="G5" s="659"/>
      <c r="H5" s="645"/>
    </row>
    <row r="6" spans="1:16" s="439" customFormat="1" x14ac:dyDescent="0.3">
      <c r="A6" s="437" t="s">
        <v>213</v>
      </c>
      <c r="B6" s="647" t="s">
        <v>857</v>
      </c>
      <c r="C6" s="648"/>
      <c r="D6" s="648"/>
      <c r="E6" s="648"/>
      <c r="F6" s="648"/>
      <c r="G6" s="649"/>
      <c r="H6" s="645"/>
    </row>
    <row r="7" spans="1:16" x14ac:dyDescent="0.3">
      <c r="A7" s="440" t="s">
        <v>214</v>
      </c>
      <c r="B7" s="660" t="s">
        <v>858</v>
      </c>
      <c r="C7" s="661"/>
      <c r="D7" s="661"/>
      <c r="E7" s="661"/>
      <c r="F7" s="661"/>
      <c r="G7" s="662"/>
      <c r="H7" s="646"/>
    </row>
    <row r="8" spans="1:16" ht="16.2" thickBot="1" x14ac:dyDescent="0.35">
      <c r="A8" s="436" t="s">
        <v>215</v>
      </c>
      <c r="B8" s="441"/>
      <c r="C8" s="442"/>
      <c r="D8" s="441"/>
      <c r="E8" s="441"/>
      <c r="F8" s="443" t="s">
        <v>216</v>
      </c>
      <c r="G8" s="441"/>
      <c r="H8" s="441"/>
      <c r="K8" s="444"/>
    </row>
    <row r="9" spans="1:16" ht="16.2" thickBot="1" x14ac:dyDescent="0.35">
      <c r="A9" s="436" t="s">
        <v>217</v>
      </c>
      <c r="B9" s="441"/>
      <c r="C9" s="442"/>
      <c r="D9" s="441"/>
      <c r="E9" s="441"/>
      <c r="F9" s="445">
        <v>0.24709999999999999</v>
      </c>
      <c r="G9" s="441"/>
      <c r="H9" s="441"/>
      <c r="K9" s="444"/>
      <c r="L9" s="638" t="s">
        <v>218</v>
      </c>
      <c r="M9" s="639"/>
      <c r="N9" s="639"/>
      <c r="O9" s="639"/>
      <c r="P9" s="640"/>
    </row>
    <row r="10" spans="1:16" ht="26.4" x14ac:dyDescent="0.3">
      <c r="A10" s="446" t="s">
        <v>219</v>
      </c>
      <c r="B10" s="447" t="s">
        <v>220</v>
      </c>
      <c r="C10" s="448" t="s">
        <v>221</v>
      </c>
      <c r="D10" s="447" t="s">
        <v>222</v>
      </c>
      <c r="E10" s="447" t="s">
        <v>223</v>
      </c>
      <c r="F10" s="449" t="s">
        <v>224</v>
      </c>
      <c r="G10" s="450" t="s">
        <v>225</v>
      </c>
      <c r="H10" s="449" t="s">
        <v>226</v>
      </c>
      <c r="I10" s="450" t="s">
        <v>227</v>
      </c>
      <c r="J10" s="449" t="s">
        <v>228</v>
      </c>
      <c r="K10" s="451" t="s">
        <v>229</v>
      </c>
      <c r="L10" s="449">
        <v>2020</v>
      </c>
      <c r="M10" s="449">
        <v>2021</v>
      </c>
      <c r="N10" s="449">
        <v>2022</v>
      </c>
      <c r="O10" s="449">
        <v>2022</v>
      </c>
      <c r="P10" s="452" t="s">
        <v>1058</v>
      </c>
    </row>
    <row r="11" spans="1:16" x14ac:dyDescent="0.3">
      <c r="A11" s="453" t="s">
        <v>230</v>
      </c>
      <c r="B11" s="454">
        <v>89</v>
      </c>
      <c r="C11" s="455">
        <v>1.01</v>
      </c>
      <c r="D11" s="456">
        <v>0.46360000000000001</v>
      </c>
      <c r="E11" s="456">
        <v>0.13700000000000001</v>
      </c>
      <c r="F11" s="457">
        <v>0.75</v>
      </c>
      <c r="G11" s="458">
        <v>0.11360000000000001</v>
      </c>
      <c r="H11" s="457">
        <v>0.84</v>
      </c>
      <c r="I11" s="459">
        <v>0.37609999999999999</v>
      </c>
      <c r="J11" s="460">
        <v>0.35160000000000002</v>
      </c>
      <c r="K11" s="461">
        <v>0.45860000000000001</v>
      </c>
      <c r="L11" s="462">
        <v>0.68</v>
      </c>
      <c r="M11" s="463">
        <v>0.73</v>
      </c>
      <c r="N11" s="464">
        <v>0.83</v>
      </c>
      <c r="O11" s="442">
        <v>0.9</v>
      </c>
      <c r="P11" s="465">
        <v>0.8</v>
      </c>
    </row>
    <row r="12" spans="1:16" x14ac:dyDescent="0.3">
      <c r="A12" s="453" t="s">
        <v>231</v>
      </c>
      <c r="B12" s="454">
        <v>61</v>
      </c>
      <c r="C12" s="455">
        <v>0.9</v>
      </c>
      <c r="D12" s="456">
        <v>0.15340000000000001</v>
      </c>
      <c r="E12" s="456">
        <v>0.12740000000000001</v>
      </c>
      <c r="F12" s="457">
        <v>0.81</v>
      </c>
      <c r="G12" s="458">
        <v>8.48E-2</v>
      </c>
      <c r="H12" s="457">
        <v>0.89</v>
      </c>
      <c r="I12" s="459">
        <v>0.3362</v>
      </c>
      <c r="J12" s="460">
        <v>0.3553</v>
      </c>
      <c r="K12" s="461">
        <v>0.2074</v>
      </c>
      <c r="L12" s="466">
        <v>1.2</v>
      </c>
      <c r="M12" s="463">
        <v>1.07</v>
      </c>
      <c r="N12" s="464">
        <v>1.1399999999999999</v>
      </c>
      <c r="O12" s="442">
        <v>0.9</v>
      </c>
      <c r="P12" s="465">
        <v>1.04</v>
      </c>
    </row>
    <row r="13" spans="1:16" x14ac:dyDescent="0.3">
      <c r="A13" s="453" t="s">
        <v>232</v>
      </c>
      <c r="B13" s="454">
        <v>34</v>
      </c>
      <c r="C13" s="455">
        <v>1.34</v>
      </c>
      <c r="D13" s="456">
        <v>0.90659999999999996</v>
      </c>
      <c r="E13" s="456">
        <v>0.15609999999999999</v>
      </c>
      <c r="F13" s="457">
        <v>0.8</v>
      </c>
      <c r="G13" s="458">
        <v>0.11509999999999999</v>
      </c>
      <c r="H13" s="457">
        <v>0.9</v>
      </c>
      <c r="I13" s="459">
        <v>0.33429999999999999</v>
      </c>
      <c r="J13" s="460">
        <v>0.30730000000000002</v>
      </c>
      <c r="K13" s="461">
        <v>1.9269000000000001</v>
      </c>
      <c r="L13" s="462">
        <v>0.67</v>
      </c>
      <c r="M13" s="463">
        <v>0.96</v>
      </c>
      <c r="N13" s="464">
        <v>1</v>
      </c>
      <c r="O13" s="442">
        <v>0.78</v>
      </c>
      <c r="P13" s="465">
        <v>0.86</v>
      </c>
    </row>
    <row r="14" spans="1:16" x14ac:dyDescent="0.3">
      <c r="A14" s="453" t="s">
        <v>233</v>
      </c>
      <c r="B14" s="454">
        <v>110</v>
      </c>
      <c r="C14" s="455">
        <v>1</v>
      </c>
      <c r="D14" s="456">
        <v>0.14180000000000001</v>
      </c>
      <c r="E14" s="456">
        <v>0.1419</v>
      </c>
      <c r="F14" s="457">
        <v>0.91</v>
      </c>
      <c r="G14" s="458">
        <v>3.8699999999999998E-2</v>
      </c>
      <c r="H14" s="457">
        <v>0.94</v>
      </c>
      <c r="I14" s="459">
        <v>0.34050000000000002</v>
      </c>
      <c r="J14" s="460">
        <v>0.31430000000000002</v>
      </c>
      <c r="K14" s="461">
        <v>0.3916</v>
      </c>
      <c r="L14" s="466">
        <v>0.92</v>
      </c>
      <c r="M14" s="463">
        <v>1.04</v>
      </c>
      <c r="N14" s="464">
        <v>1.07</v>
      </c>
      <c r="O14" s="442">
        <v>1.03</v>
      </c>
      <c r="P14" s="465">
        <v>1</v>
      </c>
    </row>
    <row r="15" spans="1:16" x14ac:dyDescent="0.3">
      <c r="A15" s="453" t="s">
        <v>234</v>
      </c>
      <c r="B15" s="454">
        <v>31</v>
      </c>
      <c r="C15" s="455">
        <v>1.4</v>
      </c>
      <c r="D15" s="456">
        <v>1.0539000000000001</v>
      </c>
      <c r="E15" s="456">
        <v>9.6299999999999997E-2</v>
      </c>
      <c r="F15" s="457">
        <v>0.78</v>
      </c>
      <c r="G15" s="458">
        <v>0.17960000000000001</v>
      </c>
      <c r="H15" s="457">
        <v>0.95</v>
      </c>
      <c r="I15" s="459">
        <v>0.37919999999999998</v>
      </c>
      <c r="J15" s="460">
        <v>0.35580000000000001</v>
      </c>
      <c r="K15" s="461">
        <v>0.40670000000000001</v>
      </c>
      <c r="L15" s="462">
        <v>0.8</v>
      </c>
      <c r="M15" s="463">
        <v>0.69</v>
      </c>
      <c r="N15" s="464">
        <v>0.74</v>
      </c>
      <c r="O15" s="442">
        <v>0.86</v>
      </c>
      <c r="P15" s="465">
        <v>0.81</v>
      </c>
    </row>
    <row r="16" spans="1:16" x14ac:dyDescent="0.3">
      <c r="A16" s="453" t="s">
        <v>235</v>
      </c>
      <c r="B16" s="454">
        <v>59</v>
      </c>
      <c r="C16" s="455">
        <v>1.4</v>
      </c>
      <c r="D16" s="456">
        <v>0.61980000000000002</v>
      </c>
      <c r="E16" s="456">
        <v>0.17960000000000001</v>
      </c>
      <c r="F16" s="457">
        <v>0.96</v>
      </c>
      <c r="G16" s="458">
        <v>0.11260000000000001</v>
      </c>
      <c r="H16" s="457">
        <v>1.08</v>
      </c>
      <c r="I16" s="459">
        <v>0.34649999999999997</v>
      </c>
      <c r="J16" s="460">
        <v>0.30690000000000001</v>
      </c>
      <c r="K16" s="461">
        <v>0.29870000000000002</v>
      </c>
      <c r="L16" s="466">
        <v>1.3</v>
      </c>
      <c r="M16" s="463">
        <v>1.17</v>
      </c>
      <c r="N16" s="464">
        <v>1.29</v>
      </c>
      <c r="O16" s="442">
        <v>1.18</v>
      </c>
      <c r="P16" s="465">
        <v>1.2</v>
      </c>
    </row>
    <row r="17" spans="1:16" x14ac:dyDescent="0.3">
      <c r="A17" s="453" t="s">
        <v>236</v>
      </c>
      <c r="B17" s="454">
        <v>112</v>
      </c>
      <c r="C17" s="455">
        <v>1.22</v>
      </c>
      <c r="D17" s="456">
        <v>5.6157000000000004</v>
      </c>
      <c r="E17" s="456">
        <v>0.2354</v>
      </c>
      <c r="F17" s="457">
        <v>0.23</v>
      </c>
      <c r="G17" s="458">
        <v>0.36259999999999998</v>
      </c>
      <c r="H17" s="457">
        <v>0.36</v>
      </c>
      <c r="I17" s="459">
        <v>0.245</v>
      </c>
      <c r="J17" s="460">
        <v>0.25359999999999999</v>
      </c>
      <c r="K17" s="461">
        <v>1.5390999999999999</v>
      </c>
      <c r="L17" s="462">
        <v>0.32</v>
      </c>
      <c r="M17" s="463">
        <v>0.28000000000000003</v>
      </c>
      <c r="N17" s="464">
        <v>0.42</v>
      </c>
      <c r="O17" s="442">
        <v>0.37</v>
      </c>
      <c r="P17" s="465">
        <v>0.35</v>
      </c>
    </row>
    <row r="18" spans="1:16" x14ac:dyDescent="0.3">
      <c r="A18" s="453" t="s">
        <v>237</v>
      </c>
      <c r="B18" s="454">
        <v>72</v>
      </c>
      <c r="C18" s="455">
        <v>0.47</v>
      </c>
      <c r="D18" s="456">
        <v>2.8755999999999999</v>
      </c>
      <c r="E18" s="456">
        <v>0.18770000000000001</v>
      </c>
      <c r="F18" s="457">
        <v>0.15</v>
      </c>
      <c r="G18" s="458">
        <v>0.3019</v>
      </c>
      <c r="H18" s="457">
        <v>0.21</v>
      </c>
      <c r="I18" s="459">
        <v>0.1142</v>
      </c>
      <c r="J18" s="460">
        <v>0.1328</v>
      </c>
      <c r="K18" s="461" t="s">
        <v>238</v>
      </c>
      <c r="L18" s="466">
        <v>0.2</v>
      </c>
      <c r="M18" s="463">
        <v>0.23</v>
      </c>
      <c r="N18" s="464">
        <v>0.28999999999999998</v>
      </c>
      <c r="O18" s="442">
        <v>0.24</v>
      </c>
      <c r="P18" s="465">
        <v>0.23</v>
      </c>
    </row>
    <row r="19" spans="1:16" x14ac:dyDescent="0.3">
      <c r="A19" s="453" t="s">
        <v>239</v>
      </c>
      <c r="B19" s="454">
        <v>55</v>
      </c>
      <c r="C19" s="455">
        <v>0.59</v>
      </c>
      <c r="D19" s="456">
        <v>0.4501</v>
      </c>
      <c r="E19" s="456">
        <v>0.18029999999999999</v>
      </c>
      <c r="F19" s="457">
        <v>0.44</v>
      </c>
      <c r="G19" s="458">
        <v>2.35E-2</v>
      </c>
      <c r="H19" s="457">
        <v>0.45</v>
      </c>
      <c r="I19" s="459">
        <v>0.25119999999999998</v>
      </c>
      <c r="J19" s="460">
        <v>0.26350000000000001</v>
      </c>
      <c r="K19" s="461">
        <v>0.1085</v>
      </c>
      <c r="L19" s="462">
        <v>0.45</v>
      </c>
      <c r="M19" s="463">
        <v>0.47</v>
      </c>
      <c r="N19" s="464">
        <v>0.52</v>
      </c>
      <c r="O19" s="442">
        <v>0.51</v>
      </c>
      <c r="P19" s="465">
        <v>0.48</v>
      </c>
    </row>
    <row r="20" spans="1:16" x14ac:dyDescent="0.3">
      <c r="A20" s="453" t="s">
        <v>240</v>
      </c>
      <c r="B20" s="454">
        <v>15</v>
      </c>
      <c r="C20" s="455">
        <v>0.71</v>
      </c>
      <c r="D20" s="456">
        <v>0.3624</v>
      </c>
      <c r="E20" s="456">
        <v>0.19700000000000001</v>
      </c>
      <c r="F20" s="457">
        <v>0.56000000000000005</v>
      </c>
      <c r="G20" s="458">
        <v>4.9599999999999998E-2</v>
      </c>
      <c r="H20" s="457">
        <v>0.57999999999999996</v>
      </c>
      <c r="I20" s="459">
        <v>0.21790000000000001</v>
      </c>
      <c r="J20" s="460">
        <v>0.23719999999999999</v>
      </c>
      <c r="K20" s="461">
        <v>0.2535</v>
      </c>
      <c r="L20" s="466">
        <v>0.52</v>
      </c>
      <c r="M20" s="463">
        <v>0.65</v>
      </c>
      <c r="N20" s="464">
        <v>0.68</v>
      </c>
      <c r="O20" s="442">
        <v>0.71</v>
      </c>
      <c r="P20" s="465">
        <v>0.63</v>
      </c>
    </row>
    <row r="21" spans="1:16" x14ac:dyDescent="0.3">
      <c r="A21" s="453" t="s">
        <v>241</v>
      </c>
      <c r="B21" s="454">
        <v>22</v>
      </c>
      <c r="C21" s="455">
        <v>0.93</v>
      </c>
      <c r="D21" s="456">
        <v>0.44590000000000002</v>
      </c>
      <c r="E21" s="456">
        <v>0.184</v>
      </c>
      <c r="F21" s="457">
        <v>0.69</v>
      </c>
      <c r="G21" s="458">
        <v>0.1042</v>
      </c>
      <c r="H21" s="457">
        <v>0.78</v>
      </c>
      <c r="I21" s="459">
        <v>0.28260000000000002</v>
      </c>
      <c r="J21" s="460">
        <v>0.22520000000000001</v>
      </c>
      <c r="K21" s="461">
        <v>0.1447</v>
      </c>
      <c r="L21" s="462">
        <v>1.03</v>
      </c>
      <c r="M21" s="463">
        <v>0.75</v>
      </c>
      <c r="N21" s="464">
        <v>0.82</v>
      </c>
      <c r="O21" s="442">
        <v>0.8</v>
      </c>
      <c r="P21" s="465">
        <v>0.84</v>
      </c>
    </row>
    <row r="22" spans="1:16" x14ac:dyDescent="0.3">
      <c r="A22" s="453" t="s">
        <v>242</v>
      </c>
      <c r="B22" s="454">
        <v>74</v>
      </c>
      <c r="C22" s="455">
        <v>0.87</v>
      </c>
      <c r="D22" s="456">
        <v>0.68759999999999999</v>
      </c>
      <c r="E22" s="456">
        <v>0.15190000000000001</v>
      </c>
      <c r="F22" s="457">
        <v>0.56999999999999995</v>
      </c>
      <c r="G22" s="458">
        <v>0.24129999999999999</v>
      </c>
      <c r="H22" s="457">
        <v>0.76</v>
      </c>
      <c r="I22" s="459">
        <v>0.31780000000000003</v>
      </c>
      <c r="J22" s="460">
        <v>0.29260000000000003</v>
      </c>
      <c r="K22" s="461">
        <v>0.82030000000000003</v>
      </c>
      <c r="L22" s="466">
        <v>0.95</v>
      </c>
      <c r="M22" s="463">
        <v>0.73</v>
      </c>
      <c r="N22" s="464">
        <v>0.9</v>
      </c>
      <c r="O22" s="442">
        <v>0.7</v>
      </c>
      <c r="P22" s="465">
        <v>0.81</v>
      </c>
    </row>
    <row r="23" spans="1:16" x14ac:dyDescent="0.3">
      <c r="A23" s="453" t="s">
        <v>243</v>
      </c>
      <c r="B23" s="454">
        <v>89</v>
      </c>
      <c r="C23" s="455">
        <v>1.07</v>
      </c>
      <c r="D23" s="456">
        <v>0.20530000000000001</v>
      </c>
      <c r="E23" s="456">
        <v>0.14649999999999999</v>
      </c>
      <c r="F23" s="457">
        <v>0.93</v>
      </c>
      <c r="G23" s="458">
        <v>3.85E-2</v>
      </c>
      <c r="H23" s="457">
        <v>0.96</v>
      </c>
      <c r="I23" s="459">
        <v>0.32900000000000001</v>
      </c>
      <c r="J23" s="460">
        <v>0.29809999999999998</v>
      </c>
      <c r="K23" s="461">
        <v>0.20349999999999999</v>
      </c>
      <c r="L23" s="462">
        <v>0.87</v>
      </c>
      <c r="M23" s="463">
        <v>0.83</v>
      </c>
      <c r="N23" s="464">
        <v>0.94</v>
      </c>
      <c r="O23" s="442">
        <v>1.04</v>
      </c>
      <c r="P23" s="465">
        <v>0.93</v>
      </c>
    </row>
    <row r="24" spans="1:16" x14ac:dyDescent="0.3">
      <c r="A24" s="453" t="s">
        <v>244</v>
      </c>
      <c r="B24" s="454">
        <v>194</v>
      </c>
      <c r="C24" s="455">
        <v>1.01</v>
      </c>
      <c r="D24" s="456">
        <v>0.27039999999999997</v>
      </c>
      <c r="E24" s="456">
        <v>0.1638</v>
      </c>
      <c r="F24" s="457">
        <v>0.84</v>
      </c>
      <c r="G24" s="458">
        <v>4.6300000000000001E-2</v>
      </c>
      <c r="H24" s="457">
        <v>0.88</v>
      </c>
      <c r="I24" s="459">
        <v>0.31990000000000002</v>
      </c>
      <c r="J24" s="460">
        <v>0.30740000000000001</v>
      </c>
      <c r="K24" s="461">
        <v>0.18360000000000001</v>
      </c>
      <c r="L24" s="466">
        <v>0.87</v>
      </c>
      <c r="M24" s="463">
        <v>0.85</v>
      </c>
      <c r="N24" s="464">
        <v>0.97</v>
      </c>
      <c r="O24" s="442">
        <v>0.91</v>
      </c>
      <c r="P24" s="465">
        <v>0.9</v>
      </c>
    </row>
    <row r="25" spans="1:16" x14ac:dyDescent="0.3">
      <c r="A25" s="453" t="s">
        <v>245</v>
      </c>
      <c r="B25" s="454">
        <v>3</v>
      </c>
      <c r="C25" s="455">
        <v>0.78</v>
      </c>
      <c r="D25" s="456">
        <v>1.9682999999999999</v>
      </c>
      <c r="E25" s="456">
        <v>0.16059999999999999</v>
      </c>
      <c r="F25" s="457">
        <v>0.31</v>
      </c>
      <c r="G25" s="458">
        <v>0.1154</v>
      </c>
      <c r="H25" s="457">
        <v>0.35</v>
      </c>
      <c r="I25" s="459">
        <v>0.4582</v>
      </c>
      <c r="J25" s="460">
        <v>0.28339999999999999</v>
      </c>
      <c r="K25" s="461">
        <v>0.1741</v>
      </c>
      <c r="L25" s="462">
        <v>0.51</v>
      </c>
      <c r="M25" s="463">
        <v>0.54</v>
      </c>
      <c r="N25" s="464">
        <v>0.41</v>
      </c>
      <c r="O25" s="442">
        <v>0.33</v>
      </c>
      <c r="P25" s="465">
        <v>0.43</v>
      </c>
    </row>
    <row r="26" spans="1:16" x14ac:dyDescent="0.3">
      <c r="A26" s="453" t="s">
        <v>246</v>
      </c>
      <c r="B26" s="454">
        <v>61</v>
      </c>
      <c r="C26" s="455">
        <v>0.84</v>
      </c>
      <c r="D26" s="456">
        <v>0.40570000000000001</v>
      </c>
      <c r="E26" s="456">
        <v>8.5900000000000004E-2</v>
      </c>
      <c r="F26" s="457">
        <v>0.64</v>
      </c>
      <c r="G26" s="458">
        <v>7.4099999999999999E-2</v>
      </c>
      <c r="H26" s="457">
        <v>0.69</v>
      </c>
      <c r="I26" s="459">
        <v>0.38369999999999999</v>
      </c>
      <c r="J26" s="460">
        <v>0.33329999999999999</v>
      </c>
      <c r="K26" s="461">
        <v>0.4541</v>
      </c>
      <c r="L26" s="466">
        <v>0.7</v>
      </c>
      <c r="M26" s="463">
        <v>0.75</v>
      </c>
      <c r="N26" s="464">
        <v>0.87</v>
      </c>
      <c r="O26" s="442">
        <v>0.9</v>
      </c>
      <c r="P26" s="465">
        <v>0.78</v>
      </c>
    </row>
    <row r="27" spans="1:16" x14ac:dyDescent="0.3">
      <c r="A27" s="453" t="s">
        <v>247</v>
      </c>
      <c r="B27" s="454">
        <v>7</v>
      </c>
      <c r="C27" s="455">
        <v>1.1100000000000001</v>
      </c>
      <c r="D27" s="456">
        <v>0.52</v>
      </c>
      <c r="E27" s="456">
        <v>8.1299999999999997E-2</v>
      </c>
      <c r="F27" s="457">
        <v>0.8</v>
      </c>
      <c r="G27" s="458">
        <v>5.8799999999999998E-2</v>
      </c>
      <c r="H27" s="457">
        <v>0.85</v>
      </c>
      <c r="I27" s="459">
        <v>0.27610000000000001</v>
      </c>
      <c r="J27" s="460">
        <v>0.23180000000000001</v>
      </c>
      <c r="K27" s="461">
        <v>0.20710000000000001</v>
      </c>
      <c r="L27" s="462">
        <v>1.44</v>
      </c>
      <c r="M27" s="463">
        <v>1.08</v>
      </c>
      <c r="N27" s="464">
        <v>1.03</v>
      </c>
      <c r="O27" s="442">
        <v>0.78</v>
      </c>
      <c r="P27" s="465">
        <v>1.04</v>
      </c>
    </row>
    <row r="28" spans="1:16" x14ac:dyDescent="0.3">
      <c r="A28" s="453" t="s">
        <v>248</v>
      </c>
      <c r="B28" s="454">
        <v>102</v>
      </c>
      <c r="C28" s="455">
        <v>1.08</v>
      </c>
      <c r="D28" s="456">
        <v>0.1827</v>
      </c>
      <c r="E28" s="456">
        <v>0.1069</v>
      </c>
      <c r="F28" s="457">
        <v>0.95</v>
      </c>
      <c r="G28" s="458">
        <v>3.5299999999999998E-2</v>
      </c>
      <c r="H28" s="457">
        <v>0.98</v>
      </c>
      <c r="I28" s="459">
        <v>0.4022</v>
      </c>
      <c r="J28" s="460">
        <v>0.3407</v>
      </c>
      <c r="K28" s="461">
        <v>0.28389999999999999</v>
      </c>
      <c r="L28" s="466">
        <v>1.07</v>
      </c>
      <c r="M28" s="463">
        <v>0.89</v>
      </c>
      <c r="N28" s="464">
        <v>0.91</v>
      </c>
      <c r="O28" s="442">
        <v>1.03</v>
      </c>
      <c r="P28" s="465">
        <v>0.98</v>
      </c>
    </row>
    <row r="29" spans="1:16" x14ac:dyDescent="0.3">
      <c r="A29" s="453" t="s">
        <v>249</v>
      </c>
      <c r="B29" s="454">
        <v>16</v>
      </c>
      <c r="C29" s="455">
        <v>0.87</v>
      </c>
      <c r="D29" s="456">
        <v>0.14810000000000001</v>
      </c>
      <c r="E29" s="456">
        <v>6.88E-2</v>
      </c>
      <c r="F29" s="457">
        <v>0.78</v>
      </c>
      <c r="G29" s="458">
        <v>0.27379999999999999</v>
      </c>
      <c r="H29" s="457">
        <v>1.08</v>
      </c>
      <c r="I29" s="459">
        <v>0.54959999999999998</v>
      </c>
      <c r="J29" s="460">
        <v>0.505</v>
      </c>
      <c r="K29" s="461">
        <v>0.68720000000000003</v>
      </c>
      <c r="L29" s="462">
        <v>1.1000000000000001</v>
      </c>
      <c r="M29" s="463">
        <v>1.19</v>
      </c>
      <c r="N29" s="464">
        <v>1.95</v>
      </c>
      <c r="O29" s="442">
        <v>1.4</v>
      </c>
      <c r="P29" s="465">
        <v>1.34</v>
      </c>
    </row>
    <row r="30" spans="1:16" x14ac:dyDescent="0.3">
      <c r="A30" s="453" t="s">
        <v>250</v>
      </c>
      <c r="B30" s="454">
        <v>226</v>
      </c>
      <c r="C30" s="455">
        <v>0.95</v>
      </c>
      <c r="D30" s="456">
        <v>0.10290000000000001</v>
      </c>
      <c r="E30" s="456">
        <v>0.16300000000000001</v>
      </c>
      <c r="F30" s="457">
        <v>0.88</v>
      </c>
      <c r="G30" s="458">
        <v>5.7700000000000001E-2</v>
      </c>
      <c r="H30" s="457">
        <v>0.94</v>
      </c>
      <c r="I30" s="459">
        <v>0.3357</v>
      </c>
      <c r="J30" s="460">
        <v>0.29530000000000001</v>
      </c>
      <c r="K30" s="461">
        <v>0.29970000000000002</v>
      </c>
      <c r="L30" s="466">
        <v>0.99</v>
      </c>
      <c r="M30" s="463">
        <v>0.91</v>
      </c>
      <c r="N30" s="464">
        <v>0.97</v>
      </c>
      <c r="O30" s="442">
        <v>1</v>
      </c>
      <c r="P30" s="465">
        <v>0.96</v>
      </c>
    </row>
    <row r="31" spans="1:16" x14ac:dyDescent="0.3">
      <c r="A31" s="453" t="s">
        <v>251</v>
      </c>
      <c r="B31" s="454">
        <v>43</v>
      </c>
      <c r="C31" s="455">
        <v>1.0900000000000001</v>
      </c>
      <c r="D31" s="456">
        <v>0.2059</v>
      </c>
      <c r="E31" s="456">
        <v>7.7499999999999999E-2</v>
      </c>
      <c r="F31" s="457">
        <v>0.95</v>
      </c>
      <c r="G31" s="458">
        <v>7.1099999999999997E-2</v>
      </c>
      <c r="H31" s="457">
        <v>1.02</v>
      </c>
      <c r="I31" s="459">
        <v>0.4143</v>
      </c>
      <c r="J31" s="460">
        <v>0.36299999999999999</v>
      </c>
      <c r="K31" s="461">
        <v>0.27950000000000003</v>
      </c>
      <c r="L31" s="462">
        <v>1.38</v>
      </c>
      <c r="M31" s="463">
        <v>0.93</v>
      </c>
      <c r="N31" s="464">
        <v>0.99</v>
      </c>
      <c r="O31" s="442">
        <v>1.02</v>
      </c>
      <c r="P31" s="465">
        <v>1.07</v>
      </c>
    </row>
    <row r="32" spans="1:16" x14ac:dyDescent="0.3">
      <c r="A32" s="453" t="s">
        <v>252</v>
      </c>
      <c r="B32" s="454">
        <v>54</v>
      </c>
      <c r="C32" s="455">
        <v>0.75</v>
      </c>
      <c r="D32" s="456">
        <v>0.34189999999999998</v>
      </c>
      <c r="E32" s="456">
        <v>0.13980000000000001</v>
      </c>
      <c r="F32" s="457">
        <v>0.6</v>
      </c>
      <c r="G32" s="458">
        <v>6.9400000000000003E-2</v>
      </c>
      <c r="H32" s="457">
        <v>0.64</v>
      </c>
      <c r="I32" s="459">
        <v>0.38640000000000002</v>
      </c>
      <c r="J32" s="460">
        <v>0.29759999999999998</v>
      </c>
      <c r="K32" s="461">
        <v>0.3201</v>
      </c>
      <c r="L32" s="466">
        <v>0.94</v>
      </c>
      <c r="M32" s="463">
        <v>0.92</v>
      </c>
      <c r="N32" s="464">
        <v>0.95</v>
      </c>
      <c r="O32" s="442">
        <v>0.92</v>
      </c>
      <c r="P32" s="465">
        <v>0.87</v>
      </c>
    </row>
    <row r="33" spans="1:16" x14ac:dyDescent="0.3">
      <c r="A33" s="453" t="s">
        <v>253</v>
      </c>
      <c r="B33" s="454">
        <v>70</v>
      </c>
      <c r="C33" s="455">
        <v>1.17</v>
      </c>
      <c r="D33" s="456">
        <v>0.40550000000000003</v>
      </c>
      <c r="E33" s="456">
        <v>0.1396</v>
      </c>
      <c r="F33" s="457">
        <v>0.9</v>
      </c>
      <c r="G33" s="458">
        <v>8.2799999999999999E-2</v>
      </c>
      <c r="H33" s="457">
        <v>0.98</v>
      </c>
      <c r="I33" s="459">
        <v>0.31390000000000001</v>
      </c>
      <c r="J33" s="460">
        <v>0.26479999999999998</v>
      </c>
      <c r="K33" s="461">
        <v>0.3528</v>
      </c>
      <c r="L33" s="462">
        <v>1</v>
      </c>
      <c r="M33" s="463">
        <v>0.82</v>
      </c>
      <c r="N33" s="464">
        <v>0.97</v>
      </c>
      <c r="O33" s="442">
        <v>1.02</v>
      </c>
      <c r="P33" s="465">
        <v>0.96</v>
      </c>
    </row>
    <row r="34" spans="1:16" x14ac:dyDescent="0.3">
      <c r="A34" s="453" t="s">
        <v>254</v>
      </c>
      <c r="B34" s="454">
        <v>233</v>
      </c>
      <c r="C34" s="455">
        <v>1.1599999999999999</v>
      </c>
      <c r="D34" s="456">
        <v>0.16039999999999999</v>
      </c>
      <c r="E34" s="456">
        <v>1.7999999999999999E-2</v>
      </c>
      <c r="F34" s="457">
        <v>1.04</v>
      </c>
      <c r="G34" s="458">
        <v>8.2500000000000004E-2</v>
      </c>
      <c r="H34" s="457">
        <v>1.1299999999999999</v>
      </c>
      <c r="I34" s="459">
        <v>0.53559999999999997</v>
      </c>
      <c r="J34" s="460">
        <v>0.51190000000000002</v>
      </c>
      <c r="K34" s="461" t="s">
        <v>238</v>
      </c>
      <c r="L34" s="466">
        <v>1.51</v>
      </c>
      <c r="M34" s="463">
        <v>1.03</v>
      </c>
      <c r="N34" s="464">
        <v>1.0900000000000001</v>
      </c>
      <c r="O34" s="442">
        <v>1.24</v>
      </c>
      <c r="P34" s="465">
        <v>1.2</v>
      </c>
    </row>
    <row r="35" spans="1:16" x14ac:dyDescent="0.3">
      <c r="A35" s="453" t="s">
        <v>255</v>
      </c>
      <c r="B35" s="454">
        <v>131</v>
      </c>
      <c r="C35" s="455">
        <v>0.98</v>
      </c>
      <c r="D35" s="456">
        <v>0.15110000000000001</v>
      </c>
      <c r="E35" s="456">
        <v>7.8799999999999995E-2</v>
      </c>
      <c r="F35" s="457">
        <v>0.88</v>
      </c>
      <c r="G35" s="458">
        <v>2.6700000000000002E-2</v>
      </c>
      <c r="H35" s="457">
        <v>0.9</v>
      </c>
      <c r="I35" s="459">
        <v>0.45679999999999998</v>
      </c>
      <c r="J35" s="460">
        <v>0.41839999999999999</v>
      </c>
      <c r="K35" s="461">
        <v>0.158</v>
      </c>
      <c r="L35" s="462">
        <v>1.02</v>
      </c>
      <c r="M35" s="463">
        <v>0.83</v>
      </c>
      <c r="N35" s="464">
        <v>0.88</v>
      </c>
      <c r="O35" s="442">
        <v>0.93</v>
      </c>
      <c r="P35" s="465">
        <v>0.91</v>
      </c>
    </row>
    <row r="36" spans="1:16" x14ac:dyDescent="0.3">
      <c r="A36" s="453" t="s">
        <v>256</v>
      </c>
      <c r="B36" s="454">
        <v>21</v>
      </c>
      <c r="C36" s="455">
        <v>0.62</v>
      </c>
      <c r="D36" s="456">
        <v>0.29010000000000002</v>
      </c>
      <c r="E36" s="456">
        <v>6.8199999999999997E-2</v>
      </c>
      <c r="F36" s="457">
        <v>0.51</v>
      </c>
      <c r="G36" s="458">
        <v>4.9000000000000002E-2</v>
      </c>
      <c r="H36" s="457">
        <v>0.54</v>
      </c>
      <c r="I36" s="459">
        <v>0.33889999999999998</v>
      </c>
      <c r="J36" s="460">
        <v>0.2782</v>
      </c>
      <c r="K36" s="461">
        <v>0.22409999999999999</v>
      </c>
      <c r="L36" s="466">
        <v>0.57999999999999996</v>
      </c>
      <c r="M36" s="463">
        <v>0.61</v>
      </c>
      <c r="N36" s="464">
        <v>0.6</v>
      </c>
      <c r="O36" s="442">
        <v>0.64</v>
      </c>
      <c r="P36" s="465">
        <v>0.59</v>
      </c>
    </row>
    <row r="37" spans="1:16" x14ac:dyDescent="0.3">
      <c r="A37" s="453" t="s">
        <v>257</v>
      </c>
      <c r="B37" s="454">
        <v>157</v>
      </c>
      <c r="C37" s="455">
        <v>1.29</v>
      </c>
      <c r="D37" s="456">
        <v>0.15790000000000001</v>
      </c>
      <c r="E37" s="456">
        <v>9.7299999999999998E-2</v>
      </c>
      <c r="F37" s="457">
        <v>1.1599999999999999</v>
      </c>
      <c r="G37" s="458">
        <v>5.1799999999999999E-2</v>
      </c>
      <c r="H37" s="457">
        <v>1.22</v>
      </c>
      <c r="I37" s="459">
        <v>0.45029999999999998</v>
      </c>
      <c r="J37" s="460">
        <v>0.38250000000000001</v>
      </c>
      <c r="K37" s="461">
        <v>0.10929999999999999</v>
      </c>
      <c r="L37" s="462">
        <v>1.19</v>
      </c>
      <c r="M37" s="463">
        <v>1.1599999999999999</v>
      </c>
      <c r="N37" s="464">
        <v>1.24</v>
      </c>
      <c r="O37" s="442">
        <v>1.26</v>
      </c>
      <c r="P37" s="465">
        <v>1.21</v>
      </c>
    </row>
    <row r="38" spans="1:16" x14ac:dyDescent="0.3">
      <c r="A38" s="453" t="s">
        <v>258</v>
      </c>
      <c r="B38" s="454">
        <v>21</v>
      </c>
      <c r="C38" s="455">
        <v>1.02</v>
      </c>
      <c r="D38" s="456">
        <v>0.12959999999999999</v>
      </c>
      <c r="E38" s="456">
        <v>0.10199999999999999</v>
      </c>
      <c r="F38" s="457">
        <v>0.93</v>
      </c>
      <c r="G38" s="458">
        <v>5.4699999999999999E-2</v>
      </c>
      <c r="H38" s="457">
        <v>0.98</v>
      </c>
      <c r="I38" s="459">
        <v>0.45590000000000003</v>
      </c>
      <c r="J38" s="460">
        <v>0.39960000000000001</v>
      </c>
      <c r="K38" s="461">
        <v>0.29389999999999999</v>
      </c>
      <c r="L38" s="466">
        <v>1.38</v>
      </c>
      <c r="M38" s="463">
        <v>1.23</v>
      </c>
      <c r="N38" s="464">
        <v>1.27</v>
      </c>
      <c r="O38" s="442">
        <v>1.08</v>
      </c>
      <c r="P38" s="465">
        <v>1.19</v>
      </c>
    </row>
    <row r="39" spans="1:16" x14ac:dyDescent="0.3">
      <c r="A39" s="453" t="s">
        <v>259</v>
      </c>
      <c r="B39" s="454">
        <v>151</v>
      </c>
      <c r="C39" s="455">
        <v>1.21</v>
      </c>
      <c r="D39" s="456">
        <v>0.1338</v>
      </c>
      <c r="E39" s="456">
        <v>0.1235</v>
      </c>
      <c r="F39" s="457">
        <v>1.1000000000000001</v>
      </c>
      <c r="G39" s="458">
        <v>4.0599999999999997E-2</v>
      </c>
      <c r="H39" s="457">
        <v>1.1499999999999999</v>
      </c>
      <c r="I39" s="459">
        <v>0.39689999999999998</v>
      </c>
      <c r="J39" s="460">
        <v>0.36149999999999999</v>
      </c>
      <c r="K39" s="461">
        <v>0.1943</v>
      </c>
      <c r="L39" s="462">
        <v>1.2</v>
      </c>
      <c r="M39" s="463">
        <v>0.95</v>
      </c>
      <c r="N39" s="464">
        <v>1.01</v>
      </c>
      <c r="O39" s="442">
        <v>1.1399999999999999</v>
      </c>
      <c r="P39" s="465">
        <v>1.0900000000000001</v>
      </c>
    </row>
    <row r="40" spans="1:16" x14ac:dyDescent="0.3">
      <c r="A40" s="453" t="s">
        <v>260</v>
      </c>
      <c r="B40" s="454">
        <v>231</v>
      </c>
      <c r="C40" s="455">
        <v>1.05</v>
      </c>
      <c r="D40" s="456">
        <v>0.62670000000000003</v>
      </c>
      <c r="E40" s="456">
        <v>0.14979999999999999</v>
      </c>
      <c r="F40" s="457">
        <v>0.71</v>
      </c>
      <c r="G40" s="458">
        <v>0.1241</v>
      </c>
      <c r="H40" s="457">
        <v>0.82</v>
      </c>
      <c r="I40" s="459">
        <v>0.32640000000000002</v>
      </c>
      <c r="J40" s="460">
        <v>0.29330000000000001</v>
      </c>
      <c r="K40" s="461">
        <v>0.24790000000000001</v>
      </c>
      <c r="L40" s="466">
        <v>0.81</v>
      </c>
      <c r="M40" s="463">
        <v>0.74</v>
      </c>
      <c r="N40" s="464">
        <v>0.84</v>
      </c>
      <c r="O40" s="442">
        <v>0.77</v>
      </c>
      <c r="P40" s="465">
        <v>0.79</v>
      </c>
    </row>
    <row r="41" spans="1:16" x14ac:dyDescent="0.3">
      <c r="A41" s="453" t="s">
        <v>261</v>
      </c>
      <c r="B41" s="454">
        <v>200</v>
      </c>
      <c r="C41" s="455">
        <v>0.89</v>
      </c>
      <c r="D41" s="456">
        <v>0.18790000000000001</v>
      </c>
      <c r="E41" s="456">
        <v>6.6900000000000001E-2</v>
      </c>
      <c r="F41" s="457">
        <v>0.78</v>
      </c>
      <c r="G41" s="458">
        <v>7.85E-2</v>
      </c>
      <c r="H41" s="457">
        <v>0.85</v>
      </c>
      <c r="I41" s="459">
        <v>0.42430000000000001</v>
      </c>
      <c r="J41" s="460">
        <v>0.39460000000000001</v>
      </c>
      <c r="K41" s="461">
        <v>0.4395</v>
      </c>
      <c r="L41" s="462">
        <v>1.04</v>
      </c>
      <c r="M41" s="463">
        <v>0.86</v>
      </c>
      <c r="N41" s="464">
        <v>0.93</v>
      </c>
      <c r="O41" s="442">
        <v>0.9</v>
      </c>
      <c r="P41" s="465">
        <v>0.91</v>
      </c>
    </row>
    <row r="42" spans="1:16" x14ac:dyDescent="0.3">
      <c r="A42" s="453" t="s">
        <v>262</v>
      </c>
      <c r="B42" s="454">
        <v>52</v>
      </c>
      <c r="C42" s="455">
        <v>1.1100000000000001</v>
      </c>
      <c r="D42" s="456">
        <v>0.50919999999999999</v>
      </c>
      <c r="E42" s="456">
        <v>0.14449999999999999</v>
      </c>
      <c r="F42" s="457">
        <v>0.81</v>
      </c>
      <c r="G42" s="458">
        <v>9.4200000000000006E-2</v>
      </c>
      <c r="H42" s="457">
        <v>0.89</v>
      </c>
      <c r="I42" s="459">
        <v>0.36969999999999997</v>
      </c>
      <c r="J42" s="460">
        <v>0.35070000000000001</v>
      </c>
      <c r="K42" s="461">
        <v>0.49399999999999999</v>
      </c>
      <c r="L42" s="466">
        <v>0.8</v>
      </c>
      <c r="M42" s="463">
        <v>0.82</v>
      </c>
      <c r="N42" s="464">
        <v>0.94</v>
      </c>
      <c r="O42" s="442">
        <v>1.04</v>
      </c>
      <c r="P42" s="465">
        <v>0.9</v>
      </c>
    </row>
    <row r="43" spans="1:16" x14ac:dyDescent="0.3">
      <c r="A43" s="453" t="s">
        <v>263</v>
      </c>
      <c r="B43" s="454">
        <v>50</v>
      </c>
      <c r="C43" s="455">
        <v>0.8</v>
      </c>
      <c r="D43" s="456">
        <v>0.88849999999999996</v>
      </c>
      <c r="E43" s="456">
        <v>0.13569999999999999</v>
      </c>
      <c r="F43" s="457">
        <v>0.48</v>
      </c>
      <c r="G43" s="458">
        <v>6.88E-2</v>
      </c>
      <c r="H43" s="457">
        <v>0.51</v>
      </c>
      <c r="I43" s="459">
        <v>0.32629999999999998</v>
      </c>
      <c r="J43" s="460">
        <v>0.3034</v>
      </c>
      <c r="K43" s="461">
        <v>0.28000000000000003</v>
      </c>
      <c r="L43" s="462">
        <v>0.45</v>
      </c>
      <c r="M43" s="463">
        <v>0.43</v>
      </c>
      <c r="N43" s="464">
        <v>0.55000000000000004</v>
      </c>
      <c r="O43" s="442">
        <v>0.59</v>
      </c>
      <c r="P43" s="465">
        <v>0.51</v>
      </c>
    </row>
    <row r="44" spans="1:16" x14ac:dyDescent="0.3">
      <c r="A44" s="453" t="s">
        <v>264</v>
      </c>
      <c r="B44" s="454">
        <v>158</v>
      </c>
      <c r="C44" s="455">
        <v>0.98</v>
      </c>
      <c r="D44" s="456">
        <v>4.0849000000000002</v>
      </c>
      <c r="E44" s="456">
        <v>0.12889999999999999</v>
      </c>
      <c r="F44" s="457">
        <v>0.24</v>
      </c>
      <c r="G44" s="458">
        <v>0.28460000000000002</v>
      </c>
      <c r="H44" s="457">
        <v>0.34</v>
      </c>
      <c r="I44" s="459">
        <v>0.36559999999999998</v>
      </c>
      <c r="J44" s="460">
        <v>0.35630000000000001</v>
      </c>
      <c r="K44" s="461">
        <v>0.4652</v>
      </c>
      <c r="L44" s="466">
        <v>0.26</v>
      </c>
      <c r="M44" s="463">
        <v>0.27</v>
      </c>
      <c r="N44" s="464">
        <v>0.33</v>
      </c>
      <c r="O44" s="442">
        <v>0.25</v>
      </c>
      <c r="P44" s="465">
        <v>0.28999999999999998</v>
      </c>
    </row>
    <row r="45" spans="1:16" x14ac:dyDescent="0.3">
      <c r="A45" s="453" t="s">
        <v>265</v>
      </c>
      <c r="B45" s="454">
        <v>197</v>
      </c>
      <c r="C45" s="455">
        <v>0.62</v>
      </c>
      <c r="D45" s="456">
        <v>0.27310000000000001</v>
      </c>
      <c r="E45" s="456">
        <v>0.14410000000000001</v>
      </c>
      <c r="F45" s="457">
        <v>0.51</v>
      </c>
      <c r="G45" s="458">
        <v>3.04E-2</v>
      </c>
      <c r="H45" s="457">
        <v>0.53</v>
      </c>
      <c r="I45" s="459">
        <v>0.3231</v>
      </c>
      <c r="J45" s="460">
        <v>0.26240000000000002</v>
      </c>
      <c r="K45" s="461">
        <v>0.1081</v>
      </c>
      <c r="L45" s="462">
        <v>0.63</v>
      </c>
      <c r="M45" s="463">
        <v>0.6</v>
      </c>
      <c r="N45" s="464">
        <v>0.64</v>
      </c>
      <c r="O45" s="442">
        <v>0.68</v>
      </c>
      <c r="P45" s="465">
        <v>0.61</v>
      </c>
    </row>
    <row r="46" spans="1:16" x14ac:dyDescent="0.3">
      <c r="A46" s="453" t="s">
        <v>266</v>
      </c>
      <c r="B46" s="454">
        <v>14</v>
      </c>
      <c r="C46" s="455">
        <v>0.76</v>
      </c>
      <c r="D46" s="456">
        <v>1.6657999999999999</v>
      </c>
      <c r="E46" s="456">
        <v>0.187</v>
      </c>
      <c r="F46" s="457">
        <v>0.34</v>
      </c>
      <c r="G46" s="458">
        <v>7.2400000000000006E-2</v>
      </c>
      <c r="H46" s="457">
        <v>0.37</v>
      </c>
      <c r="I46" s="459">
        <v>0.32040000000000002</v>
      </c>
      <c r="J46" s="460">
        <v>0.28870000000000001</v>
      </c>
      <c r="K46" s="461">
        <v>0.2319</v>
      </c>
      <c r="L46" s="466">
        <v>0.17</v>
      </c>
      <c r="M46" s="463">
        <v>0.18</v>
      </c>
      <c r="N46" s="464">
        <v>0.24</v>
      </c>
      <c r="O46" s="442">
        <v>0.22</v>
      </c>
      <c r="P46" s="465">
        <v>0.23</v>
      </c>
    </row>
    <row r="47" spans="1:16" x14ac:dyDescent="0.3">
      <c r="A47" s="453" t="s">
        <v>267</v>
      </c>
      <c r="B47" s="454">
        <v>52</v>
      </c>
      <c r="C47" s="455">
        <v>0.9</v>
      </c>
      <c r="D47" s="456">
        <v>0.67269999999999996</v>
      </c>
      <c r="E47" s="456">
        <v>0.14499999999999999</v>
      </c>
      <c r="F47" s="457">
        <v>0.6</v>
      </c>
      <c r="G47" s="458">
        <v>0.1353</v>
      </c>
      <c r="H47" s="457">
        <v>0.69</v>
      </c>
      <c r="I47" s="459">
        <v>0.32350000000000001</v>
      </c>
      <c r="J47" s="460">
        <v>0.30170000000000002</v>
      </c>
      <c r="K47" s="461">
        <v>0.21199999999999999</v>
      </c>
      <c r="L47" s="462">
        <v>0.93</v>
      </c>
      <c r="M47" s="463">
        <v>0.96</v>
      </c>
      <c r="N47" s="464">
        <v>0.95</v>
      </c>
      <c r="O47" s="442">
        <v>0.82</v>
      </c>
      <c r="P47" s="465">
        <v>0.87</v>
      </c>
    </row>
    <row r="48" spans="1:16" x14ac:dyDescent="0.3">
      <c r="A48" s="453" t="s">
        <v>268</v>
      </c>
      <c r="B48" s="454">
        <v>66</v>
      </c>
      <c r="C48" s="455">
        <v>0.83</v>
      </c>
      <c r="D48" s="456">
        <v>0.73650000000000004</v>
      </c>
      <c r="E48" s="456">
        <v>9.0899999999999995E-2</v>
      </c>
      <c r="F48" s="457">
        <v>0.53</v>
      </c>
      <c r="G48" s="458">
        <v>7.2999999999999995E-2</v>
      </c>
      <c r="H48" s="457">
        <v>0.57999999999999996</v>
      </c>
      <c r="I48" s="459">
        <v>0.37759999999999999</v>
      </c>
      <c r="J48" s="460">
        <v>0.33260000000000001</v>
      </c>
      <c r="K48" s="461">
        <v>0.66459999999999997</v>
      </c>
      <c r="L48" s="466">
        <v>0.6</v>
      </c>
      <c r="M48" s="463">
        <v>0.72</v>
      </c>
      <c r="N48" s="464">
        <v>0.68</v>
      </c>
      <c r="O48" s="442">
        <v>0.68</v>
      </c>
      <c r="P48" s="465">
        <v>0.65</v>
      </c>
    </row>
    <row r="49" spans="1:16" x14ac:dyDescent="0.3">
      <c r="A49" s="453" t="s">
        <v>269</v>
      </c>
      <c r="B49" s="454">
        <v>182</v>
      </c>
      <c r="C49" s="455">
        <v>1.19</v>
      </c>
      <c r="D49" s="456">
        <v>0.1925</v>
      </c>
      <c r="E49" s="456">
        <v>7.4899999999999994E-2</v>
      </c>
      <c r="F49" s="457">
        <v>1.04</v>
      </c>
      <c r="G49" s="458">
        <v>2.12E-2</v>
      </c>
      <c r="H49" s="457">
        <v>1.07</v>
      </c>
      <c r="I49" s="459">
        <v>0.4819</v>
      </c>
      <c r="J49" s="460">
        <v>0.45250000000000001</v>
      </c>
      <c r="K49" s="461">
        <v>0.217</v>
      </c>
      <c r="L49" s="462">
        <v>1.1399999999999999</v>
      </c>
      <c r="M49" s="463">
        <v>0.89</v>
      </c>
      <c r="N49" s="464">
        <v>0.89</v>
      </c>
      <c r="O49" s="442">
        <v>1.06</v>
      </c>
      <c r="P49" s="465">
        <v>1.01</v>
      </c>
    </row>
    <row r="50" spans="1:16" x14ac:dyDescent="0.3">
      <c r="A50" s="453" t="s">
        <v>270</v>
      </c>
      <c r="B50" s="454">
        <v>45</v>
      </c>
      <c r="C50" s="455">
        <v>0.86</v>
      </c>
      <c r="D50" s="456">
        <v>0.69789999999999996</v>
      </c>
      <c r="E50" s="456">
        <v>0.13950000000000001</v>
      </c>
      <c r="F50" s="457">
        <v>0.56000000000000005</v>
      </c>
      <c r="G50" s="458">
        <v>4.7300000000000002E-2</v>
      </c>
      <c r="H50" s="457">
        <v>0.59</v>
      </c>
      <c r="I50" s="459">
        <v>0.37509999999999999</v>
      </c>
      <c r="J50" s="460">
        <v>0.31309999999999999</v>
      </c>
      <c r="K50" s="461">
        <v>0.1419</v>
      </c>
      <c r="L50" s="466">
        <v>0.63</v>
      </c>
      <c r="M50" s="463">
        <v>0.52</v>
      </c>
      <c r="N50" s="464">
        <v>0.56000000000000005</v>
      </c>
      <c r="O50" s="442">
        <v>0.54</v>
      </c>
      <c r="P50" s="465">
        <v>0.56999999999999995</v>
      </c>
    </row>
    <row r="51" spans="1:16" x14ac:dyDescent="0.3">
      <c r="A51" s="453" t="s">
        <v>271</v>
      </c>
      <c r="B51" s="454">
        <v>95</v>
      </c>
      <c r="C51" s="455">
        <v>1.17</v>
      </c>
      <c r="D51" s="456">
        <v>0.1421</v>
      </c>
      <c r="E51" s="456">
        <v>8.0600000000000005E-2</v>
      </c>
      <c r="F51" s="457">
        <v>1.06</v>
      </c>
      <c r="G51" s="458">
        <v>3.5400000000000001E-2</v>
      </c>
      <c r="H51" s="457">
        <v>1.0900000000000001</v>
      </c>
      <c r="I51" s="459">
        <v>0.39739999999999998</v>
      </c>
      <c r="J51" s="460">
        <v>0.36859999999999998</v>
      </c>
      <c r="K51" s="461">
        <v>0.45739999999999997</v>
      </c>
      <c r="L51" s="462">
        <v>1.03</v>
      </c>
      <c r="M51" s="463">
        <v>0.82</v>
      </c>
      <c r="N51" s="464">
        <v>0.85</v>
      </c>
      <c r="O51" s="442">
        <v>1.1399999999999999</v>
      </c>
      <c r="P51" s="465">
        <v>0.99</v>
      </c>
    </row>
    <row r="52" spans="1:16" x14ac:dyDescent="0.3">
      <c r="A52" s="453" t="s">
        <v>272</v>
      </c>
      <c r="B52" s="454">
        <v>43</v>
      </c>
      <c r="C52" s="455">
        <v>1.1399999999999999</v>
      </c>
      <c r="D52" s="456">
        <v>0.1903</v>
      </c>
      <c r="E52" s="456">
        <v>0.14990000000000001</v>
      </c>
      <c r="F52" s="457">
        <v>1</v>
      </c>
      <c r="G52" s="458">
        <v>0.12909999999999999</v>
      </c>
      <c r="H52" s="457">
        <v>1.1399999999999999</v>
      </c>
      <c r="I52" s="459">
        <v>0.3553</v>
      </c>
      <c r="J52" s="460">
        <v>0.29430000000000001</v>
      </c>
      <c r="K52" s="461">
        <v>0.22789999999999999</v>
      </c>
      <c r="L52" s="466">
        <v>1.08</v>
      </c>
      <c r="M52" s="463">
        <v>1.1200000000000001</v>
      </c>
      <c r="N52" s="464">
        <v>1.32</v>
      </c>
      <c r="O52" s="442">
        <v>1.21</v>
      </c>
      <c r="P52" s="465">
        <v>1.18</v>
      </c>
    </row>
    <row r="53" spans="1:16" x14ac:dyDescent="0.3">
      <c r="A53" s="453" t="s">
        <v>273</v>
      </c>
      <c r="B53" s="454">
        <v>29</v>
      </c>
      <c r="C53" s="455">
        <v>0.56000000000000005</v>
      </c>
      <c r="D53" s="456">
        <v>2.5642</v>
      </c>
      <c r="E53" s="456">
        <v>0.15840000000000001</v>
      </c>
      <c r="F53" s="457">
        <v>0.19</v>
      </c>
      <c r="G53" s="458">
        <v>4.2500000000000003E-2</v>
      </c>
      <c r="H53" s="457">
        <v>0.2</v>
      </c>
      <c r="I53" s="459">
        <v>0.38030000000000003</v>
      </c>
      <c r="J53" s="460">
        <v>0.28129999999999999</v>
      </c>
      <c r="K53" s="461">
        <v>0.17069999999999999</v>
      </c>
      <c r="L53" s="462">
        <v>0.37</v>
      </c>
      <c r="M53" s="463">
        <v>0.35</v>
      </c>
      <c r="N53" s="464">
        <v>0.37</v>
      </c>
      <c r="O53" s="442">
        <v>0.25</v>
      </c>
      <c r="P53" s="465">
        <v>0.31</v>
      </c>
    </row>
    <row r="54" spans="1:16" x14ac:dyDescent="0.3">
      <c r="A54" s="453" t="s">
        <v>274</v>
      </c>
      <c r="B54" s="454">
        <v>106</v>
      </c>
      <c r="C54" s="455">
        <v>1.2</v>
      </c>
      <c r="D54" s="456">
        <v>0.35170000000000001</v>
      </c>
      <c r="E54" s="456">
        <v>0.1</v>
      </c>
      <c r="F54" s="457">
        <v>0.95</v>
      </c>
      <c r="G54" s="458">
        <v>7.4300000000000005E-2</v>
      </c>
      <c r="H54" s="457">
        <v>1.02</v>
      </c>
      <c r="I54" s="459">
        <v>0.3609</v>
      </c>
      <c r="J54" s="460">
        <v>0.35110000000000002</v>
      </c>
      <c r="K54" s="461">
        <v>0.81189999999999996</v>
      </c>
      <c r="L54" s="466">
        <v>0.69</v>
      </c>
      <c r="M54" s="463">
        <v>0.93</v>
      </c>
      <c r="N54" s="464">
        <v>1.1000000000000001</v>
      </c>
      <c r="O54" s="442">
        <v>1.02</v>
      </c>
      <c r="P54" s="465">
        <v>0.95</v>
      </c>
    </row>
    <row r="55" spans="1:16" x14ac:dyDescent="0.3">
      <c r="A55" s="453" t="s">
        <v>275</v>
      </c>
      <c r="B55" s="454">
        <v>28</v>
      </c>
      <c r="C55" s="455">
        <v>0.86</v>
      </c>
      <c r="D55" s="456">
        <v>0.27310000000000001</v>
      </c>
      <c r="E55" s="456">
        <v>0.1167</v>
      </c>
      <c r="F55" s="457">
        <v>0.71</v>
      </c>
      <c r="G55" s="458">
        <v>2.6499999999999999E-2</v>
      </c>
      <c r="H55" s="457">
        <v>0.73</v>
      </c>
      <c r="I55" s="459">
        <v>0.3291</v>
      </c>
      <c r="J55" s="460">
        <v>0.32640000000000002</v>
      </c>
      <c r="K55" s="461">
        <v>0.15110000000000001</v>
      </c>
      <c r="L55" s="462">
        <v>0.78</v>
      </c>
      <c r="M55" s="463">
        <v>0.73</v>
      </c>
      <c r="N55" s="464">
        <v>0.79</v>
      </c>
      <c r="O55" s="442">
        <v>0.79</v>
      </c>
      <c r="P55" s="465">
        <v>0.76</v>
      </c>
    </row>
    <row r="56" spans="1:16" x14ac:dyDescent="0.3">
      <c r="A56" s="453" t="s">
        <v>276</v>
      </c>
      <c r="B56" s="454">
        <v>6</v>
      </c>
      <c r="C56" s="455">
        <v>2.52</v>
      </c>
      <c r="D56" s="456">
        <v>0.5847</v>
      </c>
      <c r="E56" s="456">
        <v>6.6100000000000006E-2</v>
      </c>
      <c r="F56" s="457">
        <v>1.75</v>
      </c>
      <c r="G56" s="458">
        <v>7.4399999999999994E-2</v>
      </c>
      <c r="H56" s="457">
        <v>1.89</v>
      </c>
      <c r="I56" s="459">
        <v>0.48449999999999999</v>
      </c>
      <c r="J56" s="460">
        <v>0.38569999999999999</v>
      </c>
      <c r="K56" s="461">
        <v>0.19040000000000001</v>
      </c>
      <c r="L56" s="466">
        <v>1.02</v>
      </c>
      <c r="M56" s="463">
        <v>1.04</v>
      </c>
      <c r="N56" s="464">
        <v>1.06</v>
      </c>
      <c r="O56" s="442">
        <v>1.1599999999999999</v>
      </c>
      <c r="P56" s="465">
        <v>1.23</v>
      </c>
    </row>
    <row r="57" spans="1:16" x14ac:dyDescent="0.3">
      <c r="A57" s="453" t="s">
        <v>277</v>
      </c>
      <c r="B57" s="454">
        <v>36</v>
      </c>
      <c r="C57" s="455">
        <v>0.93</v>
      </c>
      <c r="D57" s="456">
        <v>0.39879999999999999</v>
      </c>
      <c r="E57" s="456">
        <v>0.15890000000000001</v>
      </c>
      <c r="F57" s="457">
        <v>0.72</v>
      </c>
      <c r="G57" s="458">
        <v>0.1716</v>
      </c>
      <c r="H57" s="457">
        <v>0.87</v>
      </c>
      <c r="I57" s="459">
        <v>0.17749999999999999</v>
      </c>
      <c r="J57" s="460">
        <v>0.20599999999999999</v>
      </c>
      <c r="K57" s="461">
        <v>0.11609999999999999</v>
      </c>
      <c r="L57" s="462">
        <v>0.79</v>
      </c>
      <c r="M57" s="463">
        <v>0.92</v>
      </c>
      <c r="N57" s="464">
        <v>0.96</v>
      </c>
      <c r="O57" s="442">
        <v>0.84</v>
      </c>
      <c r="P57" s="465">
        <v>0.88</v>
      </c>
    </row>
    <row r="58" spans="1:16" x14ac:dyDescent="0.3">
      <c r="A58" s="453" t="s">
        <v>278</v>
      </c>
      <c r="B58" s="454">
        <v>16</v>
      </c>
      <c r="C58" s="455">
        <v>1.1399999999999999</v>
      </c>
      <c r="D58" s="456">
        <v>1.7114</v>
      </c>
      <c r="E58" s="456">
        <v>0.1426</v>
      </c>
      <c r="F58" s="457">
        <v>0.5</v>
      </c>
      <c r="G58" s="458">
        <v>0.1865</v>
      </c>
      <c r="H58" s="457">
        <v>0.61</v>
      </c>
      <c r="I58" s="459">
        <v>0.21870000000000001</v>
      </c>
      <c r="J58" s="460">
        <v>0.19980000000000001</v>
      </c>
      <c r="K58" s="461">
        <v>0.19650000000000001</v>
      </c>
      <c r="L58" s="466">
        <v>0.8</v>
      </c>
      <c r="M58" s="463">
        <v>0.85</v>
      </c>
      <c r="N58" s="464">
        <v>0.69</v>
      </c>
      <c r="O58" s="442">
        <v>0.59</v>
      </c>
      <c r="P58" s="465">
        <v>0.71</v>
      </c>
    </row>
    <row r="59" spans="1:16" x14ac:dyDescent="0.3">
      <c r="A59" s="453" t="s">
        <v>279</v>
      </c>
      <c r="B59" s="454">
        <v>19</v>
      </c>
      <c r="C59" s="455">
        <v>0.69</v>
      </c>
      <c r="D59" s="456">
        <v>0.1938</v>
      </c>
      <c r="E59" s="456">
        <v>0.13370000000000001</v>
      </c>
      <c r="F59" s="457">
        <v>0.6</v>
      </c>
      <c r="G59" s="458">
        <v>4.7500000000000001E-2</v>
      </c>
      <c r="H59" s="457">
        <v>0.63</v>
      </c>
      <c r="I59" s="459">
        <v>0.29199999999999998</v>
      </c>
      <c r="J59" s="460">
        <v>0.23080000000000001</v>
      </c>
      <c r="K59" s="461">
        <v>0.22209999999999999</v>
      </c>
      <c r="L59" s="462">
        <v>0.68</v>
      </c>
      <c r="M59" s="463">
        <v>0.66</v>
      </c>
      <c r="N59" s="464">
        <v>0.76</v>
      </c>
      <c r="O59" s="442">
        <v>0.79</v>
      </c>
      <c r="P59" s="465">
        <v>0.7</v>
      </c>
    </row>
    <row r="60" spans="1:16" x14ac:dyDescent="0.3">
      <c r="A60" s="453" t="s">
        <v>280</v>
      </c>
      <c r="B60" s="454">
        <v>350</v>
      </c>
      <c r="C60" s="455">
        <v>0.89</v>
      </c>
      <c r="D60" s="456">
        <v>0.27129999999999999</v>
      </c>
      <c r="E60" s="456">
        <v>7.0400000000000004E-2</v>
      </c>
      <c r="F60" s="457">
        <v>0.74</v>
      </c>
      <c r="G60" s="458">
        <v>0.22220000000000001</v>
      </c>
      <c r="H60" s="457">
        <v>0.95</v>
      </c>
      <c r="I60" s="459">
        <v>0.32179999999999997</v>
      </c>
      <c r="J60" s="460">
        <v>0.3009</v>
      </c>
      <c r="K60" s="461">
        <v>0.37680000000000002</v>
      </c>
      <c r="L60" s="466">
        <v>0.91</v>
      </c>
      <c r="M60" s="463">
        <v>0.83</v>
      </c>
      <c r="N60" s="464">
        <v>0.91</v>
      </c>
      <c r="O60" s="442">
        <v>1.1599999999999999</v>
      </c>
      <c r="P60" s="465">
        <v>0.95</v>
      </c>
    </row>
    <row r="61" spans="1:16" x14ac:dyDescent="0.3">
      <c r="A61" s="453" t="s">
        <v>281</v>
      </c>
      <c r="B61" s="454">
        <v>219</v>
      </c>
      <c r="C61" s="455">
        <v>1.17</v>
      </c>
      <c r="D61" s="456">
        <v>0.1268</v>
      </c>
      <c r="E61" s="456">
        <v>0.1474</v>
      </c>
      <c r="F61" s="457">
        <v>1.07</v>
      </c>
      <c r="G61" s="458">
        <v>5.3900000000000003E-2</v>
      </c>
      <c r="H61" s="457">
        <v>1.1299999999999999</v>
      </c>
      <c r="I61" s="459">
        <v>0.30590000000000001</v>
      </c>
      <c r="J61" s="460">
        <v>0.30790000000000001</v>
      </c>
      <c r="K61" s="461">
        <v>0.1053</v>
      </c>
      <c r="L61" s="462">
        <v>1.23</v>
      </c>
      <c r="M61" s="463">
        <v>1.01</v>
      </c>
      <c r="N61" s="464">
        <v>1.0900000000000001</v>
      </c>
      <c r="O61" s="442">
        <v>1.2</v>
      </c>
      <c r="P61" s="465">
        <v>1.1299999999999999</v>
      </c>
    </row>
    <row r="62" spans="1:16" x14ac:dyDescent="0.3">
      <c r="A62" s="453" t="s">
        <v>282</v>
      </c>
      <c r="B62" s="454">
        <v>120</v>
      </c>
      <c r="C62" s="455">
        <v>1.05</v>
      </c>
      <c r="D62" s="456">
        <v>0.27179999999999999</v>
      </c>
      <c r="E62" s="456">
        <v>7.7200000000000005E-2</v>
      </c>
      <c r="F62" s="457">
        <v>0.87</v>
      </c>
      <c r="G62" s="458">
        <v>6.5799999999999997E-2</v>
      </c>
      <c r="H62" s="457">
        <v>0.93</v>
      </c>
      <c r="I62" s="459">
        <v>0.4572</v>
      </c>
      <c r="J62" s="460">
        <v>0.43009999999999998</v>
      </c>
      <c r="K62" s="461">
        <v>0.57540000000000002</v>
      </c>
      <c r="L62" s="466">
        <v>1.05</v>
      </c>
      <c r="M62" s="463">
        <v>0.98</v>
      </c>
      <c r="N62" s="464">
        <v>1.1599999999999999</v>
      </c>
      <c r="O62" s="442">
        <v>1.1399999999999999</v>
      </c>
      <c r="P62" s="465">
        <v>1.05</v>
      </c>
    </row>
    <row r="63" spans="1:16" x14ac:dyDescent="0.3">
      <c r="A63" s="453" t="s">
        <v>283</v>
      </c>
      <c r="B63" s="454">
        <v>22</v>
      </c>
      <c r="C63" s="455">
        <v>0.71</v>
      </c>
      <c r="D63" s="456">
        <v>0.22559999999999999</v>
      </c>
      <c r="E63" s="456">
        <v>0.2293</v>
      </c>
      <c r="F63" s="457">
        <v>0.61</v>
      </c>
      <c r="G63" s="458">
        <v>8.5500000000000007E-2</v>
      </c>
      <c r="H63" s="457">
        <v>0.66</v>
      </c>
      <c r="I63" s="459">
        <v>0.29049999999999998</v>
      </c>
      <c r="J63" s="460">
        <v>0.25829999999999997</v>
      </c>
      <c r="K63" s="461">
        <v>0.13150000000000001</v>
      </c>
      <c r="L63" s="462">
        <v>0.92</v>
      </c>
      <c r="M63" s="463">
        <v>0.9</v>
      </c>
      <c r="N63" s="464">
        <v>0.96</v>
      </c>
      <c r="O63" s="442">
        <v>0.73</v>
      </c>
      <c r="P63" s="465">
        <v>0.83</v>
      </c>
    </row>
    <row r="64" spans="1:16" x14ac:dyDescent="0.3">
      <c r="A64" s="453" t="s">
        <v>284</v>
      </c>
      <c r="B64" s="454">
        <v>12</v>
      </c>
      <c r="C64" s="455">
        <v>0.78</v>
      </c>
      <c r="D64" s="456">
        <v>0.44009999999999999</v>
      </c>
      <c r="E64" s="456">
        <v>0.36559999999999998</v>
      </c>
      <c r="F64" s="457">
        <v>0.59</v>
      </c>
      <c r="G64" s="458">
        <v>0.1429</v>
      </c>
      <c r="H64" s="457">
        <v>0.69</v>
      </c>
      <c r="I64" s="459">
        <v>0.2271</v>
      </c>
      <c r="J64" s="460">
        <v>0.23549999999999999</v>
      </c>
      <c r="K64" s="461">
        <v>0.94320000000000004</v>
      </c>
      <c r="L64" s="466">
        <v>0.97</v>
      </c>
      <c r="M64" s="463">
        <v>0.89</v>
      </c>
      <c r="N64" s="464">
        <v>1.03</v>
      </c>
      <c r="O64" s="442">
        <v>0.83</v>
      </c>
      <c r="P64" s="465">
        <v>0.88</v>
      </c>
    </row>
    <row r="65" spans="1:16" x14ac:dyDescent="0.3">
      <c r="A65" s="453" t="s">
        <v>285</v>
      </c>
      <c r="B65" s="454">
        <v>91</v>
      </c>
      <c r="C65" s="455">
        <v>0.84</v>
      </c>
      <c r="D65" s="456">
        <v>0.66610000000000003</v>
      </c>
      <c r="E65" s="456">
        <v>0.1079</v>
      </c>
      <c r="F65" s="457">
        <v>0.56000000000000005</v>
      </c>
      <c r="G65" s="458">
        <v>0.11990000000000001</v>
      </c>
      <c r="H65" s="457">
        <v>0.64</v>
      </c>
      <c r="I65" s="459">
        <v>0.49070000000000003</v>
      </c>
      <c r="J65" s="460">
        <v>0.50939999999999996</v>
      </c>
      <c r="K65" s="461">
        <v>1.5593999999999999</v>
      </c>
      <c r="L65" s="462">
        <v>0.91</v>
      </c>
      <c r="M65" s="463">
        <v>0.76</v>
      </c>
      <c r="N65" s="464">
        <v>1.1100000000000001</v>
      </c>
      <c r="O65" s="442">
        <v>0.71</v>
      </c>
      <c r="P65" s="465">
        <v>0.83</v>
      </c>
    </row>
    <row r="66" spans="1:16" x14ac:dyDescent="0.3">
      <c r="A66" s="453" t="s">
        <v>286</v>
      </c>
      <c r="B66" s="454">
        <v>29</v>
      </c>
      <c r="C66" s="455">
        <v>0.76</v>
      </c>
      <c r="D66" s="456">
        <v>0.58309999999999995</v>
      </c>
      <c r="E66" s="456">
        <v>0.11700000000000001</v>
      </c>
      <c r="F66" s="457">
        <v>0.53</v>
      </c>
      <c r="G66" s="458">
        <v>7.1400000000000005E-2</v>
      </c>
      <c r="H66" s="457">
        <v>0.56999999999999995</v>
      </c>
      <c r="I66" s="459">
        <v>0.32879999999999998</v>
      </c>
      <c r="J66" s="460">
        <v>0.35809999999999997</v>
      </c>
      <c r="K66" s="461">
        <v>0.59640000000000004</v>
      </c>
      <c r="L66" s="466">
        <v>0.74</v>
      </c>
      <c r="M66" s="463">
        <v>0.55000000000000004</v>
      </c>
      <c r="N66" s="464">
        <v>0.51</v>
      </c>
      <c r="O66" s="442">
        <v>0.59</v>
      </c>
      <c r="P66" s="465">
        <v>0.59</v>
      </c>
    </row>
    <row r="67" spans="1:16" x14ac:dyDescent="0.3">
      <c r="A67" s="453" t="s">
        <v>287</v>
      </c>
      <c r="B67" s="454">
        <v>67</v>
      </c>
      <c r="C67" s="455">
        <v>1.1200000000000001</v>
      </c>
      <c r="D67" s="456">
        <v>0.35360000000000003</v>
      </c>
      <c r="E67" s="456">
        <v>0.13370000000000001</v>
      </c>
      <c r="F67" s="457">
        <v>0.88</v>
      </c>
      <c r="G67" s="458">
        <v>0.13189999999999999</v>
      </c>
      <c r="H67" s="457">
        <v>1.02</v>
      </c>
      <c r="I67" s="459">
        <v>0.34260000000000002</v>
      </c>
      <c r="J67" s="460">
        <v>0.39079999999999998</v>
      </c>
      <c r="K67" s="461">
        <v>0.5958</v>
      </c>
      <c r="L67" s="462">
        <v>1.24</v>
      </c>
      <c r="M67" s="463">
        <v>1.05</v>
      </c>
      <c r="N67" s="464">
        <v>1.1599999999999999</v>
      </c>
      <c r="O67" s="442">
        <v>1.05</v>
      </c>
      <c r="P67" s="465">
        <v>1.1000000000000001</v>
      </c>
    </row>
    <row r="68" spans="1:16" x14ac:dyDescent="0.3">
      <c r="A68" s="453" t="s">
        <v>288</v>
      </c>
      <c r="B68" s="454">
        <v>16</v>
      </c>
      <c r="C68" s="455">
        <v>0.9</v>
      </c>
      <c r="D68" s="456">
        <v>0.4758</v>
      </c>
      <c r="E68" s="456">
        <v>0.115</v>
      </c>
      <c r="F68" s="457">
        <v>0.66</v>
      </c>
      <c r="G68" s="458">
        <v>4.8899999999999999E-2</v>
      </c>
      <c r="H68" s="457">
        <v>0.7</v>
      </c>
      <c r="I68" s="459">
        <v>0.2455</v>
      </c>
      <c r="J68" s="460">
        <v>0.25080000000000002</v>
      </c>
      <c r="K68" s="461">
        <v>0.52800000000000002</v>
      </c>
      <c r="L68" s="466">
        <v>0.82</v>
      </c>
      <c r="M68" s="463">
        <v>0.68</v>
      </c>
      <c r="N68" s="464">
        <v>0.75</v>
      </c>
      <c r="O68" s="442">
        <v>0.69</v>
      </c>
      <c r="P68" s="465">
        <v>0.73</v>
      </c>
    </row>
    <row r="69" spans="1:16" x14ac:dyDescent="0.3">
      <c r="A69" s="453" t="s">
        <v>289</v>
      </c>
      <c r="B69" s="454">
        <v>38</v>
      </c>
      <c r="C69" s="455">
        <v>0.73</v>
      </c>
      <c r="D69" s="456">
        <v>0.2666</v>
      </c>
      <c r="E69" s="456">
        <v>0.16420000000000001</v>
      </c>
      <c r="F69" s="457">
        <v>0.61</v>
      </c>
      <c r="G69" s="458">
        <v>6.9900000000000004E-2</v>
      </c>
      <c r="H69" s="457">
        <v>0.66</v>
      </c>
      <c r="I69" s="459">
        <v>0.26450000000000001</v>
      </c>
      <c r="J69" s="460">
        <v>0.25779999999999997</v>
      </c>
      <c r="K69" s="461">
        <v>0.29599999999999999</v>
      </c>
      <c r="L69" s="462">
        <v>0.91</v>
      </c>
      <c r="M69" s="463">
        <v>0.74</v>
      </c>
      <c r="N69" s="464">
        <v>0.77</v>
      </c>
      <c r="O69" s="442">
        <v>0.81</v>
      </c>
      <c r="P69" s="465">
        <v>0.78</v>
      </c>
    </row>
    <row r="70" spans="1:16" x14ac:dyDescent="0.3">
      <c r="A70" s="453" t="s">
        <v>290</v>
      </c>
      <c r="B70" s="454">
        <v>73</v>
      </c>
      <c r="C70" s="455">
        <v>0.78</v>
      </c>
      <c r="D70" s="456">
        <v>0.64649999999999996</v>
      </c>
      <c r="E70" s="456">
        <v>0.15379999999999999</v>
      </c>
      <c r="F70" s="457">
        <v>0.52</v>
      </c>
      <c r="G70" s="458">
        <v>7.1300000000000002E-2</v>
      </c>
      <c r="H70" s="457">
        <v>0.56000000000000005</v>
      </c>
      <c r="I70" s="459">
        <v>0.31900000000000001</v>
      </c>
      <c r="J70" s="460">
        <v>0.31130000000000002</v>
      </c>
      <c r="K70" s="461">
        <v>0.1318</v>
      </c>
      <c r="L70" s="466">
        <v>0.56999999999999995</v>
      </c>
      <c r="M70" s="463">
        <v>0.57999999999999996</v>
      </c>
      <c r="N70" s="464">
        <v>0.59</v>
      </c>
      <c r="O70" s="442">
        <v>0.54</v>
      </c>
      <c r="P70" s="465">
        <v>0.56999999999999995</v>
      </c>
    </row>
    <row r="71" spans="1:16" x14ac:dyDescent="0.3">
      <c r="A71" s="453" t="s">
        <v>291</v>
      </c>
      <c r="B71" s="454">
        <v>46</v>
      </c>
      <c r="C71" s="455">
        <v>1.1299999999999999</v>
      </c>
      <c r="D71" s="456">
        <v>0.18240000000000001</v>
      </c>
      <c r="E71" s="456">
        <v>0.1018</v>
      </c>
      <c r="F71" s="457">
        <v>1</v>
      </c>
      <c r="G71" s="458">
        <v>9.8199999999999996E-2</v>
      </c>
      <c r="H71" s="457">
        <v>1.1100000000000001</v>
      </c>
      <c r="I71" s="459">
        <v>0.44550000000000001</v>
      </c>
      <c r="J71" s="460">
        <v>0.4234</v>
      </c>
      <c r="K71" s="461">
        <v>0.65980000000000005</v>
      </c>
      <c r="L71" s="462">
        <v>0.99</v>
      </c>
      <c r="M71" s="463">
        <v>0.87</v>
      </c>
      <c r="N71" s="464">
        <v>1.05</v>
      </c>
      <c r="O71" s="442">
        <v>1.1000000000000001</v>
      </c>
      <c r="P71" s="465">
        <v>1.02</v>
      </c>
    </row>
    <row r="72" spans="1:16" x14ac:dyDescent="0.3">
      <c r="A72" s="453" t="s">
        <v>292</v>
      </c>
      <c r="B72" s="454">
        <v>58</v>
      </c>
      <c r="C72" s="455">
        <v>0.83</v>
      </c>
      <c r="D72" s="456">
        <v>0.53939999999999999</v>
      </c>
      <c r="E72" s="456">
        <v>0.1394</v>
      </c>
      <c r="F72" s="457">
        <v>0.59</v>
      </c>
      <c r="G72" s="458">
        <v>5.0599999999999999E-2</v>
      </c>
      <c r="H72" s="457">
        <v>0.62</v>
      </c>
      <c r="I72" s="459">
        <v>0.31940000000000002</v>
      </c>
      <c r="J72" s="460">
        <v>0.28460000000000002</v>
      </c>
      <c r="K72" s="461">
        <v>0.30509999999999998</v>
      </c>
      <c r="L72" s="466">
        <v>0.62</v>
      </c>
      <c r="M72" s="463">
        <v>0.73</v>
      </c>
      <c r="N72" s="464">
        <v>0.79</v>
      </c>
      <c r="O72" s="442">
        <v>0.63</v>
      </c>
      <c r="P72" s="465">
        <v>0.68</v>
      </c>
    </row>
    <row r="73" spans="1:16" x14ac:dyDescent="0.3">
      <c r="A73" s="453" t="s">
        <v>293</v>
      </c>
      <c r="B73" s="454">
        <v>141</v>
      </c>
      <c r="C73" s="455">
        <v>0.74</v>
      </c>
      <c r="D73" s="456">
        <v>0.81579999999999997</v>
      </c>
      <c r="E73" s="456">
        <v>1.21E-2</v>
      </c>
      <c r="F73" s="457">
        <v>0.46</v>
      </c>
      <c r="G73" s="458">
        <v>2.9700000000000001E-2</v>
      </c>
      <c r="H73" s="457">
        <v>0.47</v>
      </c>
      <c r="I73" s="459">
        <v>0.26669999999999999</v>
      </c>
      <c r="J73" s="460">
        <v>0.22900000000000001</v>
      </c>
      <c r="K73" s="461">
        <v>0.1472</v>
      </c>
      <c r="L73" s="462">
        <v>0.37</v>
      </c>
      <c r="M73" s="463">
        <v>0.52</v>
      </c>
      <c r="N73" s="464">
        <v>0.54</v>
      </c>
      <c r="O73" s="442">
        <v>0.43</v>
      </c>
      <c r="P73" s="465">
        <v>0.47</v>
      </c>
    </row>
    <row r="74" spans="1:16" x14ac:dyDescent="0.3">
      <c r="A74" s="453" t="s">
        <v>294</v>
      </c>
      <c r="B74" s="454">
        <v>66</v>
      </c>
      <c r="C74" s="455">
        <v>0.8</v>
      </c>
      <c r="D74" s="456">
        <v>0.78420000000000001</v>
      </c>
      <c r="E74" s="456">
        <v>0.1094</v>
      </c>
      <c r="F74" s="457">
        <v>0.5</v>
      </c>
      <c r="G74" s="458">
        <v>0.12130000000000001</v>
      </c>
      <c r="H74" s="457">
        <v>0.56999999999999995</v>
      </c>
      <c r="I74" s="459">
        <v>0.33279999999999998</v>
      </c>
      <c r="J74" s="460">
        <v>0.31979999999999997</v>
      </c>
      <c r="K74" s="461">
        <v>0.49380000000000002</v>
      </c>
      <c r="L74" s="466">
        <v>0.54</v>
      </c>
      <c r="M74" s="463">
        <v>0.56000000000000005</v>
      </c>
      <c r="N74" s="464">
        <v>0.56999999999999995</v>
      </c>
      <c r="O74" s="442">
        <v>0.59</v>
      </c>
      <c r="P74" s="465">
        <v>0.56999999999999995</v>
      </c>
    </row>
    <row r="75" spans="1:16" x14ac:dyDescent="0.3">
      <c r="A75" s="453" t="s">
        <v>295</v>
      </c>
      <c r="B75" s="454">
        <v>48</v>
      </c>
      <c r="C75" s="455">
        <v>0.94</v>
      </c>
      <c r="D75" s="456">
        <v>1.7468999999999999</v>
      </c>
      <c r="E75" s="456">
        <v>9.5500000000000002E-2</v>
      </c>
      <c r="F75" s="457">
        <v>0.41</v>
      </c>
      <c r="G75" s="458">
        <v>5.2499999999999998E-2</v>
      </c>
      <c r="H75" s="457">
        <v>0.43</v>
      </c>
      <c r="I75" s="459">
        <v>0.29749999999999999</v>
      </c>
      <c r="J75" s="460">
        <v>0.2913</v>
      </c>
      <c r="K75" s="461">
        <v>0.32940000000000003</v>
      </c>
      <c r="L75" s="462">
        <v>0.44</v>
      </c>
      <c r="M75" s="463">
        <v>0.48</v>
      </c>
      <c r="N75" s="464">
        <v>0.49</v>
      </c>
      <c r="O75" s="442">
        <v>0.41</v>
      </c>
      <c r="P75" s="465">
        <v>0.45</v>
      </c>
    </row>
    <row r="76" spans="1:16" x14ac:dyDescent="0.3">
      <c r="A76" s="453" t="s">
        <v>296</v>
      </c>
      <c r="B76" s="454">
        <v>237</v>
      </c>
      <c r="C76" s="455">
        <v>0.83</v>
      </c>
      <c r="D76" s="456">
        <v>1.2079</v>
      </c>
      <c r="E76" s="456">
        <v>9.8500000000000004E-2</v>
      </c>
      <c r="F76" s="457">
        <v>0.43</v>
      </c>
      <c r="G76" s="458">
        <v>3.6200000000000003E-2</v>
      </c>
      <c r="H76" s="457">
        <v>0.45</v>
      </c>
      <c r="I76" s="459">
        <v>0.27839999999999998</v>
      </c>
      <c r="J76" s="460">
        <v>0.25519999999999998</v>
      </c>
      <c r="K76" s="461">
        <v>0.2397</v>
      </c>
      <c r="L76" s="466">
        <v>0.32</v>
      </c>
      <c r="M76" s="463">
        <v>0.36</v>
      </c>
      <c r="N76" s="464">
        <v>0.41</v>
      </c>
      <c r="O76" s="442">
        <v>0.4</v>
      </c>
      <c r="P76" s="465">
        <v>0.39</v>
      </c>
    </row>
    <row r="77" spans="1:16" x14ac:dyDescent="0.3">
      <c r="A77" s="453" t="s">
        <v>297</v>
      </c>
      <c r="B77" s="454">
        <v>60</v>
      </c>
      <c r="C77" s="455">
        <v>1</v>
      </c>
      <c r="D77" s="456">
        <v>0.29480000000000001</v>
      </c>
      <c r="E77" s="456">
        <v>0.14899999999999999</v>
      </c>
      <c r="F77" s="457">
        <v>0.82</v>
      </c>
      <c r="G77" s="458">
        <v>6.6699999999999995E-2</v>
      </c>
      <c r="H77" s="457">
        <v>0.88</v>
      </c>
      <c r="I77" s="459">
        <v>0.31030000000000002</v>
      </c>
      <c r="J77" s="460">
        <v>0.30059999999999998</v>
      </c>
      <c r="K77" s="461">
        <v>0.57540000000000002</v>
      </c>
      <c r="L77" s="462">
        <v>0.67</v>
      </c>
      <c r="M77" s="463">
        <v>0.82</v>
      </c>
      <c r="N77" s="464">
        <v>0.98</v>
      </c>
      <c r="O77" s="442">
        <v>0.89</v>
      </c>
      <c r="P77" s="465">
        <v>0.85</v>
      </c>
    </row>
    <row r="78" spans="1:16" x14ac:dyDescent="0.3">
      <c r="A78" s="453" t="s">
        <v>298</v>
      </c>
      <c r="B78" s="454">
        <v>4</v>
      </c>
      <c r="C78" s="455">
        <v>1.1000000000000001</v>
      </c>
      <c r="D78" s="456">
        <v>0.20369999999999999</v>
      </c>
      <c r="E78" s="456">
        <v>0.2364</v>
      </c>
      <c r="F78" s="457">
        <v>0.95</v>
      </c>
      <c r="G78" s="458">
        <v>9.5600000000000004E-2</v>
      </c>
      <c r="H78" s="457">
        <v>1.05</v>
      </c>
      <c r="I78" s="459">
        <v>0.17449999999999999</v>
      </c>
      <c r="J78" s="460">
        <v>0.18210000000000001</v>
      </c>
      <c r="K78" s="461">
        <v>0.37569999999999998</v>
      </c>
      <c r="L78" s="466">
        <v>0.94</v>
      </c>
      <c r="M78" s="463">
        <v>1.42</v>
      </c>
      <c r="N78" s="464">
        <v>1.45</v>
      </c>
      <c r="O78" s="442">
        <v>1.04</v>
      </c>
      <c r="P78" s="465">
        <v>1.18</v>
      </c>
    </row>
    <row r="79" spans="1:16" x14ac:dyDescent="0.3">
      <c r="A79" s="453" t="s">
        <v>299</v>
      </c>
      <c r="B79" s="454">
        <v>43</v>
      </c>
      <c r="C79" s="455">
        <v>1.25</v>
      </c>
      <c r="D79" s="456">
        <v>0.38100000000000001</v>
      </c>
      <c r="E79" s="456">
        <v>9.3100000000000002E-2</v>
      </c>
      <c r="F79" s="457">
        <v>0.97</v>
      </c>
      <c r="G79" s="458">
        <v>7.5999999999999998E-2</v>
      </c>
      <c r="H79" s="457">
        <v>1.05</v>
      </c>
      <c r="I79" s="459">
        <v>0.35720000000000002</v>
      </c>
      <c r="J79" s="460">
        <v>0.33410000000000001</v>
      </c>
      <c r="K79" s="461">
        <v>0.89670000000000005</v>
      </c>
      <c r="L79" s="462">
        <v>0.66</v>
      </c>
      <c r="M79" s="463">
        <v>0.99</v>
      </c>
      <c r="N79" s="464">
        <v>1.19</v>
      </c>
      <c r="O79" s="442">
        <v>0.96</v>
      </c>
      <c r="P79" s="465">
        <v>0.97</v>
      </c>
    </row>
    <row r="80" spans="1:16" x14ac:dyDescent="0.3">
      <c r="A80" s="453" t="s">
        <v>300</v>
      </c>
      <c r="B80" s="454">
        <v>28</v>
      </c>
      <c r="C80" s="455">
        <v>1.24</v>
      </c>
      <c r="D80" s="456">
        <v>0.58050000000000002</v>
      </c>
      <c r="E80" s="456">
        <v>0.13159999999999999</v>
      </c>
      <c r="F80" s="457">
        <v>0.86</v>
      </c>
      <c r="G80" s="458">
        <v>0.13139999999999999</v>
      </c>
      <c r="H80" s="457">
        <v>0.99</v>
      </c>
      <c r="I80" s="459">
        <v>0.3649</v>
      </c>
      <c r="J80" s="460">
        <v>0.37540000000000001</v>
      </c>
      <c r="K80" s="461">
        <v>0.31969999999999998</v>
      </c>
      <c r="L80" s="466">
        <v>0.43</v>
      </c>
      <c r="M80" s="463">
        <v>0.79</v>
      </c>
      <c r="N80" s="464">
        <v>1.06</v>
      </c>
      <c r="O80" s="442">
        <v>0.92</v>
      </c>
      <c r="P80" s="465">
        <v>0.84</v>
      </c>
    </row>
    <row r="81" spans="1:16" x14ac:dyDescent="0.3">
      <c r="A81" s="453" t="s">
        <v>301</v>
      </c>
      <c r="B81" s="454">
        <v>29</v>
      </c>
      <c r="C81" s="455">
        <v>1.26</v>
      </c>
      <c r="D81" s="456">
        <v>0.68630000000000002</v>
      </c>
      <c r="E81" s="456">
        <v>0.19719999999999999</v>
      </c>
      <c r="F81" s="457">
        <v>0.83</v>
      </c>
      <c r="G81" s="458">
        <v>7.4700000000000003E-2</v>
      </c>
      <c r="H81" s="457">
        <v>0.89</v>
      </c>
      <c r="I81" s="459">
        <v>0.29970000000000002</v>
      </c>
      <c r="J81" s="460">
        <v>0.28070000000000001</v>
      </c>
      <c r="K81" s="461">
        <v>0.26690000000000003</v>
      </c>
      <c r="L81" s="462">
        <v>0.54</v>
      </c>
      <c r="M81" s="463">
        <v>0.82</v>
      </c>
      <c r="N81" s="464">
        <v>0.87</v>
      </c>
      <c r="O81" s="442">
        <v>0.86</v>
      </c>
      <c r="P81" s="465">
        <v>0.8</v>
      </c>
    </row>
    <row r="82" spans="1:16" x14ac:dyDescent="0.3">
      <c r="A82" s="453" t="s">
        <v>302</v>
      </c>
      <c r="B82" s="454">
        <v>116</v>
      </c>
      <c r="C82" s="455">
        <v>0.99</v>
      </c>
      <c r="D82" s="456">
        <v>0.51859999999999995</v>
      </c>
      <c r="E82" s="456">
        <v>0.1658</v>
      </c>
      <c r="F82" s="457">
        <v>0.71</v>
      </c>
      <c r="G82" s="458">
        <v>3.7999999999999999E-2</v>
      </c>
      <c r="H82" s="457">
        <v>0.74</v>
      </c>
      <c r="I82" s="459">
        <v>0.28360000000000002</v>
      </c>
      <c r="J82" s="460">
        <v>0.27350000000000002</v>
      </c>
      <c r="K82" s="461">
        <v>0.31409999999999999</v>
      </c>
      <c r="L82" s="466">
        <v>0.61</v>
      </c>
      <c r="M82" s="463">
        <v>0.7</v>
      </c>
      <c r="N82" s="464">
        <v>0.79</v>
      </c>
      <c r="O82" s="442">
        <v>0.76</v>
      </c>
      <c r="P82" s="465">
        <v>0.72</v>
      </c>
    </row>
    <row r="83" spans="1:16" x14ac:dyDescent="0.3">
      <c r="A83" s="453" t="s">
        <v>303</v>
      </c>
      <c r="B83" s="454">
        <v>32</v>
      </c>
      <c r="C83" s="455">
        <v>1.08</v>
      </c>
      <c r="D83" s="456">
        <v>0.39429999999999998</v>
      </c>
      <c r="E83" s="456">
        <v>9.5699999999999993E-2</v>
      </c>
      <c r="F83" s="457">
        <v>0.84</v>
      </c>
      <c r="G83" s="458">
        <v>4.9399999999999999E-2</v>
      </c>
      <c r="H83" s="457">
        <v>0.88</v>
      </c>
      <c r="I83" s="459">
        <v>0.3463</v>
      </c>
      <c r="J83" s="460">
        <v>0.35899999999999999</v>
      </c>
      <c r="K83" s="461">
        <v>0.14130000000000001</v>
      </c>
      <c r="L83" s="462">
        <v>0.38</v>
      </c>
      <c r="M83" s="463">
        <v>0.35</v>
      </c>
      <c r="N83" s="464">
        <v>0.4</v>
      </c>
      <c r="O83" s="442">
        <v>0.39</v>
      </c>
      <c r="P83" s="465">
        <v>0.48</v>
      </c>
    </row>
    <row r="84" spans="1:16" x14ac:dyDescent="0.3">
      <c r="A84" s="453" t="s">
        <v>304</v>
      </c>
      <c r="B84" s="454">
        <v>32</v>
      </c>
      <c r="C84" s="455">
        <v>1.07</v>
      </c>
      <c r="D84" s="456">
        <v>0.62749999999999995</v>
      </c>
      <c r="E84" s="456">
        <v>0.1656</v>
      </c>
      <c r="F84" s="457">
        <v>0.73</v>
      </c>
      <c r="G84" s="458">
        <v>7.7399999999999997E-2</v>
      </c>
      <c r="H84" s="457">
        <v>0.79</v>
      </c>
      <c r="I84" s="459">
        <v>0.37719999999999998</v>
      </c>
      <c r="J84" s="460">
        <v>0.2974</v>
      </c>
      <c r="K84" s="461">
        <v>0.2482</v>
      </c>
      <c r="L84" s="466">
        <v>0.44</v>
      </c>
      <c r="M84" s="463">
        <v>0.39</v>
      </c>
      <c r="N84" s="464">
        <v>0.42</v>
      </c>
      <c r="O84" s="442">
        <v>0.55000000000000004</v>
      </c>
      <c r="P84" s="465">
        <v>0.52</v>
      </c>
    </row>
    <row r="85" spans="1:16" x14ac:dyDescent="0.3">
      <c r="A85" s="453" t="s">
        <v>1059</v>
      </c>
      <c r="B85" s="454">
        <v>33</v>
      </c>
      <c r="C85" s="455">
        <v>0.96</v>
      </c>
      <c r="D85" s="456">
        <v>1.4416</v>
      </c>
      <c r="E85" s="456">
        <v>4.2200000000000001E-2</v>
      </c>
      <c r="F85" s="457">
        <v>0.46</v>
      </c>
      <c r="G85" s="458">
        <v>7.0699999999999999E-2</v>
      </c>
      <c r="H85" s="457">
        <v>0.5</v>
      </c>
      <c r="I85" s="459">
        <v>0.186</v>
      </c>
      <c r="J85" s="460">
        <v>0.21210000000000001</v>
      </c>
      <c r="K85" s="461">
        <v>0.24529999999999999</v>
      </c>
      <c r="L85" s="462">
        <v>1.23</v>
      </c>
      <c r="M85" s="463">
        <v>1.1200000000000001</v>
      </c>
      <c r="N85" s="464">
        <v>1.25</v>
      </c>
      <c r="O85" s="442">
        <v>1.47</v>
      </c>
      <c r="P85" s="465">
        <v>1.1100000000000001</v>
      </c>
    </row>
    <row r="86" spans="1:16" x14ac:dyDescent="0.3">
      <c r="A86" s="453" t="s">
        <v>305</v>
      </c>
      <c r="B86" s="454">
        <v>111</v>
      </c>
      <c r="C86" s="455">
        <v>1.53</v>
      </c>
      <c r="D86" s="456">
        <v>0.21249999999999999</v>
      </c>
      <c r="E86" s="456">
        <v>0.1055</v>
      </c>
      <c r="F86" s="457">
        <v>1.32</v>
      </c>
      <c r="G86" s="458">
        <v>7.7399999999999997E-2</v>
      </c>
      <c r="H86" s="457">
        <v>1.43</v>
      </c>
      <c r="I86" s="459">
        <v>0.41120000000000001</v>
      </c>
      <c r="J86" s="460">
        <v>0.377</v>
      </c>
      <c r="K86" s="461">
        <v>0.24210000000000001</v>
      </c>
      <c r="L86" s="466">
        <v>0.9</v>
      </c>
      <c r="M86" s="463">
        <v>1.06</v>
      </c>
      <c r="N86" s="464">
        <v>1.24</v>
      </c>
      <c r="O86" s="442">
        <v>1.17</v>
      </c>
      <c r="P86" s="465">
        <v>1.1599999999999999</v>
      </c>
    </row>
    <row r="87" spans="1:16" x14ac:dyDescent="0.3">
      <c r="A87" s="453" t="s">
        <v>306</v>
      </c>
      <c r="B87" s="454">
        <v>8</v>
      </c>
      <c r="C87" s="455">
        <v>1.1000000000000001</v>
      </c>
      <c r="D87" s="456">
        <v>0.43769999999999998</v>
      </c>
      <c r="E87" s="456">
        <v>0.14929999999999999</v>
      </c>
      <c r="F87" s="457">
        <v>0.82</v>
      </c>
      <c r="G87" s="458">
        <v>9.2299999999999993E-2</v>
      </c>
      <c r="H87" s="457">
        <v>0.91</v>
      </c>
      <c r="I87" s="459">
        <v>0.27710000000000001</v>
      </c>
      <c r="J87" s="460">
        <v>0.27450000000000002</v>
      </c>
      <c r="K87" s="461">
        <v>0.18740000000000001</v>
      </c>
      <c r="L87" s="462">
        <v>0.93</v>
      </c>
      <c r="M87" s="463">
        <v>0.87</v>
      </c>
      <c r="N87" s="464">
        <v>0.9</v>
      </c>
      <c r="O87" s="442">
        <v>0.88</v>
      </c>
      <c r="P87" s="465">
        <v>0.9</v>
      </c>
    </row>
    <row r="88" spans="1:16" x14ac:dyDescent="0.3">
      <c r="A88" s="453" t="s">
        <v>307</v>
      </c>
      <c r="B88" s="454">
        <v>40</v>
      </c>
      <c r="C88" s="455">
        <v>1.4</v>
      </c>
      <c r="D88" s="456">
        <v>0.1394</v>
      </c>
      <c r="E88" s="456">
        <v>4.5699999999999998E-2</v>
      </c>
      <c r="F88" s="457">
        <v>1.27</v>
      </c>
      <c r="G88" s="458">
        <v>5.57E-2</v>
      </c>
      <c r="H88" s="457">
        <v>1.34</v>
      </c>
      <c r="I88" s="459">
        <v>0.51939999999999997</v>
      </c>
      <c r="J88" s="460">
        <v>0.44519999999999998</v>
      </c>
      <c r="K88" s="461">
        <v>0.88160000000000005</v>
      </c>
      <c r="L88" s="466">
        <v>1.81</v>
      </c>
      <c r="M88" s="463">
        <v>1.1599999999999999</v>
      </c>
      <c r="N88" s="464">
        <v>1.27</v>
      </c>
      <c r="O88" s="442">
        <v>1.45</v>
      </c>
      <c r="P88" s="465">
        <v>1.41</v>
      </c>
    </row>
    <row r="89" spans="1:16" x14ac:dyDescent="0.3">
      <c r="A89" s="453" t="s">
        <v>308</v>
      </c>
      <c r="B89" s="454">
        <v>22</v>
      </c>
      <c r="C89" s="455">
        <v>1.73</v>
      </c>
      <c r="D89" s="456">
        <v>2.2800000000000001E-2</v>
      </c>
      <c r="E89" s="456">
        <v>0.11849999999999999</v>
      </c>
      <c r="F89" s="457">
        <v>1.7</v>
      </c>
      <c r="G89" s="458">
        <v>2.2700000000000001E-2</v>
      </c>
      <c r="H89" s="457">
        <v>1.74</v>
      </c>
      <c r="I89" s="459">
        <v>0.40100000000000002</v>
      </c>
      <c r="J89" s="460">
        <v>0.34689999999999999</v>
      </c>
      <c r="K89" s="461">
        <v>0.67110000000000003</v>
      </c>
      <c r="L89" s="462">
        <v>2.08</v>
      </c>
      <c r="M89" s="463">
        <v>1.37</v>
      </c>
      <c r="N89" s="464">
        <v>1.5</v>
      </c>
      <c r="O89" s="442">
        <v>1.83</v>
      </c>
      <c r="P89" s="465">
        <v>1.7</v>
      </c>
    </row>
    <row r="90" spans="1:16" x14ac:dyDescent="0.3">
      <c r="A90" s="453" t="s">
        <v>309</v>
      </c>
      <c r="B90" s="454">
        <v>62</v>
      </c>
      <c r="C90" s="455">
        <v>0.92</v>
      </c>
      <c r="D90" s="456">
        <v>0.37319999999999998</v>
      </c>
      <c r="E90" s="456">
        <v>8.6199999999999999E-2</v>
      </c>
      <c r="F90" s="457">
        <v>0.72</v>
      </c>
      <c r="G90" s="458">
        <v>0.13869999999999999</v>
      </c>
      <c r="H90" s="457">
        <v>0.83</v>
      </c>
      <c r="I90" s="459">
        <v>0.34329999999999999</v>
      </c>
      <c r="J90" s="460">
        <v>0.3402</v>
      </c>
      <c r="K90" s="461">
        <v>1.2809999999999999</v>
      </c>
      <c r="L90" s="466">
        <v>0.9</v>
      </c>
      <c r="M90" s="463">
        <v>0.83</v>
      </c>
      <c r="N90" s="464">
        <v>0.93</v>
      </c>
      <c r="O90" s="442">
        <v>0.97</v>
      </c>
      <c r="P90" s="465">
        <v>0.89</v>
      </c>
    </row>
    <row r="91" spans="1:16" x14ac:dyDescent="0.3">
      <c r="A91" s="453" t="s">
        <v>310</v>
      </c>
      <c r="B91" s="454">
        <v>10</v>
      </c>
      <c r="C91" s="455">
        <v>1.27</v>
      </c>
      <c r="D91" s="456">
        <v>0.25269999999999998</v>
      </c>
      <c r="E91" s="456">
        <v>0.13389999999999999</v>
      </c>
      <c r="F91" s="457">
        <v>1.06</v>
      </c>
      <c r="G91" s="458">
        <v>3.9199999999999999E-2</v>
      </c>
      <c r="H91" s="457">
        <v>1.1100000000000001</v>
      </c>
      <c r="I91" s="459">
        <v>0.29759999999999998</v>
      </c>
      <c r="J91" s="460">
        <v>0.31280000000000002</v>
      </c>
      <c r="K91" s="461">
        <v>0.65090000000000003</v>
      </c>
      <c r="L91" s="462">
        <v>1.67</v>
      </c>
      <c r="M91" s="463">
        <v>1.01</v>
      </c>
      <c r="N91" s="464">
        <v>1.1100000000000001</v>
      </c>
      <c r="O91" s="442">
        <v>0.97</v>
      </c>
      <c r="P91" s="465">
        <v>1.17</v>
      </c>
    </row>
    <row r="92" spans="1:16" x14ac:dyDescent="0.3">
      <c r="A92" s="453" t="s">
        <v>311</v>
      </c>
      <c r="B92" s="454">
        <v>56</v>
      </c>
      <c r="C92" s="455">
        <v>1.3</v>
      </c>
      <c r="D92" s="456">
        <v>8.7099999999999997E-2</v>
      </c>
      <c r="E92" s="456">
        <v>7.8700000000000006E-2</v>
      </c>
      <c r="F92" s="457">
        <v>1.22</v>
      </c>
      <c r="G92" s="458">
        <v>1.77E-2</v>
      </c>
      <c r="H92" s="457">
        <v>1.24</v>
      </c>
      <c r="I92" s="459">
        <v>0.4486</v>
      </c>
      <c r="J92" s="460">
        <v>0.43419999999999997</v>
      </c>
      <c r="K92" s="461">
        <v>0.18240000000000001</v>
      </c>
      <c r="L92" s="466">
        <v>1.28</v>
      </c>
      <c r="M92" s="463">
        <v>1.05</v>
      </c>
      <c r="N92" s="464">
        <v>1.01</v>
      </c>
      <c r="O92" s="442">
        <v>1.26</v>
      </c>
      <c r="P92" s="465">
        <v>1.17</v>
      </c>
    </row>
    <row r="93" spans="1:16" x14ac:dyDescent="0.3">
      <c r="A93" s="453" t="s">
        <v>312</v>
      </c>
      <c r="B93" s="454">
        <v>28</v>
      </c>
      <c r="C93" s="455">
        <v>1.22</v>
      </c>
      <c r="D93" s="456">
        <v>0.31</v>
      </c>
      <c r="E93" s="456">
        <v>8.3799999999999999E-2</v>
      </c>
      <c r="F93" s="457">
        <v>0.99</v>
      </c>
      <c r="G93" s="458">
        <v>2.0799999999999999E-2</v>
      </c>
      <c r="H93" s="457">
        <v>1.01</v>
      </c>
      <c r="I93" s="459">
        <v>0.41110000000000002</v>
      </c>
      <c r="J93" s="460">
        <v>0.41010000000000002</v>
      </c>
      <c r="K93" s="461">
        <v>0.89370000000000005</v>
      </c>
      <c r="L93" s="462">
        <v>0.95</v>
      </c>
      <c r="M93" s="463">
        <v>0.7</v>
      </c>
      <c r="N93" s="464">
        <v>0.85</v>
      </c>
      <c r="O93" s="442">
        <v>1.04</v>
      </c>
      <c r="P93" s="465">
        <v>0.91</v>
      </c>
    </row>
    <row r="94" spans="1:16" x14ac:dyDescent="0.3">
      <c r="A94" s="453" t="s">
        <v>313</v>
      </c>
      <c r="B94" s="454">
        <v>339</v>
      </c>
      <c r="C94" s="455">
        <v>1.08</v>
      </c>
      <c r="D94" s="456">
        <v>7.4499999999999997E-2</v>
      </c>
      <c r="E94" s="456">
        <v>7.8899999999999998E-2</v>
      </c>
      <c r="F94" s="457">
        <v>1.02</v>
      </c>
      <c r="G94" s="458">
        <v>5.33E-2</v>
      </c>
      <c r="H94" s="457">
        <v>1.08</v>
      </c>
      <c r="I94" s="459">
        <v>0.42180000000000001</v>
      </c>
      <c r="J94" s="460">
        <v>0.3916</v>
      </c>
      <c r="K94" s="461">
        <v>0.1096</v>
      </c>
      <c r="L94" s="466">
        <v>1.1100000000000001</v>
      </c>
      <c r="M94" s="463">
        <v>0.86</v>
      </c>
      <c r="N94" s="464">
        <v>0.98</v>
      </c>
      <c r="O94" s="442">
        <v>1.1200000000000001</v>
      </c>
      <c r="P94" s="465">
        <v>1.03</v>
      </c>
    </row>
    <row r="95" spans="1:16" x14ac:dyDescent="0.3">
      <c r="A95" s="453" t="s">
        <v>314</v>
      </c>
      <c r="B95" s="454">
        <v>59</v>
      </c>
      <c r="C95" s="455">
        <v>1.04</v>
      </c>
      <c r="D95" s="456">
        <v>0.45100000000000001</v>
      </c>
      <c r="E95" s="456">
        <v>0.12839999999999999</v>
      </c>
      <c r="F95" s="457">
        <v>0.78</v>
      </c>
      <c r="G95" s="458">
        <v>0.22650000000000001</v>
      </c>
      <c r="H95" s="457">
        <v>1</v>
      </c>
      <c r="I95" s="459">
        <v>0.34899999999999998</v>
      </c>
      <c r="J95" s="460">
        <v>0.34339999999999998</v>
      </c>
      <c r="K95" s="461">
        <v>0.9536</v>
      </c>
      <c r="L95" s="462">
        <v>1</v>
      </c>
      <c r="M95" s="463">
        <v>1.04</v>
      </c>
      <c r="N95" s="464">
        <v>1.1200000000000001</v>
      </c>
      <c r="O95" s="442">
        <v>1.08</v>
      </c>
      <c r="P95" s="465">
        <v>1.05</v>
      </c>
    </row>
    <row r="96" spans="1:16" x14ac:dyDescent="0.3">
      <c r="A96" s="453" t="s">
        <v>315</v>
      </c>
      <c r="B96" s="454">
        <v>12</v>
      </c>
      <c r="C96" s="455">
        <v>0.74</v>
      </c>
      <c r="D96" s="456">
        <v>1.7894000000000001</v>
      </c>
      <c r="E96" s="456">
        <v>0.19420000000000001</v>
      </c>
      <c r="F96" s="457">
        <v>0.32</v>
      </c>
      <c r="G96" s="458">
        <v>7.8100000000000003E-2</v>
      </c>
      <c r="H96" s="457">
        <v>0.34</v>
      </c>
      <c r="I96" s="459">
        <v>0.28670000000000001</v>
      </c>
      <c r="J96" s="460">
        <v>0.26469999999999999</v>
      </c>
      <c r="K96" s="461">
        <v>0.4506</v>
      </c>
      <c r="L96" s="466">
        <v>0.47</v>
      </c>
      <c r="M96" s="463">
        <v>0.43</v>
      </c>
      <c r="N96" s="464">
        <v>0.48</v>
      </c>
      <c r="O96" s="442">
        <v>0.3</v>
      </c>
      <c r="P96" s="465">
        <v>0.41</v>
      </c>
    </row>
    <row r="97" spans="1:16" x14ac:dyDescent="0.3">
      <c r="A97" s="453" t="s">
        <v>316</v>
      </c>
      <c r="B97" s="454">
        <v>54</v>
      </c>
      <c r="C97" s="455">
        <v>0.93</v>
      </c>
      <c r="D97" s="456">
        <v>0.23719999999999999</v>
      </c>
      <c r="E97" s="456">
        <v>8.0199999999999994E-2</v>
      </c>
      <c r="F97" s="457">
        <v>0.79</v>
      </c>
      <c r="G97" s="458">
        <v>0.13930000000000001</v>
      </c>
      <c r="H97" s="457">
        <v>0.92</v>
      </c>
      <c r="I97" s="459">
        <v>0.4294</v>
      </c>
      <c r="J97" s="460">
        <v>0.3332</v>
      </c>
      <c r="K97" s="461">
        <v>0.4677</v>
      </c>
      <c r="L97" s="462">
        <v>1.3</v>
      </c>
      <c r="M97" s="463">
        <v>0.98</v>
      </c>
      <c r="N97" s="464">
        <v>1.06</v>
      </c>
      <c r="O97" s="442">
        <v>0.96</v>
      </c>
      <c r="P97" s="465">
        <v>1.04</v>
      </c>
    </row>
    <row r="98" spans="1:16" x14ac:dyDescent="0.3">
      <c r="A98" s="453" t="s">
        <v>317</v>
      </c>
      <c r="B98" s="454">
        <v>64</v>
      </c>
      <c r="C98" s="455">
        <v>0.85</v>
      </c>
      <c r="D98" s="456">
        <v>1.1200000000000001</v>
      </c>
      <c r="E98" s="456">
        <v>0.1225</v>
      </c>
      <c r="F98" s="457">
        <v>0.46</v>
      </c>
      <c r="G98" s="458">
        <v>4.1099999999999998E-2</v>
      </c>
      <c r="H98" s="457">
        <v>0.48</v>
      </c>
      <c r="I98" s="459">
        <v>0.30890000000000001</v>
      </c>
      <c r="J98" s="460">
        <v>0.2621</v>
      </c>
      <c r="K98" s="461">
        <v>0.1101</v>
      </c>
      <c r="L98" s="466">
        <v>0.42</v>
      </c>
      <c r="M98" s="463">
        <v>0.37</v>
      </c>
      <c r="N98" s="464">
        <v>0.39</v>
      </c>
      <c r="O98" s="442">
        <v>0.44</v>
      </c>
      <c r="P98" s="465">
        <v>0.42</v>
      </c>
    </row>
    <row r="99" spans="1:16" x14ac:dyDescent="0.3">
      <c r="A99" s="453" t="s">
        <v>318</v>
      </c>
      <c r="B99" s="454">
        <v>6</v>
      </c>
      <c r="C99" s="455">
        <v>0.55000000000000004</v>
      </c>
      <c r="D99" s="456">
        <v>0.74590000000000001</v>
      </c>
      <c r="E99" s="456">
        <v>0.1767</v>
      </c>
      <c r="F99" s="457">
        <v>0.35</v>
      </c>
      <c r="G99" s="458">
        <v>4.4200000000000003E-2</v>
      </c>
      <c r="H99" s="457">
        <v>0.37</v>
      </c>
      <c r="I99" s="459">
        <v>0.2122</v>
      </c>
      <c r="J99" s="460">
        <v>0.18279999999999999</v>
      </c>
      <c r="K99" s="461">
        <v>0.23830000000000001</v>
      </c>
      <c r="L99" s="462">
        <v>0.4</v>
      </c>
      <c r="M99" s="463">
        <v>0.33</v>
      </c>
      <c r="N99" s="464">
        <v>0.37</v>
      </c>
      <c r="O99" s="442">
        <v>0.28999999999999998</v>
      </c>
      <c r="P99" s="465">
        <v>0.35</v>
      </c>
    </row>
    <row r="100" spans="1:16" x14ac:dyDescent="0.3">
      <c r="A100" s="453" t="s">
        <v>319</v>
      </c>
      <c r="B100" s="454">
        <v>101</v>
      </c>
      <c r="C100" s="455">
        <v>0.97</v>
      </c>
      <c r="D100" s="456">
        <v>0.25819999999999999</v>
      </c>
      <c r="E100" s="456">
        <v>0.1399</v>
      </c>
      <c r="F100" s="457">
        <v>0.81</v>
      </c>
      <c r="G100" s="458">
        <v>4.4699999999999997E-2</v>
      </c>
      <c r="H100" s="457">
        <v>0.85</v>
      </c>
      <c r="I100" s="459">
        <v>0.34539999999999998</v>
      </c>
      <c r="J100" s="460">
        <v>0.33250000000000002</v>
      </c>
      <c r="K100" s="461">
        <v>0.21240000000000001</v>
      </c>
      <c r="L100" s="466">
        <v>0.62</v>
      </c>
      <c r="M100" s="463">
        <v>0.61</v>
      </c>
      <c r="N100" s="464">
        <v>0.73</v>
      </c>
      <c r="O100" s="442">
        <v>0.85</v>
      </c>
      <c r="P100" s="465">
        <v>0.73</v>
      </c>
    </row>
    <row r="101" spans="1:16" x14ac:dyDescent="0.3">
      <c r="A101" s="453" t="s">
        <v>320</v>
      </c>
      <c r="B101" s="454">
        <v>7</v>
      </c>
      <c r="C101" s="455">
        <v>0.91</v>
      </c>
      <c r="D101" s="456">
        <v>0.82250000000000001</v>
      </c>
      <c r="E101" s="456">
        <v>0.16259999999999999</v>
      </c>
      <c r="F101" s="457">
        <v>0.56000000000000005</v>
      </c>
      <c r="G101" s="458">
        <v>0.16589999999999999</v>
      </c>
      <c r="H101" s="457">
        <v>0.67</v>
      </c>
      <c r="I101" s="459">
        <v>0.2203</v>
      </c>
      <c r="J101" s="460">
        <v>0.1704</v>
      </c>
      <c r="K101" s="461">
        <v>0.67020000000000002</v>
      </c>
      <c r="L101" s="462">
        <v>0.5</v>
      </c>
      <c r="M101" s="463">
        <v>0.54</v>
      </c>
      <c r="N101" s="464">
        <v>1.01</v>
      </c>
      <c r="O101" s="442">
        <v>0.81</v>
      </c>
      <c r="P101" s="465">
        <v>0.71</v>
      </c>
    </row>
    <row r="102" spans="1:16" x14ac:dyDescent="0.3">
      <c r="A102" s="453" t="s">
        <v>321</v>
      </c>
      <c r="B102" s="454">
        <v>6</v>
      </c>
      <c r="C102" s="455">
        <v>1.0900000000000001</v>
      </c>
      <c r="D102" s="456">
        <v>0.57240000000000002</v>
      </c>
      <c r="E102" s="456">
        <v>0.21629999999999999</v>
      </c>
      <c r="F102" s="457">
        <v>0.76</v>
      </c>
      <c r="G102" s="458">
        <v>4.7600000000000003E-2</v>
      </c>
      <c r="H102" s="457">
        <v>0.8</v>
      </c>
      <c r="I102" s="459">
        <v>0.23880000000000001</v>
      </c>
      <c r="J102" s="460">
        <v>0.26779999999999998</v>
      </c>
      <c r="K102" s="461">
        <v>0.38990000000000002</v>
      </c>
      <c r="L102" s="466">
        <v>0.43</v>
      </c>
      <c r="M102" s="463">
        <v>0.39</v>
      </c>
      <c r="N102" s="464">
        <v>0.55000000000000004</v>
      </c>
      <c r="O102" s="442">
        <v>0.44</v>
      </c>
      <c r="P102" s="465">
        <v>0.52</v>
      </c>
    </row>
    <row r="103" spans="1:16" x14ac:dyDescent="0.3">
      <c r="A103" s="453" t="s">
        <v>322</v>
      </c>
      <c r="B103" s="454">
        <v>16</v>
      </c>
      <c r="C103" s="455">
        <v>0.89</v>
      </c>
      <c r="D103" s="456">
        <v>1.0954999999999999</v>
      </c>
      <c r="E103" s="456">
        <v>0.1961</v>
      </c>
      <c r="F103" s="457">
        <v>0.49</v>
      </c>
      <c r="G103" s="458">
        <v>0.12239999999999999</v>
      </c>
      <c r="H103" s="457">
        <v>0.55000000000000004</v>
      </c>
      <c r="I103" s="459">
        <v>0.1943</v>
      </c>
      <c r="J103" s="460">
        <v>0.19189999999999999</v>
      </c>
      <c r="K103" s="461">
        <v>0.25869999999999999</v>
      </c>
      <c r="L103" s="462">
        <v>0.41</v>
      </c>
      <c r="M103" s="463">
        <v>0.43</v>
      </c>
      <c r="N103" s="464">
        <v>0.49</v>
      </c>
      <c r="O103" s="442">
        <v>0.47</v>
      </c>
      <c r="P103" s="465">
        <v>0.47</v>
      </c>
    </row>
    <row r="104" spans="1:16" x14ac:dyDescent="0.3">
      <c r="A104" s="453" t="s">
        <v>323</v>
      </c>
      <c r="B104" s="454">
        <v>12</v>
      </c>
      <c r="C104" s="455">
        <v>0.76</v>
      </c>
      <c r="D104" s="456">
        <v>1.1021000000000001</v>
      </c>
      <c r="E104" s="456">
        <v>9.5899999999999999E-2</v>
      </c>
      <c r="F104" s="457">
        <v>0.42</v>
      </c>
      <c r="G104" s="458">
        <v>1.66E-2</v>
      </c>
      <c r="H104" s="457">
        <v>0.42</v>
      </c>
      <c r="I104" s="459">
        <v>0.20150000000000001</v>
      </c>
      <c r="J104" s="460">
        <v>0.33260000000000001</v>
      </c>
      <c r="K104" s="461">
        <v>0.1656</v>
      </c>
      <c r="L104" s="466">
        <v>0.28999999999999998</v>
      </c>
      <c r="M104" s="463">
        <v>0.26</v>
      </c>
      <c r="N104" s="464">
        <v>0.28000000000000003</v>
      </c>
      <c r="O104" s="442">
        <v>0.35</v>
      </c>
      <c r="P104" s="465">
        <v>0.32</v>
      </c>
    </row>
    <row r="105" spans="1:16" s="439" customFormat="1" x14ac:dyDescent="0.3">
      <c r="A105" s="453" t="s">
        <v>324</v>
      </c>
      <c r="B105" s="454">
        <v>6971</v>
      </c>
      <c r="C105" s="455">
        <v>1</v>
      </c>
      <c r="D105" s="456">
        <v>0.82169999999999999</v>
      </c>
      <c r="E105" s="456">
        <v>0.1157</v>
      </c>
      <c r="F105" s="457">
        <v>0.62</v>
      </c>
      <c r="G105" s="458">
        <v>0.16020000000000001</v>
      </c>
      <c r="H105" s="457">
        <v>0.74</v>
      </c>
      <c r="I105" s="459">
        <v>0.35880000000000001</v>
      </c>
      <c r="J105" s="467">
        <v>0.33260000000000001</v>
      </c>
      <c r="K105" s="468">
        <v>0.2306</v>
      </c>
      <c r="L105" s="462">
        <v>0.7</v>
      </c>
      <c r="M105" s="463">
        <v>0.67</v>
      </c>
      <c r="N105" s="464">
        <v>0.79</v>
      </c>
      <c r="O105" s="442">
        <v>0.78</v>
      </c>
      <c r="P105" s="465">
        <v>0.74</v>
      </c>
    </row>
    <row r="106" spans="1:16" s="439" customFormat="1" x14ac:dyDescent="0.3">
      <c r="A106" s="453" t="s">
        <v>325</v>
      </c>
      <c r="B106" s="454">
        <v>6134</v>
      </c>
      <c r="C106" s="455">
        <v>1.02</v>
      </c>
      <c r="D106" s="456">
        <v>0.36249999999999999</v>
      </c>
      <c r="E106" s="456">
        <v>0.11409999999999999</v>
      </c>
      <c r="F106" s="457">
        <v>0.8</v>
      </c>
      <c r="G106" s="458">
        <v>6.5500000000000003E-2</v>
      </c>
      <c r="H106" s="457">
        <v>0.86</v>
      </c>
      <c r="I106" s="459">
        <v>0.3679</v>
      </c>
      <c r="J106" s="469">
        <v>0.33950000000000002</v>
      </c>
      <c r="K106" s="470">
        <v>0.252</v>
      </c>
      <c r="L106" s="466">
        <v>0.85</v>
      </c>
      <c r="M106" s="463">
        <v>0.78</v>
      </c>
      <c r="N106" s="464">
        <v>0.87</v>
      </c>
      <c r="O106" s="442">
        <v>0.88</v>
      </c>
      <c r="P106" s="465">
        <v>0.85</v>
      </c>
    </row>
  </sheetData>
  <pageMargins left="0.75" right="0.75" top="1" bottom="1" header="0.5" footer="0.5"/>
  <pageSetup scale="60" orientation="landscape" horizontalDpi="4294967292" verticalDpi="4294967292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AA395-A7A7-49C1-BA46-93126EA52B2A}">
  <sheetPr>
    <tabColor theme="1"/>
  </sheetPr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91A66-41FB-47C9-88F2-F2A3C5234A33}">
  <sheetPr>
    <tabColor theme="4" tint="0.59999389629810485"/>
  </sheetPr>
  <dimension ref="A1:S137"/>
  <sheetViews>
    <sheetView showGridLines="0" zoomScaleNormal="100" workbookViewId="0">
      <selection activeCell="K20" sqref="K20"/>
    </sheetView>
  </sheetViews>
  <sheetFormatPr defaultColWidth="9.109375" defaultRowHeight="13.2" outlineLevelRow="1" x14ac:dyDescent="0.25"/>
  <cols>
    <col min="1" max="1" width="10.6640625" style="518" bestFit="1" customWidth="1"/>
    <col min="2" max="2" width="35.109375" style="518" customWidth="1"/>
    <col min="3" max="3" width="8.5546875" style="784" customWidth="1"/>
    <col min="4" max="13" width="8.5546875" style="518" customWidth="1"/>
    <col min="14" max="14" width="9.109375" style="518"/>
    <col min="15" max="15" width="23" style="518" customWidth="1"/>
    <col min="16" max="16" width="9.109375" style="784"/>
    <col min="17" max="17" width="23.5546875" style="518" customWidth="1"/>
    <col min="18" max="16384" width="9.109375" style="518"/>
  </cols>
  <sheetData>
    <row r="1" spans="1:18" x14ac:dyDescent="0.25">
      <c r="A1" s="1">
        <f>SUM(A2:A200)</f>
        <v>0</v>
      </c>
    </row>
    <row r="3" spans="1:18" x14ac:dyDescent="0.25">
      <c r="B3" s="406" t="str">
        <f>"Assumptie waardering LBO - "&amp;Historiek!A2</f>
        <v>Assumptie waardering LBO - Dossier</v>
      </c>
      <c r="C3" s="13"/>
    </row>
    <row r="4" spans="1:18" x14ac:dyDescent="0.25">
      <c r="B4" s="738" t="s">
        <v>6</v>
      </c>
      <c r="C4" s="743"/>
    </row>
    <row r="5" spans="1:18" x14ac:dyDescent="0.25">
      <c r="B5" s="406" t="s">
        <v>984</v>
      </c>
      <c r="C5" s="800">
        <v>0</v>
      </c>
    </row>
    <row r="6" spans="1:18" x14ac:dyDescent="0.25">
      <c r="B6" s="2" t="s">
        <v>916</v>
      </c>
      <c r="C6" s="21">
        <f>'BP - Annual'!F61</f>
        <v>0</v>
      </c>
    </row>
    <row r="7" spans="1:18" x14ac:dyDescent="0.25">
      <c r="B7" s="24" t="s">
        <v>123</v>
      </c>
      <c r="C7" s="25">
        <f>C5*C6</f>
        <v>0</v>
      </c>
    </row>
    <row r="8" spans="1:18" x14ac:dyDescent="0.25">
      <c r="B8" s="2" t="s">
        <v>982</v>
      </c>
      <c r="C8" s="21">
        <f>'BP - Annual'!F141</f>
        <v>0</v>
      </c>
    </row>
    <row r="9" spans="1:18" x14ac:dyDescent="0.25">
      <c r="B9" s="24" t="s">
        <v>124</v>
      </c>
      <c r="C9" s="25">
        <f>SUM(C7:C8)</f>
        <v>0</v>
      </c>
    </row>
    <row r="11" spans="1:18" x14ac:dyDescent="0.25">
      <c r="O11" s="24" t="str">
        <f>"Structurering - "&amp;Historiek!A2</f>
        <v>Structurering - Dossier</v>
      </c>
    </row>
    <row r="12" spans="1:18" x14ac:dyDescent="0.25">
      <c r="O12" s="738" t="s">
        <v>933</v>
      </c>
      <c r="P12" s="785"/>
      <c r="Q12" s="738" t="s">
        <v>934</v>
      </c>
      <c r="R12" s="738"/>
    </row>
    <row r="13" spans="1:18" x14ac:dyDescent="0.25">
      <c r="H13" s="794"/>
      <c r="N13" s="531">
        <f>N14</f>
        <v>0.35</v>
      </c>
      <c r="O13" s="2" t="s">
        <v>935</v>
      </c>
      <c r="P13" s="21">
        <f>N13*$P$16</f>
        <v>0</v>
      </c>
      <c r="Q13" s="2" t="s">
        <v>936</v>
      </c>
      <c r="R13" s="5">
        <f>C9</f>
        <v>0</v>
      </c>
    </row>
    <row r="14" spans="1:18" x14ac:dyDescent="0.25">
      <c r="H14" s="794"/>
      <c r="N14" s="531">
        <f>(1-N15)/2</f>
        <v>0.35</v>
      </c>
      <c r="O14" s="2" t="s">
        <v>937</v>
      </c>
      <c r="P14" s="21">
        <f>N14*$P$16</f>
        <v>0</v>
      </c>
      <c r="Q14" s="2" t="s">
        <v>938</v>
      </c>
      <c r="R14" s="5">
        <f>-C8</f>
        <v>0</v>
      </c>
    </row>
    <row r="15" spans="1:18" x14ac:dyDescent="0.25">
      <c r="H15" s="794"/>
      <c r="N15" s="519">
        <v>0.3</v>
      </c>
      <c r="O15" s="2" t="s">
        <v>939</v>
      </c>
      <c r="P15" s="21">
        <f>N15*$P$16</f>
        <v>0</v>
      </c>
      <c r="Q15" s="3" t="s">
        <v>940</v>
      </c>
      <c r="R15" s="8">
        <v>0</v>
      </c>
    </row>
    <row r="16" spans="1:18" x14ac:dyDescent="0.25">
      <c r="H16" s="794"/>
      <c r="N16" s="520">
        <v>0.4</v>
      </c>
      <c r="O16" s="406" t="s">
        <v>941</v>
      </c>
      <c r="P16" s="15">
        <f>N16*R21</f>
        <v>0</v>
      </c>
    </row>
    <row r="17" spans="1:18" x14ac:dyDescent="0.25">
      <c r="N17" s="519">
        <v>0.6</v>
      </c>
      <c r="O17" s="518" t="s">
        <v>942</v>
      </c>
      <c r="P17" s="21">
        <f>N17*$P$20</f>
        <v>0</v>
      </c>
    </row>
    <row r="18" spans="1:18" x14ac:dyDescent="0.25">
      <c r="N18" s="519">
        <v>0.3</v>
      </c>
      <c r="O18" s="518" t="s">
        <v>943</v>
      </c>
      <c r="P18" s="21">
        <f>N18*$P$20</f>
        <v>0</v>
      </c>
    </row>
    <row r="19" spans="1:18" x14ac:dyDescent="0.25">
      <c r="N19" s="519">
        <v>0.1</v>
      </c>
      <c r="O19" s="518" t="s">
        <v>944</v>
      </c>
      <c r="P19" s="21">
        <f>N19*$P$20</f>
        <v>0</v>
      </c>
    </row>
    <row r="20" spans="1:18" x14ac:dyDescent="0.25">
      <c r="N20" s="520">
        <v>0.6</v>
      </c>
      <c r="O20" s="521" t="s">
        <v>945</v>
      </c>
      <c r="P20" s="522">
        <f>N20*$R$21</f>
        <v>0</v>
      </c>
      <c r="Q20" s="523"/>
      <c r="R20" s="523"/>
    </row>
    <row r="21" spans="1:18" x14ac:dyDescent="0.25">
      <c r="O21" s="24" t="s">
        <v>544</v>
      </c>
      <c r="P21" s="25">
        <f>SUM(P16,P20)</f>
        <v>0</v>
      </c>
      <c r="Q21" s="24" t="s">
        <v>544</v>
      </c>
      <c r="R21" s="420">
        <f>SUM(R13:R15)</f>
        <v>0</v>
      </c>
    </row>
    <row r="23" spans="1:18" outlineLevel="1" x14ac:dyDescent="0.25">
      <c r="A23" s="10">
        <f>SUM(P23:R23)</f>
        <v>0</v>
      </c>
      <c r="B23" s="3" t="s">
        <v>5</v>
      </c>
      <c r="O23" s="3"/>
      <c r="P23" s="20">
        <f>SUM(P13:P15,P17:P19)-P21</f>
        <v>0</v>
      </c>
      <c r="R23" s="8">
        <f>P21-R21</f>
        <v>0</v>
      </c>
    </row>
    <row r="25" spans="1:18" x14ac:dyDescent="0.25">
      <c r="B25" s="406" t="str">
        <f>"Resultatenrekening - "&amp;Historiek!A2</f>
        <v>Resultatenrekening - Dossier</v>
      </c>
      <c r="C25" s="13"/>
      <c r="D25" s="407"/>
      <c r="E25" s="407"/>
      <c r="F25" s="407"/>
      <c r="G25" s="407"/>
      <c r="H25" s="407"/>
      <c r="I25" s="524" t="s">
        <v>946</v>
      </c>
      <c r="J25" s="524" t="s">
        <v>946</v>
      </c>
      <c r="K25" s="524" t="s">
        <v>946</v>
      </c>
      <c r="L25" s="407"/>
      <c r="M25" s="407"/>
    </row>
    <row r="26" spans="1:18" x14ac:dyDescent="0.25">
      <c r="B26" s="738" t="str">
        <f>'BP - Annual'!C4</f>
        <v>k€</v>
      </c>
      <c r="C26" s="743" t="str">
        <f>'BP - Annual'!F4</f>
        <v>FY23</v>
      </c>
      <c r="D26" s="741" t="str">
        <f>'BP - Annual'!G4</f>
        <v>FY24</v>
      </c>
      <c r="E26" s="741" t="str">
        <f>'BP - Annual'!H4</f>
        <v>FY25</v>
      </c>
      <c r="F26" s="741" t="str">
        <f>'BP - Annual'!I4</f>
        <v>FY26</v>
      </c>
      <c r="G26" s="741" t="str">
        <f>'BP - Annual'!J4</f>
        <v>FY27</v>
      </c>
      <c r="H26" s="741" t="str">
        <f>'BP - Annual'!K4</f>
        <v>FY28</v>
      </c>
      <c r="I26" s="741" t="str">
        <f>"FY"&amp;RIGHT(H26,2)+1</f>
        <v>FY29</v>
      </c>
      <c r="J26" s="741" t="str">
        <f t="shared" ref="J26:K26" si="0">"FY"&amp;RIGHT(I26,2)+1</f>
        <v>FY30</v>
      </c>
      <c r="K26" s="741" t="str">
        <f t="shared" si="0"/>
        <v>FY31</v>
      </c>
    </row>
    <row r="27" spans="1:18" x14ac:dyDescent="0.25">
      <c r="B27" s="414" t="s">
        <v>7</v>
      </c>
      <c r="C27" s="21">
        <f>'BP - Annual'!F52</f>
        <v>0</v>
      </c>
      <c r="D27" s="5">
        <f>'BP - Annual'!G52</f>
        <v>0</v>
      </c>
      <c r="E27" s="5">
        <f>'BP - Annual'!H52</f>
        <v>0</v>
      </c>
      <c r="F27" s="5">
        <f>'BP - Annual'!I52</f>
        <v>0</v>
      </c>
      <c r="G27" s="5">
        <f>'BP - Annual'!J52</f>
        <v>0</v>
      </c>
      <c r="H27" s="5">
        <f>'BP - Annual'!K52</f>
        <v>0</v>
      </c>
      <c r="I27" s="5">
        <f>H27*(1+I29)</f>
        <v>0</v>
      </c>
      <c r="J27" s="5">
        <f>I27*(1+J29)</f>
        <v>0</v>
      </c>
      <c r="K27" s="5">
        <f>J27*(1+K29)</f>
        <v>0</v>
      </c>
    </row>
    <row r="28" spans="1:18" x14ac:dyDescent="0.25">
      <c r="B28" s="795" t="s">
        <v>947</v>
      </c>
      <c r="C28" s="801">
        <f>SUM(C27)</f>
        <v>0</v>
      </c>
      <c r="D28" s="525">
        <f t="shared" ref="D28:K28" si="1">SUM(D27)</f>
        <v>0</v>
      </c>
      <c r="E28" s="525">
        <f t="shared" si="1"/>
        <v>0</v>
      </c>
      <c r="F28" s="525">
        <f t="shared" si="1"/>
        <v>0</v>
      </c>
      <c r="G28" s="525">
        <f t="shared" si="1"/>
        <v>0</v>
      </c>
      <c r="H28" s="525">
        <f t="shared" si="1"/>
        <v>0</v>
      </c>
      <c r="I28" s="525">
        <f t="shared" si="1"/>
        <v>0</v>
      </c>
      <c r="J28" s="525">
        <f t="shared" si="1"/>
        <v>0</v>
      </c>
      <c r="K28" s="525">
        <f t="shared" si="1"/>
        <v>0</v>
      </c>
    </row>
    <row r="29" spans="1:18" x14ac:dyDescent="0.25">
      <c r="B29" s="744" t="s">
        <v>948</v>
      </c>
      <c r="C29" s="746" t="s">
        <v>899</v>
      </c>
      <c r="D29" s="745" t="str">
        <f>IFERROR(D28/C28-1,"n/a")</f>
        <v>n/a</v>
      </c>
      <c r="E29" s="745" t="str">
        <f t="shared" ref="E29:H29" si="2">IFERROR(E28/D28-1,"n/a")</f>
        <v>n/a</v>
      </c>
      <c r="F29" s="745" t="str">
        <f t="shared" si="2"/>
        <v>n/a</v>
      </c>
      <c r="G29" s="745" t="str">
        <f t="shared" si="2"/>
        <v>n/a</v>
      </c>
      <c r="H29" s="745" t="str">
        <f t="shared" si="2"/>
        <v>n/a</v>
      </c>
      <c r="I29" s="786">
        <v>0.05</v>
      </c>
      <c r="J29" s="786">
        <v>0.03</v>
      </c>
      <c r="K29" s="786">
        <v>2.5000000000000001E-2</v>
      </c>
    </row>
    <row r="30" spans="1:18" x14ac:dyDescent="0.25">
      <c r="B30" s="414" t="s">
        <v>8</v>
      </c>
      <c r="C30" s="21">
        <f>'BP - Annual'!F53</f>
        <v>0</v>
      </c>
      <c r="D30" s="5">
        <f>'BP - Annual'!G53</f>
        <v>0</v>
      </c>
      <c r="E30" s="5">
        <f>'BP - Annual'!H53</f>
        <v>0</v>
      </c>
      <c r="F30" s="5">
        <f>'BP - Annual'!I53</f>
        <v>0</v>
      </c>
      <c r="G30" s="5">
        <f>'BP - Annual'!J53</f>
        <v>0</v>
      </c>
      <c r="H30" s="5">
        <f>'BP - Annual'!K53</f>
        <v>0</v>
      </c>
      <c r="I30" s="5" t="e">
        <f>I31-I28</f>
        <v>#VALUE!</v>
      </c>
      <c r="J30" s="5" t="e">
        <f t="shared" ref="J30:K30" si="3">J31-J28</f>
        <v>#VALUE!</v>
      </c>
      <c r="K30" s="5" t="e">
        <f t="shared" si="3"/>
        <v>#VALUE!</v>
      </c>
    </row>
    <row r="31" spans="1:18" x14ac:dyDescent="0.25">
      <c r="B31" s="417" t="s">
        <v>9</v>
      </c>
      <c r="C31" s="22">
        <f>SUM(C28,C30)</f>
        <v>0</v>
      </c>
      <c r="D31" s="7">
        <f t="shared" ref="D31:H31" si="4">SUM(D28,D30)</f>
        <v>0</v>
      </c>
      <c r="E31" s="7">
        <f t="shared" si="4"/>
        <v>0</v>
      </c>
      <c r="F31" s="7">
        <f t="shared" si="4"/>
        <v>0</v>
      </c>
      <c r="G31" s="7">
        <f t="shared" si="4"/>
        <v>0</v>
      </c>
      <c r="H31" s="7">
        <f t="shared" si="4"/>
        <v>0</v>
      </c>
      <c r="I31" s="7" t="e">
        <f>I28*I32</f>
        <v>#VALUE!</v>
      </c>
      <c r="J31" s="7" t="e">
        <f t="shared" ref="J31:K31" si="5">J28*J32</f>
        <v>#VALUE!</v>
      </c>
      <c r="K31" s="7" t="e">
        <f t="shared" si="5"/>
        <v>#VALUE!</v>
      </c>
    </row>
    <row r="32" spans="1:18" x14ac:dyDescent="0.25">
      <c r="B32" s="744" t="s">
        <v>10</v>
      </c>
      <c r="C32" s="746" t="str">
        <f>IFERROR(C31/C28,"n/a")</f>
        <v>n/a</v>
      </c>
      <c r="D32" s="745" t="str">
        <f t="shared" ref="D32:H32" si="6">IFERROR(D31/D28,"n/a")</f>
        <v>n/a</v>
      </c>
      <c r="E32" s="745" t="str">
        <f t="shared" si="6"/>
        <v>n/a</v>
      </c>
      <c r="F32" s="745" t="str">
        <f t="shared" si="6"/>
        <v>n/a</v>
      </c>
      <c r="G32" s="745" t="str">
        <f t="shared" si="6"/>
        <v>n/a</v>
      </c>
      <c r="H32" s="745" t="str">
        <f t="shared" si="6"/>
        <v>n/a</v>
      </c>
      <c r="I32" s="786" t="str">
        <f>H32</f>
        <v>n/a</v>
      </c>
      <c r="J32" s="786" t="str">
        <f t="shared" ref="J32:K32" si="7">I32</f>
        <v>n/a</v>
      </c>
      <c r="K32" s="786" t="str">
        <f t="shared" si="7"/>
        <v>n/a</v>
      </c>
    </row>
    <row r="33" spans="1:19" x14ac:dyDescent="0.25">
      <c r="B33" s="414" t="s">
        <v>949</v>
      </c>
      <c r="C33" s="21">
        <f>SUM('BP - Annual'!F56:F60)</f>
        <v>0</v>
      </c>
      <c r="D33" s="5">
        <f>SUM('BP - Annual'!G56:G60)</f>
        <v>0</v>
      </c>
      <c r="E33" s="5">
        <f>SUM('BP - Annual'!H56:H60)</f>
        <v>0</v>
      </c>
      <c r="F33" s="5">
        <f>SUM('BP - Annual'!I56:I60)</f>
        <v>0</v>
      </c>
      <c r="G33" s="5">
        <f>SUM('BP - Annual'!J56:J60)</f>
        <v>0</v>
      </c>
      <c r="H33" s="5">
        <f>SUM('BP - Annual'!K56:K60)</f>
        <v>0</v>
      </c>
      <c r="I33" s="5" t="e">
        <f>I34-I31</f>
        <v>#VALUE!</v>
      </c>
      <c r="J33" s="5" t="e">
        <f t="shared" ref="J33:K33" si="8">J34-J31</f>
        <v>#VALUE!</v>
      </c>
      <c r="K33" s="5" t="e">
        <f t="shared" si="8"/>
        <v>#VALUE!</v>
      </c>
    </row>
    <row r="34" spans="1:19" x14ac:dyDescent="0.25">
      <c r="B34" s="417" t="s">
        <v>0</v>
      </c>
      <c r="C34" s="22">
        <f>SUM(C31,C33)</f>
        <v>0</v>
      </c>
      <c r="D34" s="7">
        <f t="shared" ref="D34:H34" si="9">SUM(D31,D33)</f>
        <v>0</v>
      </c>
      <c r="E34" s="7">
        <f t="shared" si="9"/>
        <v>0</v>
      </c>
      <c r="F34" s="7">
        <f t="shared" si="9"/>
        <v>0</v>
      </c>
      <c r="G34" s="7">
        <f t="shared" si="9"/>
        <v>0</v>
      </c>
      <c r="H34" s="7">
        <f t="shared" si="9"/>
        <v>0</v>
      </c>
      <c r="I34" s="7" t="e">
        <f>I35*I28</f>
        <v>#VALUE!</v>
      </c>
      <c r="J34" s="7" t="e">
        <f t="shared" ref="J34:K34" si="10">J35*J28</f>
        <v>#VALUE!</v>
      </c>
      <c r="K34" s="7" t="e">
        <f t="shared" si="10"/>
        <v>#VALUE!</v>
      </c>
    </row>
    <row r="35" spans="1:19" x14ac:dyDescent="0.25">
      <c r="B35" s="744" t="s">
        <v>13</v>
      </c>
      <c r="C35" s="746" t="str">
        <f>IFERROR(C34/C28,"n/a")</f>
        <v>n/a</v>
      </c>
      <c r="D35" s="745" t="str">
        <f t="shared" ref="D35:H35" si="11">IFERROR(D34/D28,"n/a")</f>
        <v>n/a</v>
      </c>
      <c r="E35" s="745" t="str">
        <f t="shared" si="11"/>
        <v>n/a</v>
      </c>
      <c r="F35" s="745" t="str">
        <f t="shared" si="11"/>
        <v>n/a</v>
      </c>
      <c r="G35" s="745" t="str">
        <f t="shared" si="11"/>
        <v>n/a</v>
      </c>
      <c r="H35" s="745" t="str">
        <f t="shared" si="11"/>
        <v>n/a</v>
      </c>
      <c r="I35" s="786" t="str">
        <f>H35</f>
        <v>n/a</v>
      </c>
      <c r="J35" s="786" t="str">
        <f t="shared" ref="J35:K35" si="12">I35</f>
        <v>n/a</v>
      </c>
      <c r="K35" s="786" t="str">
        <f t="shared" si="12"/>
        <v>n/a</v>
      </c>
    </row>
    <row r="36" spans="1:19" x14ac:dyDescent="0.25">
      <c r="B36" s="414" t="s">
        <v>39</v>
      </c>
      <c r="C36" s="21">
        <f>'BP - Annual'!F63</f>
        <v>0</v>
      </c>
      <c r="D36" s="5">
        <f>'BP - Annual'!G63</f>
        <v>0</v>
      </c>
      <c r="E36" s="5">
        <f>'BP - Annual'!H63</f>
        <v>0</v>
      </c>
      <c r="F36" s="5">
        <f>'BP - Annual'!I63</f>
        <v>0</v>
      </c>
      <c r="G36" s="5">
        <f>'BP - Annual'!J63</f>
        <v>0</v>
      </c>
      <c r="H36" s="5">
        <f>'BP - Annual'!K63</f>
        <v>0</v>
      </c>
      <c r="I36" s="787"/>
      <c r="J36" s="787"/>
      <c r="K36" s="787"/>
    </row>
    <row r="37" spans="1:19" x14ac:dyDescent="0.25">
      <c r="B37" s="417" t="s">
        <v>3</v>
      </c>
      <c r="C37" s="802">
        <f>SUM(C34,C36)</f>
        <v>0</v>
      </c>
      <c r="D37" s="7">
        <f t="shared" ref="D37:K37" si="13">SUM(D34,D36)</f>
        <v>0</v>
      </c>
      <c r="E37" s="7">
        <f t="shared" si="13"/>
        <v>0</v>
      </c>
      <c r="F37" s="7">
        <f t="shared" si="13"/>
        <v>0</v>
      </c>
      <c r="G37" s="7">
        <f t="shared" si="13"/>
        <v>0</v>
      </c>
      <c r="H37" s="7">
        <f t="shared" si="13"/>
        <v>0</v>
      </c>
      <c r="I37" s="7" t="e">
        <f t="shared" si="13"/>
        <v>#VALUE!</v>
      </c>
      <c r="J37" s="7" t="e">
        <f t="shared" si="13"/>
        <v>#VALUE!</v>
      </c>
      <c r="K37" s="7" t="e">
        <f t="shared" si="13"/>
        <v>#VALUE!</v>
      </c>
    </row>
    <row r="38" spans="1:19" x14ac:dyDescent="0.25">
      <c r="B38" s="744" t="s">
        <v>40</v>
      </c>
      <c r="C38" s="746" t="str">
        <f>IFERROR(C37/C28,"n/a")</f>
        <v>n/a</v>
      </c>
      <c r="D38" s="745" t="str">
        <f>IFERROR(D37/D28,"n/a")</f>
        <v>n/a</v>
      </c>
      <c r="E38" s="745" t="str">
        <f t="shared" ref="E38:K38" si="14">IFERROR(E37/E28,"n/a")</f>
        <v>n/a</v>
      </c>
      <c r="F38" s="745" t="str">
        <f t="shared" si="14"/>
        <v>n/a</v>
      </c>
      <c r="G38" s="745" t="str">
        <f t="shared" si="14"/>
        <v>n/a</v>
      </c>
      <c r="H38" s="745" t="str">
        <f t="shared" si="14"/>
        <v>n/a</v>
      </c>
      <c r="I38" s="745" t="str">
        <f t="shared" si="14"/>
        <v>n/a</v>
      </c>
      <c r="J38" s="745" t="str">
        <f t="shared" si="14"/>
        <v>n/a</v>
      </c>
      <c r="K38" s="745" t="str">
        <f t="shared" si="14"/>
        <v>n/a</v>
      </c>
    </row>
    <row r="39" spans="1:19" x14ac:dyDescent="0.25">
      <c r="B39" s="518" t="s">
        <v>950</v>
      </c>
      <c r="D39" s="788">
        <f>D107</f>
        <v>0</v>
      </c>
      <c r="E39" s="788">
        <f t="shared" ref="E39:K39" si="15">E107</f>
        <v>0</v>
      </c>
      <c r="F39" s="788">
        <f t="shared" si="15"/>
        <v>0</v>
      </c>
      <c r="G39" s="788">
        <f t="shared" si="15"/>
        <v>0</v>
      </c>
      <c r="H39" s="788">
        <f t="shared" si="15"/>
        <v>0</v>
      </c>
      <c r="I39" s="788">
        <f t="shared" si="15"/>
        <v>0</v>
      </c>
      <c r="J39" s="788">
        <f t="shared" si="15"/>
        <v>0</v>
      </c>
      <c r="K39" s="788">
        <f t="shared" si="15"/>
        <v>0</v>
      </c>
    </row>
    <row r="40" spans="1:19" x14ac:dyDescent="0.25">
      <c r="B40" s="417" t="s">
        <v>1</v>
      </c>
      <c r="C40" s="802">
        <f>SUM(C37,C39)</f>
        <v>0</v>
      </c>
      <c r="D40" s="7">
        <f t="shared" ref="D40:K40" si="16">SUM(D37,D39)</f>
        <v>0</v>
      </c>
      <c r="E40" s="7">
        <f t="shared" si="16"/>
        <v>0</v>
      </c>
      <c r="F40" s="7">
        <f t="shared" si="16"/>
        <v>0</v>
      </c>
      <c r="G40" s="7">
        <f t="shared" si="16"/>
        <v>0</v>
      </c>
      <c r="H40" s="7">
        <f t="shared" si="16"/>
        <v>0</v>
      </c>
      <c r="I40" s="7" t="e">
        <f t="shared" si="16"/>
        <v>#VALUE!</v>
      </c>
      <c r="J40" s="7" t="e">
        <f t="shared" si="16"/>
        <v>#VALUE!</v>
      </c>
      <c r="K40" s="7" t="e">
        <f t="shared" si="16"/>
        <v>#VALUE!</v>
      </c>
    </row>
    <row r="41" spans="1:19" x14ac:dyDescent="0.25">
      <c r="B41" s="744" t="s">
        <v>983</v>
      </c>
      <c r="C41" s="746" t="str">
        <f>IFERROR(C40/C28,"n/a")</f>
        <v>n/a</v>
      </c>
      <c r="D41" s="745" t="str">
        <f t="shared" ref="D41:K41" si="17">IFERROR(D40/D28,"n/a")</f>
        <v>n/a</v>
      </c>
      <c r="E41" s="745" t="str">
        <f t="shared" si="17"/>
        <v>n/a</v>
      </c>
      <c r="F41" s="745" t="str">
        <f t="shared" si="17"/>
        <v>n/a</v>
      </c>
      <c r="G41" s="745" t="str">
        <f t="shared" si="17"/>
        <v>n/a</v>
      </c>
      <c r="H41" s="745" t="str">
        <f t="shared" si="17"/>
        <v>n/a</v>
      </c>
      <c r="I41" s="745" t="str">
        <f t="shared" si="17"/>
        <v>n/a</v>
      </c>
      <c r="J41" s="745" t="str">
        <f t="shared" si="17"/>
        <v>n/a</v>
      </c>
      <c r="K41" s="745" t="str">
        <f t="shared" si="17"/>
        <v>n/a</v>
      </c>
    </row>
    <row r="42" spans="1:19" x14ac:dyDescent="0.25">
      <c r="B42" s="518" t="s">
        <v>43</v>
      </c>
      <c r="D42" s="788">
        <f>IF(D40&gt;0,-D40*DCF!$D$30,0)</f>
        <v>0</v>
      </c>
      <c r="E42" s="788">
        <f>IF(E40&gt;0,-E40*DCF!$D$30,0)</f>
        <v>0</v>
      </c>
      <c r="F42" s="788">
        <f>IF(F40&gt;0,-F40*DCF!$D$30,0)</f>
        <v>0</v>
      </c>
      <c r="G42" s="788">
        <f>IF(G40&gt;0,-G40*DCF!$D$30,0)</f>
        <v>0</v>
      </c>
      <c r="H42" s="788">
        <f>IF(H40&gt;0,-H40*DCF!$D$30,0)</f>
        <v>0</v>
      </c>
      <c r="I42" s="788" t="e">
        <f>IF(I40&gt;0,-I40*DCF!$D$30,0)</f>
        <v>#VALUE!</v>
      </c>
      <c r="J42" s="788" t="e">
        <f>IF(J40&gt;0,-J40*DCF!$D$30,0)</f>
        <v>#VALUE!</v>
      </c>
      <c r="K42" s="788" t="e">
        <f>IF(K40&gt;0,-K40*DCF!$D$30,0)</f>
        <v>#VALUE!</v>
      </c>
    </row>
    <row r="43" spans="1:19" x14ac:dyDescent="0.25">
      <c r="B43" s="417" t="s">
        <v>44</v>
      </c>
      <c r="C43" s="802">
        <f>SUM(C40,C42)</f>
        <v>0</v>
      </c>
      <c r="D43" s="7">
        <f t="shared" ref="D43:K43" si="18">SUM(D40,D42)</f>
        <v>0</v>
      </c>
      <c r="E43" s="7">
        <f t="shared" si="18"/>
        <v>0</v>
      </c>
      <c r="F43" s="7">
        <f t="shared" si="18"/>
        <v>0</v>
      </c>
      <c r="G43" s="7">
        <f t="shared" si="18"/>
        <v>0</v>
      </c>
      <c r="H43" s="7">
        <f t="shared" si="18"/>
        <v>0</v>
      </c>
      <c r="I43" s="7" t="e">
        <f t="shared" si="18"/>
        <v>#VALUE!</v>
      </c>
      <c r="J43" s="7" t="e">
        <f t="shared" si="18"/>
        <v>#VALUE!</v>
      </c>
      <c r="K43" s="7" t="e">
        <f t="shared" si="18"/>
        <v>#VALUE!</v>
      </c>
    </row>
    <row r="45" spans="1:19" outlineLevel="1" x14ac:dyDescent="0.25">
      <c r="A45" s="10">
        <f>SUM(C45:H45)</f>
        <v>0</v>
      </c>
      <c r="B45" s="3" t="s">
        <v>5</v>
      </c>
      <c r="C45" s="20">
        <f>C37-'BP - Annual'!F64</f>
        <v>0</v>
      </c>
      <c r="D45" s="8">
        <f>D37-'BP - Annual'!G64</f>
        <v>0</v>
      </c>
      <c r="E45" s="8">
        <f>E37-'BP - Annual'!H64</f>
        <v>0</v>
      </c>
      <c r="F45" s="8">
        <f>F37-'BP - Annual'!I64</f>
        <v>0</v>
      </c>
      <c r="G45" s="8">
        <f>G37-'BP - Annual'!J64</f>
        <v>0</v>
      </c>
      <c r="H45" s="8">
        <f>H37-'BP - Annual'!K64</f>
        <v>0</v>
      </c>
      <c r="I45" s="8"/>
      <c r="J45" s="8"/>
      <c r="K45" s="8"/>
    </row>
    <row r="47" spans="1:19" x14ac:dyDescent="0.25">
      <c r="B47" s="406" t="str">
        <f>"Balans - "&amp;Historiek!A2</f>
        <v>Balans - Dossier</v>
      </c>
      <c r="C47" s="13"/>
      <c r="D47" s="407"/>
      <c r="E47" s="407"/>
      <c r="F47" s="407"/>
      <c r="G47" s="407"/>
      <c r="H47" s="2"/>
      <c r="I47" s="2"/>
      <c r="J47" s="2"/>
      <c r="K47" s="2"/>
      <c r="L47" s="2"/>
      <c r="N47" s="2"/>
      <c r="O47" s="2"/>
      <c r="P47" s="12"/>
      <c r="Q47" s="2"/>
      <c r="R47" s="2"/>
      <c r="S47" s="526"/>
    </row>
    <row r="48" spans="1:19" x14ac:dyDescent="0.25">
      <c r="B48" s="738" t="str">
        <f>'BP - Annual'!C6</f>
        <v>k€</v>
      </c>
      <c r="C48" s="740" t="str">
        <f>'BP - Annual'!F6</f>
        <v>Dec'23</v>
      </c>
      <c r="D48" s="742" t="str">
        <f>'BP - Annual'!G6</f>
        <v>Dec'24</v>
      </c>
      <c r="E48" s="742" t="str">
        <f>'BP - Annual'!H6</f>
        <v>Dec'25</v>
      </c>
      <c r="F48" s="742" t="str">
        <f>'BP - Annual'!I6</f>
        <v>Dec'26</v>
      </c>
      <c r="G48" s="742" t="str">
        <f>'BP - Annual'!J6</f>
        <v>Dec'27</v>
      </c>
      <c r="H48" s="742" t="str">
        <f>'BP - Annual'!K6</f>
        <v>Dec'28</v>
      </c>
      <c r="I48" s="741" t="str">
        <f>"Dec'"&amp;RIGHT(H48,2)+1</f>
        <v>Dec'29</v>
      </c>
      <c r="J48" s="742" t="str">
        <f t="shared" ref="J48:K48" si="19">"Dec'"&amp;RIGHT(I48,2)+1</f>
        <v>Dec'30</v>
      </c>
      <c r="K48" s="742" t="str">
        <f t="shared" si="19"/>
        <v>Dec'31</v>
      </c>
      <c r="L48" s="409"/>
    </row>
    <row r="49" spans="1:12" x14ac:dyDescent="0.25">
      <c r="B49" s="413" t="s">
        <v>17</v>
      </c>
      <c r="C49" s="532"/>
      <c r="D49" s="8">
        <f>(D58-D50)</f>
        <v>0</v>
      </c>
      <c r="E49" s="8">
        <f t="shared" ref="E49:K49" si="20">(E58-E50)</f>
        <v>0</v>
      </c>
      <c r="F49" s="8">
        <f t="shared" si="20"/>
        <v>0</v>
      </c>
      <c r="G49" s="8">
        <f t="shared" si="20"/>
        <v>0</v>
      </c>
      <c r="H49" s="8">
        <f t="shared" si="20"/>
        <v>0</v>
      </c>
      <c r="I49" s="8" t="e">
        <f t="shared" si="20"/>
        <v>#VALUE!</v>
      </c>
      <c r="J49" s="8" t="e">
        <f t="shared" si="20"/>
        <v>#VALUE!</v>
      </c>
      <c r="K49" s="8" t="e">
        <f t="shared" si="20"/>
        <v>#VALUE!</v>
      </c>
      <c r="L49" s="2"/>
    </row>
    <row r="50" spans="1:12" x14ac:dyDescent="0.25">
      <c r="B50" s="4" t="s">
        <v>951</v>
      </c>
      <c r="C50" s="534">
        <f>'BP - Annual'!F127</f>
        <v>0</v>
      </c>
      <c r="D50" s="4">
        <f>'BP - Annual'!G127</f>
        <v>0</v>
      </c>
      <c r="E50" s="4">
        <f>'BP - Annual'!H127</f>
        <v>0</v>
      </c>
      <c r="F50" s="4">
        <f>'BP - Annual'!I127</f>
        <v>0</v>
      </c>
      <c r="G50" s="4">
        <f>'BP - Annual'!J127</f>
        <v>0</v>
      </c>
      <c r="H50" s="4">
        <f>'BP - Annual'!K127</f>
        <v>0</v>
      </c>
      <c r="I50" s="4" t="e">
        <f>$H$50/$H$27*I27</f>
        <v>#DIV/0!</v>
      </c>
      <c r="J50" s="4" t="e">
        <f t="shared" ref="J50:K50" si="21">$H$50/$H$27*J27</f>
        <v>#DIV/0!</v>
      </c>
      <c r="K50" s="4" t="e">
        <f t="shared" si="21"/>
        <v>#DIV/0!</v>
      </c>
      <c r="L50" s="2"/>
    </row>
    <row r="51" spans="1:12" x14ac:dyDescent="0.25">
      <c r="B51" s="16" t="s">
        <v>952</v>
      </c>
      <c r="C51" s="533"/>
      <c r="D51" s="16">
        <f>SUM(D49:D50)</f>
        <v>0</v>
      </c>
      <c r="E51" s="16">
        <f t="shared" ref="E51:K51" si="22">SUM(E49:E50)</f>
        <v>0</v>
      </c>
      <c r="F51" s="16">
        <f t="shared" si="22"/>
        <v>0</v>
      </c>
      <c r="G51" s="16">
        <f t="shared" si="22"/>
        <v>0</v>
      </c>
      <c r="H51" s="16">
        <f t="shared" si="22"/>
        <v>0</v>
      </c>
      <c r="I51" s="16" t="e">
        <f t="shared" si="22"/>
        <v>#VALUE!</v>
      </c>
      <c r="J51" s="16" t="e">
        <f t="shared" si="22"/>
        <v>#VALUE!</v>
      </c>
      <c r="K51" s="16" t="e">
        <f t="shared" si="22"/>
        <v>#VALUE!</v>
      </c>
      <c r="L51" s="2"/>
    </row>
    <row r="52" spans="1:12" x14ac:dyDescent="0.25">
      <c r="B52" s="16" t="s">
        <v>27</v>
      </c>
      <c r="C52" s="534"/>
      <c r="D52" s="4">
        <f>P16+R15</f>
        <v>0</v>
      </c>
      <c r="E52" s="4">
        <f>D52+E43</f>
        <v>0</v>
      </c>
      <c r="F52" s="4">
        <f t="shared" ref="F52:K52" si="23">E52+F43</f>
        <v>0</v>
      </c>
      <c r="G52" s="4">
        <f t="shared" si="23"/>
        <v>0</v>
      </c>
      <c r="H52" s="4">
        <f t="shared" si="23"/>
        <v>0</v>
      </c>
      <c r="I52" s="4" t="e">
        <f t="shared" si="23"/>
        <v>#VALUE!</v>
      </c>
      <c r="J52" s="4" t="e">
        <f t="shared" si="23"/>
        <v>#VALUE!</v>
      </c>
      <c r="K52" s="4" t="e">
        <f t="shared" si="23"/>
        <v>#VALUE!</v>
      </c>
      <c r="L52" s="2"/>
    </row>
    <row r="53" spans="1:12" x14ac:dyDescent="0.25">
      <c r="B53" s="4" t="s">
        <v>953</v>
      </c>
      <c r="C53" s="532"/>
      <c r="D53" s="4">
        <f>0+D73</f>
        <v>0</v>
      </c>
      <c r="E53" s="4">
        <f>D53+E73</f>
        <v>0</v>
      </c>
      <c r="F53" s="4">
        <f t="shared" ref="F53:K53" si="24">E53+F73</f>
        <v>0</v>
      </c>
      <c r="G53" s="4">
        <f t="shared" si="24"/>
        <v>0</v>
      </c>
      <c r="H53" s="4">
        <f t="shared" si="24"/>
        <v>0</v>
      </c>
      <c r="I53" s="4" t="e">
        <f t="shared" si="24"/>
        <v>#VALUE!</v>
      </c>
      <c r="J53" s="4" t="e">
        <f t="shared" si="24"/>
        <v>#VALUE!</v>
      </c>
      <c r="K53" s="4" t="e">
        <f t="shared" si="24"/>
        <v>#VALUE!</v>
      </c>
      <c r="L53" s="2"/>
    </row>
    <row r="54" spans="1:12" x14ac:dyDescent="0.25">
      <c r="B54" s="518" t="s">
        <v>942</v>
      </c>
      <c r="C54" s="534"/>
      <c r="D54" s="4">
        <f>D82</f>
        <v>0</v>
      </c>
      <c r="E54" s="4">
        <f>E82</f>
        <v>0</v>
      </c>
      <c r="F54" s="4">
        <f t="shared" ref="F54:K54" si="25">F82</f>
        <v>0</v>
      </c>
      <c r="G54" s="4">
        <f t="shared" si="25"/>
        <v>0</v>
      </c>
      <c r="H54" s="4">
        <f t="shared" si="25"/>
        <v>0</v>
      </c>
      <c r="I54" s="4">
        <f t="shared" si="25"/>
        <v>0</v>
      </c>
      <c r="J54" s="4">
        <f t="shared" si="25"/>
        <v>0</v>
      </c>
      <c r="K54" s="4">
        <f t="shared" si="25"/>
        <v>0</v>
      </c>
      <c r="L54" s="2"/>
    </row>
    <row r="55" spans="1:12" x14ac:dyDescent="0.25">
      <c r="B55" s="518" t="s">
        <v>943</v>
      </c>
      <c r="C55" s="534"/>
      <c r="D55" s="4">
        <f>D88</f>
        <v>0</v>
      </c>
      <c r="E55" s="4">
        <f>E88</f>
        <v>0</v>
      </c>
      <c r="F55" s="4">
        <f t="shared" ref="F55:K55" si="26">F88</f>
        <v>0</v>
      </c>
      <c r="G55" s="4">
        <f t="shared" si="26"/>
        <v>0</v>
      </c>
      <c r="H55" s="4">
        <f t="shared" si="26"/>
        <v>0</v>
      </c>
      <c r="I55" s="4">
        <f t="shared" si="26"/>
        <v>0</v>
      </c>
      <c r="J55" s="4">
        <f t="shared" si="26"/>
        <v>0</v>
      </c>
      <c r="K55" s="4">
        <f t="shared" si="26"/>
        <v>0</v>
      </c>
      <c r="L55" s="2"/>
    </row>
    <row r="56" spans="1:12" x14ac:dyDescent="0.25">
      <c r="B56" s="518" t="s">
        <v>944</v>
      </c>
      <c r="C56" s="534"/>
      <c r="D56" s="4">
        <f>D101</f>
        <v>0</v>
      </c>
      <c r="E56" s="4">
        <f>E101</f>
        <v>0</v>
      </c>
      <c r="F56" s="4">
        <f t="shared" ref="F56:K56" si="27">F101</f>
        <v>0</v>
      </c>
      <c r="G56" s="4">
        <f t="shared" si="27"/>
        <v>0</v>
      </c>
      <c r="H56" s="4">
        <f t="shared" si="27"/>
        <v>0</v>
      </c>
      <c r="I56" s="4">
        <f t="shared" si="27"/>
        <v>0</v>
      </c>
      <c r="J56" s="4">
        <f t="shared" si="27"/>
        <v>0</v>
      </c>
      <c r="K56" s="4">
        <f t="shared" si="27"/>
        <v>0</v>
      </c>
      <c r="L56" s="2"/>
    </row>
    <row r="57" spans="1:12" x14ac:dyDescent="0.25">
      <c r="B57" s="16" t="s">
        <v>954</v>
      </c>
      <c r="C57" s="533"/>
      <c r="D57" s="16">
        <f>SUM(D53:D56)</f>
        <v>0</v>
      </c>
      <c r="E57" s="16">
        <f>SUM(E53:E56)</f>
        <v>0</v>
      </c>
      <c r="F57" s="16">
        <f t="shared" ref="F57:K57" si="28">SUM(F53:F56)</f>
        <v>0</v>
      </c>
      <c r="G57" s="16">
        <f t="shared" si="28"/>
        <v>0</v>
      </c>
      <c r="H57" s="16">
        <f t="shared" si="28"/>
        <v>0</v>
      </c>
      <c r="I57" s="16" t="e">
        <f t="shared" si="28"/>
        <v>#VALUE!</v>
      </c>
      <c r="J57" s="16" t="e">
        <f t="shared" si="28"/>
        <v>#VALUE!</v>
      </c>
      <c r="K57" s="16" t="e">
        <f t="shared" si="28"/>
        <v>#VALUE!</v>
      </c>
      <c r="L57" s="2"/>
    </row>
    <row r="58" spans="1:12" x14ac:dyDescent="0.25">
      <c r="B58" s="16" t="s">
        <v>955</v>
      </c>
      <c r="C58" s="533"/>
      <c r="D58" s="16">
        <f>SUM(D52,D57)</f>
        <v>0</v>
      </c>
      <c r="E58" s="16">
        <f>SUM(E52,E57)</f>
        <v>0</v>
      </c>
      <c r="F58" s="16">
        <f t="shared" ref="F58:K58" si="29">SUM(F52,F57)</f>
        <v>0</v>
      </c>
      <c r="G58" s="16">
        <f t="shared" si="29"/>
        <v>0</v>
      </c>
      <c r="H58" s="16">
        <f t="shared" si="29"/>
        <v>0</v>
      </c>
      <c r="I58" s="16" t="e">
        <f t="shared" si="29"/>
        <v>#VALUE!</v>
      </c>
      <c r="J58" s="16" t="e">
        <f t="shared" si="29"/>
        <v>#VALUE!</v>
      </c>
      <c r="K58" s="16" t="e">
        <f t="shared" si="29"/>
        <v>#VALUE!</v>
      </c>
      <c r="L58" s="2"/>
    </row>
    <row r="60" spans="1:12" outlineLevel="1" x14ac:dyDescent="0.25">
      <c r="A60" s="10">
        <f>SUM(C60:K60)</f>
        <v>0</v>
      </c>
      <c r="B60" s="3" t="s">
        <v>5</v>
      </c>
      <c r="C60" s="20"/>
      <c r="D60" s="8">
        <f>IFERROR(D58-D51,"n/a")</f>
        <v>0</v>
      </c>
      <c r="E60" s="8">
        <f t="shared" ref="E60:K60" si="30">IFERROR(E58-E51,"n/a")</f>
        <v>0</v>
      </c>
      <c r="F60" s="8">
        <f t="shared" si="30"/>
        <v>0</v>
      </c>
      <c r="G60" s="8">
        <f t="shared" si="30"/>
        <v>0</v>
      </c>
      <c r="H60" s="8">
        <f t="shared" si="30"/>
        <v>0</v>
      </c>
      <c r="I60" s="789" t="str">
        <f t="shared" si="30"/>
        <v>n/a</v>
      </c>
      <c r="J60" s="789" t="str">
        <f t="shared" si="30"/>
        <v>n/a</v>
      </c>
      <c r="K60" s="789" t="str">
        <f t="shared" si="30"/>
        <v>n/a</v>
      </c>
    </row>
    <row r="62" spans="1:12" x14ac:dyDescent="0.25">
      <c r="B62" s="406" t="str">
        <f>"Cashflow statement - "&amp;Historiek!A2</f>
        <v>Cashflow statement - Dossier</v>
      </c>
      <c r="C62" s="13"/>
      <c r="D62" s="407"/>
      <c r="E62" s="407"/>
      <c r="F62" s="407"/>
      <c r="G62" s="407"/>
      <c r="H62" s="407"/>
      <c r="I62" s="407"/>
      <c r="J62" s="407"/>
      <c r="K62" s="407"/>
      <c r="L62" s="407"/>
    </row>
    <row r="63" spans="1:12" x14ac:dyDescent="0.25">
      <c r="B63" s="738" t="str">
        <f>'BP - Annual'!C4</f>
        <v>k€</v>
      </c>
      <c r="C63" s="743" t="str">
        <f>'BP - Annual'!F4</f>
        <v>FY23</v>
      </c>
      <c r="D63" s="741" t="str">
        <f>'BP - Annual'!G4</f>
        <v>FY24</v>
      </c>
      <c r="E63" s="741" t="str">
        <f>'BP - Annual'!H4</f>
        <v>FY25</v>
      </c>
      <c r="F63" s="741" t="str">
        <f>'BP - Annual'!I4</f>
        <v>FY26</v>
      </c>
      <c r="G63" s="741" t="str">
        <f>'BP - Annual'!J4</f>
        <v>FY27</v>
      </c>
      <c r="H63" s="741" t="str">
        <f>'BP - Annual'!K4</f>
        <v>FY28</v>
      </c>
      <c r="I63" s="741" t="str">
        <f>"FY"&amp;RIGHT(H63,2)+1</f>
        <v>FY29</v>
      </c>
      <c r="J63" s="741" t="str">
        <f t="shared" ref="J63:K63" si="31">"FY"&amp;RIGHT(I63,2)+1</f>
        <v>FY30</v>
      </c>
      <c r="K63" s="741" t="str">
        <f t="shared" si="31"/>
        <v>FY31</v>
      </c>
      <c r="L63" s="2"/>
    </row>
    <row r="64" spans="1:12" x14ac:dyDescent="0.25">
      <c r="B64" s="16" t="s">
        <v>0</v>
      </c>
      <c r="C64" s="533"/>
      <c r="D64" s="16">
        <f t="shared" ref="D64:K64" si="32">D34</f>
        <v>0</v>
      </c>
      <c r="E64" s="16">
        <f t="shared" si="32"/>
        <v>0</v>
      </c>
      <c r="F64" s="16">
        <f t="shared" si="32"/>
        <v>0</v>
      </c>
      <c r="G64" s="16">
        <f t="shared" si="32"/>
        <v>0</v>
      </c>
      <c r="H64" s="16">
        <f t="shared" si="32"/>
        <v>0</v>
      </c>
      <c r="I64" s="16" t="e">
        <f t="shared" si="32"/>
        <v>#VALUE!</v>
      </c>
      <c r="J64" s="16" t="e">
        <f t="shared" si="32"/>
        <v>#VALUE!</v>
      </c>
      <c r="K64" s="16" t="e">
        <f t="shared" si="32"/>
        <v>#VALUE!</v>
      </c>
      <c r="L64" s="2"/>
    </row>
    <row r="65" spans="1:16" x14ac:dyDescent="0.25">
      <c r="B65" s="418" t="s">
        <v>43</v>
      </c>
      <c r="C65" s="534"/>
      <c r="D65" s="4">
        <f t="shared" ref="D65:K65" si="33">D42</f>
        <v>0</v>
      </c>
      <c r="E65" s="4">
        <f t="shared" si="33"/>
        <v>0</v>
      </c>
      <c r="F65" s="4">
        <f t="shared" si="33"/>
        <v>0</v>
      </c>
      <c r="G65" s="4">
        <f t="shared" si="33"/>
        <v>0</v>
      </c>
      <c r="H65" s="4">
        <f t="shared" si="33"/>
        <v>0</v>
      </c>
      <c r="I65" s="4" t="e">
        <f t="shared" si="33"/>
        <v>#VALUE!</v>
      </c>
      <c r="J65" s="4" t="e">
        <f t="shared" si="33"/>
        <v>#VALUE!</v>
      </c>
      <c r="K65" s="4" t="e">
        <f t="shared" si="33"/>
        <v>#VALUE!</v>
      </c>
      <c r="L65" s="2"/>
    </row>
    <row r="66" spans="1:16" x14ac:dyDescent="0.25">
      <c r="B66" s="418" t="s">
        <v>956</v>
      </c>
      <c r="C66" s="534"/>
      <c r="D66" s="790"/>
      <c r="E66" s="790"/>
      <c r="F66" s="790"/>
      <c r="G66" s="790"/>
      <c r="H66" s="790"/>
      <c r="I66" s="790"/>
      <c r="J66" s="790"/>
      <c r="K66" s="790"/>
      <c r="L66" s="2"/>
    </row>
    <row r="67" spans="1:16" x14ac:dyDescent="0.25">
      <c r="B67" s="419" t="s">
        <v>46</v>
      </c>
      <c r="C67" s="534"/>
      <c r="D67" s="4">
        <f>C50-D50</f>
        <v>0</v>
      </c>
      <c r="E67" s="4">
        <f>D50-E50</f>
        <v>0</v>
      </c>
      <c r="F67" s="4">
        <f>E50-F50</f>
        <v>0</v>
      </c>
      <c r="G67" s="4">
        <f t="shared" ref="G67:K67" si="34">F50-G50</f>
        <v>0</v>
      </c>
      <c r="H67" s="4">
        <f t="shared" si="34"/>
        <v>0</v>
      </c>
      <c r="I67" s="4" t="e">
        <f t="shared" si="34"/>
        <v>#DIV/0!</v>
      </c>
      <c r="J67" s="4" t="e">
        <f t="shared" si="34"/>
        <v>#DIV/0!</v>
      </c>
      <c r="K67" s="4" t="e">
        <f t="shared" si="34"/>
        <v>#DIV/0!</v>
      </c>
      <c r="L67" s="2"/>
    </row>
    <row r="68" spans="1:16" x14ac:dyDescent="0.25">
      <c r="B68" s="410" t="s">
        <v>47</v>
      </c>
      <c r="C68" s="803"/>
      <c r="D68" s="410">
        <f>SUM(D64:D67)</f>
        <v>0</v>
      </c>
      <c r="E68" s="410">
        <f t="shared" ref="E68:K68" si="35">SUM(E64:E67)</f>
        <v>0</v>
      </c>
      <c r="F68" s="410">
        <f t="shared" si="35"/>
        <v>0</v>
      </c>
      <c r="G68" s="410">
        <f t="shared" si="35"/>
        <v>0</v>
      </c>
      <c r="H68" s="410">
        <f t="shared" si="35"/>
        <v>0</v>
      </c>
      <c r="I68" s="410" t="e">
        <f t="shared" si="35"/>
        <v>#VALUE!</v>
      </c>
      <c r="J68" s="410" t="e">
        <f t="shared" si="35"/>
        <v>#VALUE!</v>
      </c>
      <c r="K68" s="410" t="e">
        <f t="shared" si="35"/>
        <v>#VALUE!</v>
      </c>
      <c r="L68" s="2"/>
    </row>
    <row r="69" spans="1:16" x14ac:dyDescent="0.25">
      <c r="B69" s="6" t="s">
        <v>4</v>
      </c>
      <c r="C69" s="534"/>
      <c r="D69" s="4">
        <f>'BP - Annual'!G86</f>
        <v>0</v>
      </c>
      <c r="E69" s="4">
        <f>'BP - Annual'!H86</f>
        <v>0</v>
      </c>
      <c r="F69" s="4">
        <f>'BP - Annual'!I86</f>
        <v>0</v>
      </c>
      <c r="G69" s="4">
        <f>'BP - Annual'!J86</f>
        <v>0</v>
      </c>
      <c r="H69" s="4">
        <f>'BP - Annual'!K86</f>
        <v>0</v>
      </c>
      <c r="I69" s="788"/>
      <c r="J69" s="788"/>
      <c r="K69" s="788"/>
      <c r="L69" s="6"/>
    </row>
    <row r="70" spans="1:16" x14ac:dyDescent="0.25">
      <c r="B70" s="410" t="s">
        <v>48</v>
      </c>
      <c r="C70" s="803"/>
      <c r="D70" s="410">
        <f>D69</f>
        <v>0</v>
      </c>
      <c r="E70" s="410">
        <f t="shared" ref="E70:K70" si="36">E69</f>
        <v>0</v>
      </c>
      <c r="F70" s="410">
        <f t="shared" si="36"/>
        <v>0</v>
      </c>
      <c r="G70" s="410">
        <f t="shared" si="36"/>
        <v>0</v>
      </c>
      <c r="H70" s="410">
        <f t="shared" si="36"/>
        <v>0</v>
      </c>
      <c r="I70" s="410">
        <f t="shared" si="36"/>
        <v>0</v>
      </c>
      <c r="J70" s="410">
        <f t="shared" si="36"/>
        <v>0</v>
      </c>
      <c r="K70" s="410">
        <f t="shared" si="36"/>
        <v>0</v>
      </c>
      <c r="L70" s="2"/>
    </row>
    <row r="71" spans="1:16" x14ac:dyDescent="0.25">
      <c r="B71" s="6" t="s">
        <v>957</v>
      </c>
      <c r="C71" s="534"/>
      <c r="D71" s="4">
        <f>D107+D105</f>
        <v>0</v>
      </c>
      <c r="E71" s="4">
        <f t="shared" ref="E71:K71" si="37">E107+E105</f>
        <v>0</v>
      </c>
      <c r="F71" s="4">
        <f t="shared" si="37"/>
        <v>0</v>
      </c>
      <c r="G71" s="4">
        <f t="shared" si="37"/>
        <v>0</v>
      </c>
      <c r="H71" s="4">
        <f t="shared" si="37"/>
        <v>0</v>
      </c>
      <c r="I71" s="4">
        <f t="shared" si="37"/>
        <v>0</v>
      </c>
      <c r="J71" s="4">
        <f t="shared" si="37"/>
        <v>0</v>
      </c>
      <c r="K71" s="4">
        <f t="shared" si="37"/>
        <v>0</v>
      </c>
      <c r="L71" s="6"/>
    </row>
    <row r="72" spans="1:16" x14ac:dyDescent="0.25">
      <c r="B72" s="410" t="s">
        <v>958</v>
      </c>
      <c r="C72" s="803"/>
      <c r="D72" s="410">
        <f>D71</f>
        <v>0</v>
      </c>
      <c r="E72" s="410">
        <f t="shared" ref="E72:K72" si="38">E71</f>
        <v>0</v>
      </c>
      <c r="F72" s="410">
        <f>F71</f>
        <v>0</v>
      </c>
      <c r="G72" s="410">
        <f t="shared" si="38"/>
        <v>0</v>
      </c>
      <c r="H72" s="410">
        <f t="shared" si="38"/>
        <v>0</v>
      </c>
      <c r="I72" s="410">
        <f t="shared" si="38"/>
        <v>0</v>
      </c>
      <c r="J72" s="410">
        <f t="shared" si="38"/>
        <v>0</v>
      </c>
      <c r="K72" s="410">
        <f t="shared" si="38"/>
        <v>0</v>
      </c>
      <c r="L72" s="2"/>
    </row>
    <row r="73" spans="1:16" x14ac:dyDescent="0.25">
      <c r="B73" s="750" t="s">
        <v>959</v>
      </c>
      <c r="C73" s="804"/>
      <c r="D73" s="748">
        <f>SUM(D68,D70,D72)</f>
        <v>0</v>
      </c>
      <c r="E73" s="748">
        <f t="shared" ref="E73:J73" si="39">SUM(E68,E70,E72)</f>
        <v>0</v>
      </c>
      <c r="F73" s="748">
        <f>SUM(F68,F70,F72)</f>
        <v>0</v>
      </c>
      <c r="G73" s="748">
        <f t="shared" si="39"/>
        <v>0</v>
      </c>
      <c r="H73" s="748">
        <f t="shared" si="39"/>
        <v>0</v>
      </c>
      <c r="I73" s="748" t="e">
        <f t="shared" si="39"/>
        <v>#VALUE!</v>
      </c>
      <c r="J73" s="748" t="e">
        <f t="shared" si="39"/>
        <v>#VALUE!</v>
      </c>
      <c r="K73" s="748" t="e">
        <f>SUM(K68,K70,K72)</f>
        <v>#VALUE!</v>
      </c>
      <c r="L73" s="2"/>
    </row>
    <row r="75" spans="1:16" outlineLevel="1" x14ac:dyDescent="0.25">
      <c r="A75" s="10">
        <f>SUM(C75:N75)</f>
        <v>0</v>
      </c>
      <c r="B75" s="3" t="s">
        <v>5</v>
      </c>
      <c r="C75" s="20"/>
      <c r="D75" s="8"/>
      <c r="E75" s="8"/>
      <c r="F75" s="8"/>
      <c r="G75" s="8"/>
      <c r="H75" s="8"/>
      <c r="I75" s="8"/>
      <c r="J75" s="8"/>
      <c r="K75" s="8"/>
    </row>
    <row r="77" spans="1:16" x14ac:dyDescent="0.25">
      <c r="B77" s="406" t="str">
        <f>"Debt schedule - "&amp;Historiek!A2</f>
        <v>Debt schedule - Dossier</v>
      </c>
      <c r="C77" s="13"/>
      <c r="D77" s="407"/>
      <c r="E77" s="407"/>
      <c r="F77" s="407"/>
      <c r="G77" s="407"/>
      <c r="H77" s="407"/>
      <c r="I77" s="407"/>
      <c r="J77" s="407"/>
      <c r="K77" s="407"/>
      <c r="L77" s="407"/>
      <c r="M77" s="407"/>
    </row>
    <row r="78" spans="1:16" x14ac:dyDescent="0.25">
      <c r="B78" s="738" t="str">
        <f>'BP - Annual'!C4</f>
        <v>k€</v>
      </c>
      <c r="C78" s="743" t="str">
        <f>'BP - Annual'!F4</f>
        <v>FY23</v>
      </c>
      <c r="D78" s="741" t="str">
        <f>'BP - Annual'!G4</f>
        <v>FY24</v>
      </c>
      <c r="E78" s="741" t="str">
        <f>'BP - Annual'!H4</f>
        <v>FY25</v>
      </c>
      <c r="F78" s="741" t="str">
        <f>'BP - Annual'!I4</f>
        <v>FY26</v>
      </c>
      <c r="G78" s="741" t="str">
        <f>'BP - Annual'!J4</f>
        <v>FY27</v>
      </c>
      <c r="H78" s="741" t="str">
        <f>'BP - Annual'!K4</f>
        <v>FY28</v>
      </c>
      <c r="I78" s="741" t="str">
        <f>"FY"&amp;RIGHT(H78,2)+1</f>
        <v>FY29</v>
      </c>
      <c r="J78" s="741" t="str">
        <f>"FY"&amp;RIGHT(I78,2)+1</f>
        <v>FY30</v>
      </c>
      <c r="K78" s="741" t="str">
        <f t="shared" ref="K78" si="40">"FY"&amp;RIGHT(J78,2)+1</f>
        <v>FY31</v>
      </c>
      <c r="L78" s="2"/>
    </row>
    <row r="79" spans="1:16" x14ac:dyDescent="0.25">
      <c r="B79" s="406" t="s">
        <v>942</v>
      </c>
    </row>
    <row r="80" spans="1:16" x14ac:dyDescent="0.25">
      <c r="B80" s="518" t="s">
        <v>961</v>
      </c>
      <c r="E80" s="413">
        <f>D82</f>
        <v>0</v>
      </c>
      <c r="F80" s="413">
        <f t="shared" ref="F80:K80" si="41">E82</f>
        <v>0</v>
      </c>
      <c r="G80" s="413">
        <f t="shared" si="41"/>
        <v>0</v>
      </c>
      <c r="H80" s="413">
        <f t="shared" si="41"/>
        <v>0</v>
      </c>
      <c r="I80" s="413">
        <f t="shared" si="41"/>
        <v>0</v>
      </c>
      <c r="J80" s="413">
        <f t="shared" si="41"/>
        <v>0</v>
      </c>
      <c r="K80" s="413">
        <f t="shared" si="41"/>
        <v>0</v>
      </c>
      <c r="O80" s="527" t="s">
        <v>960</v>
      </c>
      <c r="P80" s="528">
        <f>P17</f>
        <v>0</v>
      </c>
    </row>
    <row r="81" spans="2:16" x14ac:dyDescent="0.25">
      <c r="B81" s="518" t="s">
        <v>963</v>
      </c>
      <c r="E81" s="413">
        <f>-E80/P81</f>
        <v>0</v>
      </c>
      <c r="F81" s="413">
        <f>E81</f>
        <v>0</v>
      </c>
      <c r="G81" s="413">
        <f t="shared" ref="G81:K81" si="42">F81</f>
        <v>0</v>
      </c>
      <c r="H81" s="413">
        <f t="shared" si="42"/>
        <v>0</v>
      </c>
      <c r="I81" s="413">
        <f t="shared" si="42"/>
        <v>0</v>
      </c>
      <c r="J81" s="413">
        <f t="shared" si="42"/>
        <v>0</v>
      </c>
      <c r="K81" s="413">
        <f t="shared" si="42"/>
        <v>0</v>
      </c>
      <c r="O81" s="529" t="s">
        <v>962</v>
      </c>
      <c r="P81" s="535">
        <v>7</v>
      </c>
    </row>
    <row r="82" spans="2:16" x14ac:dyDescent="0.25">
      <c r="B82" s="518" t="s">
        <v>965</v>
      </c>
      <c r="D82" s="413">
        <f>P80</f>
        <v>0</v>
      </c>
      <c r="E82" s="413">
        <f>SUM(E80:E81)</f>
        <v>0</v>
      </c>
      <c r="F82" s="413">
        <f t="shared" ref="F82:K82" si="43">SUM(F80:F81)</f>
        <v>0</v>
      </c>
      <c r="G82" s="413">
        <f t="shared" si="43"/>
        <v>0</v>
      </c>
      <c r="H82" s="413">
        <f t="shared" si="43"/>
        <v>0</v>
      </c>
      <c r="I82" s="413">
        <f t="shared" si="43"/>
        <v>0</v>
      </c>
      <c r="J82" s="413">
        <f t="shared" si="43"/>
        <v>0</v>
      </c>
      <c r="K82" s="413">
        <f t="shared" si="43"/>
        <v>0</v>
      </c>
      <c r="O82" s="536" t="s">
        <v>964</v>
      </c>
      <c r="P82" s="537">
        <v>0.05</v>
      </c>
    </row>
    <row r="83" spans="2:16" x14ac:dyDescent="0.25">
      <c r="B83" s="518" t="s">
        <v>966</v>
      </c>
      <c r="D83" s="413">
        <f>-D82*$P$82/2</f>
        <v>0</v>
      </c>
      <c r="E83" s="413">
        <f t="shared" ref="E83:K83" si="44">AVERAGE(E80,E82)*-$P$82</f>
        <v>0</v>
      </c>
      <c r="F83" s="413">
        <f t="shared" si="44"/>
        <v>0</v>
      </c>
      <c r="G83" s="413">
        <f t="shared" si="44"/>
        <v>0</v>
      </c>
      <c r="H83" s="413">
        <f t="shared" si="44"/>
        <v>0</v>
      </c>
      <c r="I83" s="413">
        <f t="shared" si="44"/>
        <v>0</v>
      </c>
      <c r="J83" s="413">
        <f t="shared" si="44"/>
        <v>0</v>
      </c>
      <c r="K83" s="413">
        <f t="shared" si="44"/>
        <v>0</v>
      </c>
    </row>
    <row r="85" spans="2:16" x14ac:dyDescent="0.25">
      <c r="B85" s="406" t="s">
        <v>943</v>
      </c>
    </row>
    <row r="86" spans="2:16" x14ac:dyDescent="0.25">
      <c r="B86" s="518" t="s">
        <v>961</v>
      </c>
      <c r="E86" s="413">
        <f>D88</f>
        <v>0</v>
      </c>
      <c r="F86" s="413">
        <f t="shared" ref="F86:K86" si="45">E88</f>
        <v>0</v>
      </c>
      <c r="G86" s="413">
        <f t="shared" si="45"/>
        <v>0</v>
      </c>
      <c r="H86" s="413">
        <f t="shared" si="45"/>
        <v>0</v>
      </c>
      <c r="I86" s="413">
        <f t="shared" si="45"/>
        <v>0</v>
      </c>
      <c r="J86" s="413">
        <f t="shared" si="45"/>
        <v>0</v>
      </c>
      <c r="K86" s="413">
        <f t="shared" si="45"/>
        <v>0</v>
      </c>
      <c r="O86" s="527" t="s">
        <v>960</v>
      </c>
      <c r="P86" s="528">
        <f>P18</f>
        <v>0</v>
      </c>
    </row>
    <row r="87" spans="2:16" x14ac:dyDescent="0.25">
      <c r="B87" s="518" t="s">
        <v>963</v>
      </c>
      <c r="E87" s="518">
        <v>0</v>
      </c>
      <c r="F87" s="518">
        <v>0</v>
      </c>
      <c r="G87" s="518">
        <v>0</v>
      </c>
      <c r="H87" s="518">
        <v>0</v>
      </c>
      <c r="I87" s="518">
        <v>0</v>
      </c>
      <c r="J87" s="518">
        <v>0</v>
      </c>
      <c r="K87" s="413">
        <f>-K86</f>
        <v>0</v>
      </c>
      <c r="O87" s="529" t="s">
        <v>962</v>
      </c>
      <c r="P87" s="535">
        <v>7</v>
      </c>
    </row>
    <row r="88" spans="2:16" x14ac:dyDescent="0.25">
      <c r="B88" s="518" t="s">
        <v>965</v>
      </c>
      <c r="D88" s="413">
        <f>P86</f>
        <v>0</v>
      </c>
      <c r="E88" s="413">
        <f>SUM(E86:E87)</f>
        <v>0</v>
      </c>
      <c r="F88" s="413">
        <f t="shared" ref="F88:K88" si="46">SUM(F86:F87)</f>
        <v>0</v>
      </c>
      <c r="G88" s="413">
        <f t="shared" si="46"/>
        <v>0</v>
      </c>
      <c r="H88" s="413">
        <f t="shared" si="46"/>
        <v>0</v>
      </c>
      <c r="I88" s="413">
        <f t="shared" si="46"/>
        <v>0</v>
      </c>
      <c r="J88" s="413">
        <f t="shared" si="46"/>
        <v>0</v>
      </c>
      <c r="K88" s="413">
        <f t="shared" si="46"/>
        <v>0</v>
      </c>
      <c r="O88" s="536" t="s">
        <v>964</v>
      </c>
      <c r="P88" s="537">
        <v>5.5E-2</v>
      </c>
    </row>
    <row r="89" spans="2:16" x14ac:dyDescent="0.25">
      <c r="B89" s="518" t="s">
        <v>966</v>
      </c>
      <c r="D89" s="413">
        <f>-D88*$P$88/2</f>
        <v>0</v>
      </c>
      <c r="E89" s="413">
        <f t="shared" ref="E89:K89" si="47">AVERAGE(E86,E88)*-$P$88</f>
        <v>0</v>
      </c>
      <c r="F89" s="413">
        <f t="shared" si="47"/>
        <v>0</v>
      </c>
      <c r="G89" s="413">
        <f t="shared" si="47"/>
        <v>0</v>
      </c>
      <c r="H89" s="413">
        <f t="shared" si="47"/>
        <v>0</v>
      </c>
      <c r="I89" s="413">
        <f t="shared" si="47"/>
        <v>0</v>
      </c>
      <c r="J89" s="413">
        <f t="shared" si="47"/>
        <v>0</v>
      </c>
      <c r="K89" s="413">
        <f t="shared" si="47"/>
        <v>0</v>
      </c>
    </row>
    <row r="91" spans="2:16" x14ac:dyDescent="0.25">
      <c r="B91" s="518" t="s">
        <v>967</v>
      </c>
      <c r="E91" s="413">
        <f>D93</f>
        <v>0</v>
      </c>
      <c r="F91" s="413">
        <f t="shared" ref="F91:K91" si="48">E93</f>
        <v>0</v>
      </c>
      <c r="G91" s="413">
        <f t="shared" si="48"/>
        <v>0</v>
      </c>
      <c r="H91" s="413">
        <f t="shared" si="48"/>
        <v>0</v>
      </c>
      <c r="I91" s="413">
        <f t="shared" si="48"/>
        <v>0</v>
      </c>
      <c r="J91" s="413">
        <f t="shared" si="48"/>
        <v>0</v>
      </c>
      <c r="K91" s="413">
        <f t="shared" si="48"/>
        <v>0</v>
      </c>
    </row>
    <row r="92" spans="2:16" x14ac:dyDescent="0.25">
      <c r="B92" s="518" t="s">
        <v>968</v>
      </c>
      <c r="E92" s="413">
        <f>E81+E87</f>
        <v>0</v>
      </c>
      <c r="F92" s="413">
        <f t="shared" ref="F92:K92" si="49">F81+F87</f>
        <v>0</v>
      </c>
      <c r="G92" s="413">
        <f t="shared" si="49"/>
        <v>0</v>
      </c>
      <c r="H92" s="413">
        <f t="shared" si="49"/>
        <v>0</v>
      </c>
      <c r="I92" s="413">
        <f t="shared" si="49"/>
        <v>0</v>
      </c>
      <c r="J92" s="413">
        <f t="shared" si="49"/>
        <v>0</v>
      </c>
      <c r="K92" s="413">
        <f t="shared" si="49"/>
        <v>0</v>
      </c>
    </row>
    <row r="93" spans="2:16" x14ac:dyDescent="0.25">
      <c r="B93" s="406" t="s">
        <v>969</v>
      </c>
      <c r="C93" s="805"/>
      <c r="D93" s="410">
        <f>SUM(D82,D88)</f>
        <v>0</v>
      </c>
      <c r="E93" s="410">
        <f>E91+E92</f>
        <v>0</v>
      </c>
      <c r="F93" s="410">
        <f t="shared" ref="F93:K93" si="50">F91+F92</f>
        <v>0</v>
      </c>
      <c r="G93" s="410">
        <f t="shared" si="50"/>
        <v>0</v>
      </c>
      <c r="H93" s="410">
        <f t="shared" si="50"/>
        <v>0</v>
      </c>
      <c r="I93" s="410">
        <f t="shared" si="50"/>
        <v>0</v>
      </c>
      <c r="J93" s="410">
        <f t="shared" si="50"/>
        <v>0</v>
      </c>
      <c r="K93" s="410">
        <f t="shared" si="50"/>
        <v>0</v>
      </c>
    </row>
    <row r="94" spans="2:16" x14ac:dyDescent="0.25">
      <c r="B94" s="518" t="s">
        <v>970</v>
      </c>
      <c r="D94" s="413">
        <f>SUM(D83,D89)</f>
        <v>0</v>
      </c>
      <c r="E94" s="413">
        <f>SUM(E83,E89)</f>
        <v>0</v>
      </c>
      <c r="F94" s="413">
        <f>SUM(F83,F89)</f>
        <v>0</v>
      </c>
      <c r="G94" s="413">
        <f>SUM(G83,G89)</f>
        <v>0</v>
      </c>
      <c r="H94" s="413">
        <f t="shared" ref="H94:K94" si="51">SUM(H83,H89)</f>
        <v>0</v>
      </c>
      <c r="I94" s="413">
        <f t="shared" si="51"/>
        <v>0</v>
      </c>
      <c r="J94" s="413">
        <f t="shared" si="51"/>
        <v>0</v>
      </c>
      <c r="K94" s="413">
        <f t="shared" si="51"/>
        <v>0</v>
      </c>
    </row>
    <row r="95" spans="2:16" x14ac:dyDescent="0.25">
      <c r="B95" s="796" t="s">
        <v>985</v>
      </c>
      <c r="D95" s="791" t="e">
        <f>(D93)/D34</f>
        <v>#DIV/0!</v>
      </c>
      <c r="E95" s="791" t="e">
        <f t="shared" ref="E95:K95" si="52">(E93)/E34</f>
        <v>#DIV/0!</v>
      </c>
      <c r="F95" s="791" t="e">
        <f t="shared" si="52"/>
        <v>#DIV/0!</v>
      </c>
      <c r="G95" s="791" t="e">
        <f t="shared" si="52"/>
        <v>#DIV/0!</v>
      </c>
      <c r="H95" s="791" t="e">
        <f t="shared" si="52"/>
        <v>#DIV/0!</v>
      </c>
      <c r="I95" s="791" t="e">
        <f t="shared" si="52"/>
        <v>#VALUE!</v>
      </c>
      <c r="J95" s="791" t="e">
        <f t="shared" si="52"/>
        <v>#VALUE!</v>
      </c>
      <c r="K95" s="791" t="e">
        <f t="shared" si="52"/>
        <v>#VALUE!</v>
      </c>
    </row>
    <row r="96" spans="2:16" x14ac:dyDescent="0.25">
      <c r="B96" s="796" t="s">
        <v>972</v>
      </c>
      <c r="D96" s="791" t="e">
        <f t="shared" ref="D96:K96" si="53">D34/-D94</f>
        <v>#DIV/0!</v>
      </c>
      <c r="E96" s="791" t="e">
        <f t="shared" si="53"/>
        <v>#DIV/0!</v>
      </c>
      <c r="F96" s="791" t="e">
        <f t="shared" si="53"/>
        <v>#DIV/0!</v>
      </c>
      <c r="G96" s="791" t="e">
        <f t="shared" si="53"/>
        <v>#DIV/0!</v>
      </c>
      <c r="H96" s="791" t="e">
        <f t="shared" si="53"/>
        <v>#DIV/0!</v>
      </c>
      <c r="I96" s="791" t="e">
        <f t="shared" si="53"/>
        <v>#VALUE!</v>
      </c>
      <c r="J96" s="791" t="e">
        <f t="shared" si="53"/>
        <v>#VALUE!</v>
      </c>
      <c r="K96" s="791" t="e">
        <f t="shared" si="53"/>
        <v>#VALUE!</v>
      </c>
    </row>
    <row r="98" spans="2:16" x14ac:dyDescent="0.25">
      <c r="B98" s="406" t="s">
        <v>944</v>
      </c>
    </row>
    <row r="99" spans="2:16" x14ac:dyDescent="0.25">
      <c r="B99" s="518" t="s">
        <v>961</v>
      </c>
      <c r="E99" s="413">
        <f>D101</f>
        <v>0</v>
      </c>
      <c r="F99" s="413">
        <f t="shared" ref="F99:K99" si="54">E101</f>
        <v>0</v>
      </c>
      <c r="G99" s="413">
        <f t="shared" si="54"/>
        <v>0</v>
      </c>
      <c r="H99" s="413">
        <f t="shared" si="54"/>
        <v>0</v>
      </c>
      <c r="I99" s="413">
        <f t="shared" si="54"/>
        <v>0</v>
      </c>
      <c r="J99" s="413">
        <f t="shared" si="54"/>
        <v>0</v>
      </c>
      <c r="K99" s="413">
        <f t="shared" si="54"/>
        <v>0</v>
      </c>
      <c r="O99" s="527" t="s">
        <v>960</v>
      </c>
      <c r="P99" s="528">
        <f>P19</f>
        <v>0</v>
      </c>
    </row>
    <row r="100" spans="2:16" x14ac:dyDescent="0.25">
      <c r="B100" s="518" t="s">
        <v>963</v>
      </c>
      <c r="E100" s="518">
        <v>0</v>
      </c>
      <c r="F100" s="518">
        <v>0</v>
      </c>
      <c r="G100" s="518">
        <v>0</v>
      </c>
      <c r="H100" s="518">
        <v>0</v>
      </c>
      <c r="I100" s="518">
        <v>0</v>
      </c>
      <c r="J100" s="518">
        <v>0</v>
      </c>
      <c r="K100" s="413">
        <f>-K99</f>
        <v>0</v>
      </c>
      <c r="O100" s="529" t="s">
        <v>962</v>
      </c>
      <c r="P100" s="535">
        <v>7</v>
      </c>
    </row>
    <row r="101" spans="2:16" x14ac:dyDescent="0.25">
      <c r="B101" s="518" t="s">
        <v>965</v>
      </c>
      <c r="D101" s="413">
        <f>P99</f>
        <v>0</v>
      </c>
      <c r="E101" s="413">
        <f>SUM(E99:E100)</f>
        <v>0</v>
      </c>
      <c r="F101" s="413">
        <f t="shared" ref="F101:K101" si="55">SUM(F99:F100)</f>
        <v>0</v>
      </c>
      <c r="G101" s="413">
        <f t="shared" si="55"/>
        <v>0</v>
      </c>
      <c r="H101" s="413">
        <f t="shared" si="55"/>
        <v>0</v>
      </c>
      <c r="I101" s="413">
        <f t="shared" si="55"/>
        <v>0</v>
      </c>
      <c r="J101" s="413">
        <f t="shared" si="55"/>
        <v>0</v>
      </c>
      <c r="K101" s="413">
        <f t="shared" si="55"/>
        <v>0</v>
      </c>
      <c r="O101" s="536" t="s">
        <v>964</v>
      </c>
      <c r="P101" s="537">
        <v>7.4999999999999997E-2</v>
      </c>
    </row>
    <row r="102" spans="2:16" x14ac:dyDescent="0.25">
      <c r="B102" s="518" t="s">
        <v>966</v>
      </c>
      <c r="D102" s="413">
        <f>-D101*$P$101/2</f>
        <v>0</v>
      </c>
      <c r="E102" s="413">
        <f t="shared" ref="E102:K102" si="56">AVERAGE(E99,E101)*-$P$101</f>
        <v>0</v>
      </c>
      <c r="F102" s="413">
        <f t="shared" si="56"/>
        <v>0</v>
      </c>
      <c r="G102" s="413">
        <f t="shared" si="56"/>
        <v>0</v>
      </c>
      <c r="H102" s="413">
        <f t="shared" si="56"/>
        <v>0</v>
      </c>
      <c r="I102" s="413">
        <f t="shared" si="56"/>
        <v>0</v>
      </c>
      <c r="J102" s="413">
        <f t="shared" si="56"/>
        <v>0</v>
      </c>
      <c r="K102" s="413">
        <f t="shared" si="56"/>
        <v>0</v>
      </c>
    </row>
    <row r="104" spans="2:16" x14ac:dyDescent="0.25">
      <c r="B104" s="518" t="s">
        <v>973</v>
      </c>
      <c r="E104" s="413">
        <f>D106</f>
        <v>0</v>
      </c>
      <c r="F104" s="413">
        <f t="shared" ref="F104:K104" si="57">E106</f>
        <v>0</v>
      </c>
      <c r="G104" s="413">
        <f t="shared" si="57"/>
        <v>0</v>
      </c>
      <c r="H104" s="413">
        <f t="shared" si="57"/>
        <v>0</v>
      </c>
      <c r="I104" s="413">
        <f t="shared" si="57"/>
        <v>0</v>
      </c>
      <c r="J104" s="413">
        <f t="shared" si="57"/>
        <v>0</v>
      </c>
      <c r="K104" s="413">
        <f t="shared" si="57"/>
        <v>0</v>
      </c>
    </row>
    <row r="105" spans="2:16" x14ac:dyDescent="0.25">
      <c r="B105" s="518" t="s">
        <v>968</v>
      </c>
      <c r="E105" s="413">
        <f>SUM(E92,E100)</f>
        <v>0</v>
      </c>
      <c r="F105" s="413">
        <f t="shared" ref="F105:K105" si="58">SUM(F92,F100)</f>
        <v>0</v>
      </c>
      <c r="G105" s="413">
        <f t="shared" si="58"/>
        <v>0</v>
      </c>
      <c r="H105" s="413">
        <f t="shared" si="58"/>
        <v>0</v>
      </c>
      <c r="I105" s="413">
        <f t="shared" si="58"/>
        <v>0</v>
      </c>
      <c r="J105" s="413">
        <f t="shared" si="58"/>
        <v>0</v>
      </c>
      <c r="K105" s="413">
        <f t="shared" si="58"/>
        <v>0</v>
      </c>
    </row>
    <row r="106" spans="2:16" x14ac:dyDescent="0.25">
      <c r="B106" s="406" t="s">
        <v>986</v>
      </c>
      <c r="C106" s="805"/>
      <c r="D106" s="410">
        <f>SUM(D93,D101)</f>
        <v>0</v>
      </c>
      <c r="E106" s="410">
        <f>E104+E105</f>
        <v>0</v>
      </c>
      <c r="F106" s="410">
        <f t="shared" ref="F106:K106" si="59">F104+F105</f>
        <v>0</v>
      </c>
      <c r="G106" s="410">
        <f t="shared" si="59"/>
        <v>0</v>
      </c>
      <c r="H106" s="410">
        <f t="shared" si="59"/>
        <v>0</v>
      </c>
      <c r="I106" s="410">
        <f t="shared" si="59"/>
        <v>0</v>
      </c>
      <c r="J106" s="410">
        <f t="shared" si="59"/>
        <v>0</v>
      </c>
      <c r="K106" s="410">
        <f t="shared" si="59"/>
        <v>0</v>
      </c>
    </row>
    <row r="107" spans="2:16" x14ac:dyDescent="0.25">
      <c r="B107" s="518" t="s">
        <v>974</v>
      </c>
      <c r="D107" s="413">
        <f>SUM(D94,D102)</f>
        <v>0</v>
      </c>
      <c r="E107" s="413">
        <f>SUM(E94,E102)</f>
        <v>0</v>
      </c>
      <c r="F107" s="413">
        <f t="shared" ref="F107:K107" si="60">SUM(F94,F102)</f>
        <v>0</v>
      </c>
      <c r="G107" s="413">
        <f t="shared" si="60"/>
        <v>0</v>
      </c>
      <c r="H107" s="413">
        <f t="shared" si="60"/>
        <v>0</v>
      </c>
      <c r="I107" s="413">
        <f t="shared" si="60"/>
        <v>0</v>
      </c>
      <c r="J107" s="413">
        <f t="shared" si="60"/>
        <v>0</v>
      </c>
      <c r="K107" s="413">
        <f t="shared" si="60"/>
        <v>0</v>
      </c>
    </row>
    <row r="108" spans="2:16" x14ac:dyDescent="0.25">
      <c r="B108" s="796" t="s">
        <v>987</v>
      </c>
      <c r="D108" s="791" t="e">
        <f>(D106)/D34</f>
        <v>#DIV/0!</v>
      </c>
      <c r="E108" s="791" t="e">
        <f t="shared" ref="E108:K108" si="61">(E106)/E34</f>
        <v>#DIV/0!</v>
      </c>
      <c r="F108" s="791" t="e">
        <f t="shared" si="61"/>
        <v>#DIV/0!</v>
      </c>
      <c r="G108" s="791" t="e">
        <f t="shared" si="61"/>
        <v>#DIV/0!</v>
      </c>
      <c r="H108" s="791" t="e">
        <f t="shared" si="61"/>
        <v>#DIV/0!</v>
      </c>
      <c r="I108" s="791" t="e">
        <f t="shared" si="61"/>
        <v>#VALUE!</v>
      </c>
      <c r="J108" s="791" t="e">
        <f t="shared" si="61"/>
        <v>#VALUE!</v>
      </c>
      <c r="K108" s="791" t="e">
        <f t="shared" si="61"/>
        <v>#VALUE!</v>
      </c>
    </row>
    <row r="109" spans="2:16" x14ac:dyDescent="0.25">
      <c r="B109" s="796" t="s">
        <v>971</v>
      </c>
      <c r="D109" s="791" t="e">
        <f>(D106-D53)/D34</f>
        <v>#DIV/0!</v>
      </c>
      <c r="E109" s="791" t="e">
        <f t="shared" ref="E109:K109" si="62">(E106-E53)/E34</f>
        <v>#DIV/0!</v>
      </c>
      <c r="F109" s="791" t="e">
        <f t="shared" si="62"/>
        <v>#DIV/0!</v>
      </c>
      <c r="G109" s="791" t="e">
        <f t="shared" si="62"/>
        <v>#DIV/0!</v>
      </c>
      <c r="H109" s="791" t="e">
        <f t="shared" si="62"/>
        <v>#DIV/0!</v>
      </c>
      <c r="I109" s="791" t="e">
        <f t="shared" si="62"/>
        <v>#VALUE!</v>
      </c>
      <c r="J109" s="791" t="e">
        <f t="shared" si="62"/>
        <v>#VALUE!</v>
      </c>
      <c r="K109" s="791" t="e">
        <f t="shared" si="62"/>
        <v>#VALUE!</v>
      </c>
    </row>
    <row r="110" spans="2:16" x14ac:dyDescent="0.25">
      <c r="B110" s="796" t="s">
        <v>972</v>
      </c>
      <c r="D110" s="791" t="e">
        <f t="shared" ref="D110:K110" si="63">D34/-D107</f>
        <v>#DIV/0!</v>
      </c>
      <c r="E110" s="791" t="e">
        <f t="shared" si="63"/>
        <v>#DIV/0!</v>
      </c>
      <c r="F110" s="791" t="e">
        <f t="shared" si="63"/>
        <v>#DIV/0!</v>
      </c>
      <c r="G110" s="791" t="e">
        <f t="shared" si="63"/>
        <v>#DIV/0!</v>
      </c>
      <c r="H110" s="791" t="e">
        <f t="shared" si="63"/>
        <v>#DIV/0!</v>
      </c>
      <c r="I110" s="791" t="e">
        <f t="shared" si="63"/>
        <v>#VALUE!</v>
      </c>
      <c r="J110" s="791" t="e">
        <f t="shared" si="63"/>
        <v>#VALUE!</v>
      </c>
      <c r="K110" s="791" t="e">
        <f t="shared" si="63"/>
        <v>#VALUE!</v>
      </c>
    </row>
    <row r="111" spans="2:16" x14ac:dyDescent="0.25">
      <c r="B111" s="796" t="s">
        <v>975</v>
      </c>
      <c r="D111" s="791" t="e">
        <f>D34/-SUM(D105,D107)</f>
        <v>#DIV/0!</v>
      </c>
      <c r="E111" s="791" t="e">
        <f t="shared" ref="E111:K111" si="64">E34/-SUM(E105,E107)</f>
        <v>#DIV/0!</v>
      </c>
      <c r="F111" s="791" t="e">
        <f t="shared" si="64"/>
        <v>#DIV/0!</v>
      </c>
      <c r="G111" s="791" t="e">
        <f t="shared" si="64"/>
        <v>#DIV/0!</v>
      </c>
      <c r="H111" s="791" t="e">
        <f t="shared" si="64"/>
        <v>#DIV/0!</v>
      </c>
      <c r="I111" s="791" t="e">
        <f t="shared" si="64"/>
        <v>#VALUE!</v>
      </c>
      <c r="J111" s="791" t="e">
        <f t="shared" si="64"/>
        <v>#VALUE!</v>
      </c>
      <c r="K111" s="791" t="e">
        <f t="shared" si="64"/>
        <v>#VALUE!</v>
      </c>
    </row>
    <row r="114" spans="2:11" x14ac:dyDescent="0.25">
      <c r="B114" s="406" t="str">
        <f>"Exit &amp; returns - "&amp;Historiek!A2</f>
        <v>Exit &amp; returns - Dossier</v>
      </c>
      <c r="C114" s="13"/>
      <c r="D114" s="407"/>
      <c r="E114" s="407"/>
      <c r="F114" s="407"/>
      <c r="G114" s="407"/>
      <c r="H114" s="407"/>
      <c r="I114" s="407"/>
      <c r="J114" s="407"/>
      <c r="K114" s="407"/>
    </row>
    <row r="115" spans="2:11" x14ac:dyDescent="0.25">
      <c r="B115" s="738" t="str">
        <f>'BP - Annual'!C4</f>
        <v>k€</v>
      </c>
      <c r="C115" s="743" t="str">
        <f>'BP - Annual'!F4</f>
        <v>FY23</v>
      </c>
      <c r="D115" s="741" t="str">
        <f>'BP - Annual'!G4</f>
        <v>FY24</v>
      </c>
      <c r="E115" s="741" t="str">
        <f>'BP - Annual'!H4</f>
        <v>FY25</v>
      </c>
      <c r="F115" s="741" t="str">
        <f>'BP - Annual'!I4</f>
        <v>FY26</v>
      </c>
      <c r="G115" s="741" t="str">
        <f>'BP - Annual'!J4</f>
        <v>FY27</v>
      </c>
      <c r="H115" s="741" t="str">
        <f>'BP - Annual'!K4</f>
        <v>FY28</v>
      </c>
      <c r="I115" s="741" t="str">
        <f>"FY"&amp;RIGHT(H115,2)+1</f>
        <v>FY29</v>
      </c>
      <c r="J115" s="741" t="str">
        <f>"FY"&amp;RIGHT(I115,2)+1</f>
        <v>FY30</v>
      </c>
      <c r="K115" s="741" t="str">
        <f t="shared" ref="K115" si="65">"FY"&amp;RIGHT(J115,2)+1</f>
        <v>FY31</v>
      </c>
    </row>
    <row r="116" spans="2:11" x14ac:dyDescent="0.25">
      <c r="B116" s="16" t="s">
        <v>0</v>
      </c>
      <c r="C116" s="533"/>
      <c r="D116" s="16">
        <f>D64</f>
        <v>0</v>
      </c>
      <c r="E116" s="16">
        <f t="shared" ref="E116:K116" si="66">E64</f>
        <v>0</v>
      </c>
      <c r="F116" s="16">
        <f t="shared" si="66"/>
        <v>0</v>
      </c>
      <c r="G116" s="16">
        <f t="shared" si="66"/>
        <v>0</v>
      </c>
      <c r="H116" s="16">
        <f t="shared" si="66"/>
        <v>0</v>
      </c>
      <c r="I116" s="16" t="e">
        <f t="shared" si="66"/>
        <v>#VALUE!</v>
      </c>
      <c r="J116" s="16" t="e">
        <f t="shared" si="66"/>
        <v>#VALUE!</v>
      </c>
      <c r="K116" s="16" t="e">
        <f t="shared" si="66"/>
        <v>#VALUE!</v>
      </c>
    </row>
    <row r="117" spans="2:11" x14ac:dyDescent="0.25">
      <c r="B117" s="518" t="s">
        <v>976</v>
      </c>
      <c r="D117" s="797">
        <f>C5</f>
        <v>0</v>
      </c>
      <c r="E117" s="530">
        <f>D117</f>
        <v>0</v>
      </c>
      <c r="F117" s="530">
        <f t="shared" ref="F117:K117" si="67">E117</f>
        <v>0</v>
      </c>
      <c r="G117" s="530">
        <f t="shared" si="67"/>
        <v>0</v>
      </c>
      <c r="H117" s="530">
        <f t="shared" si="67"/>
        <v>0</v>
      </c>
      <c r="I117" s="530">
        <f t="shared" si="67"/>
        <v>0</v>
      </c>
      <c r="J117" s="530">
        <f t="shared" si="67"/>
        <v>0</v>
      </c>
      <c r="K117" s="530">
        <f t="shared" si="67"/>
        <v>0</v>
      </c>
    </row>
    <row r="118" spans="2:11" x14ac:dyDescent="0.25">
      <c r="B118" s="406" t="s">
        <v>123</v>
      </c>
      <c r="D118" s="16">
        <f>D116*D117</f>
        <v>0</v>
      </c>
      <c r="E118" s="16">
        <f t="shared" ref="E118:K118" si="68">E116*E117</f>
        <v>0</v>
      </c>
      <c r="F118" s="16">
        <f t="shared" si="68"/>
        <v>0</v>
      </c>
      <c r="G118" s="16">
        <f t="shared" si="68"/>
        <v>0</v>
      </c>
      <c r="H118" s="16">
        <f t="shared" si="68"/>
        <v>0</v>
      </c>
      <c r="I118" s="16" t="e">
        <f t="shared" si="68"/>
        <v>#VALUE!</v>
      </c>
      <c r="J118" s="16" t="e">
        <f t="shared" si="68"/>
        <v>#VALUE!</v>
      </c>
      <c r="K118" s="16" t="e">
        <f t="shared" si="68"/>
        <v>#VALUE!</v>
      </c>
    </row>
    <row r="119" spans="2:11" x14ac:dyDescent="0.25">
      <c r="B119" s="518" t="s">
        <v>988</v>
      </c>
      <c r="D119" s="413">
        <f>-D106</f>
        <v>0</v>
      </c>
      <c r="E119" s="413">
        <f t="shared" ref="E119:K119" si="69">-E106</f>
        <v>0</v>
      </c>
      <c r="F119" s="413">
        <f t="shared" si="69"/>
        <v>0</v>
      </c>
      <c r="G119" s="413">
        <f t="shared" si="69"/>
        <v>0</v>
      </c>
      <c r="H119" s="413">
        <f t="shared" si="69"/>
        <v>0</v>
      </c>
      <c r="I119" s="413">
        <f t="shared" si="69"/>
        <v>0</v>
      </c>
      <c r="J119" s="413">
        <f t="shared" si="69"/>
        <v>0</v>
      </c>
      <c r="K119" s="413">
        <f t="shared" si="69"/>
        <v>0</v>
      </c>
    </row>
    <row r="120" spans="2:11" x14ac:dyDescent="0.25">
      <c r="B120" s="518" t="s">
        <v>953</v>
      </c>
      <c r="D120" s="413">
        <f>D53</f>
        <v>0</v>
      </c>
      <c r="E120" s="413">
        <f t="shared" ref="E120:K120" si="70">E53</f>
        <v>0</v>
      </c>
      <c r="F120" s="413">
        <f t="shared" si="70"/>
        <v>0</v>
      </c>
      <c r="G120" s="413">
        <f t="shared" si="70"/>
        <v>0</v>
      </c>
      <c r="H120" s="413">
        <f t="shared" si="70"/>
        <v>0</v>
      </c>
      <c r="I120" s="413" t="e">
        <f t="shared" si="70"/>
        <v>#VALUE!</v>
      </c>
      <c r="J120" s="413" t="e">
        <f t="shared" si="70"/>
        <v>#VALUE!</v>
      </c>
      <c r="K120" s="413" t="e">
        <f t="shared" si="70"/>
        <v>#VALUE!</v>
      </c>
    </row>
    <row r="121" spans="2:11" x14ac:dyDescent="0.25">
      <c r="B121" s="406" t="s">
        <v>124</v>
      </c>
      <c r="D121" s="410">
        <f>SUM(D118:D120)</f>
        <v>0</v>
      </c>
      <c r="E121" s="410">
        <f t="shared" ref="E121:K121" si="71">SUM(E118:E120)</f>
        <v>0</v>
      </c>
      <c r="F121" s="410">
        <f t="shared" si="71"/>
        <v>0</v>
      </c>
      <c r="G121" s="410">
        <f t="shared" si="71"/>
        <v>0</v>
      </c>
      <c r="H121" s="410">
        <f t="shared" si="71"/>
        <v>0</v>
      </c>
      <c r="I121" s="410" t="e">
        <f t="shared" si="71"/>
        <v>#VALUE!</v>
      </c>
      <c r="J121" s="410" t="e">
        <f t="shared" si="71"/>
        <v>#VALUE!</v>
      </c>
      <c r="K121" s="410" t="e">
        <f t="shared" si="71"/>
        <v>#VALUE!</v>
      </c>
    </row>
    <row r="123" spans="2:11" x14ac:dyDescent="0.25">
      <c r="B123" s="2" t="s">
        <v>935</v>
      </c>
      <c r="C123" s="806">
        <f>N13</f>
        <v>0.35</v>
      </c>
      <c r="D123" s="413">
        <f>$C123*D$121</f>
        <v>0</v>
      </c>
      <c r="E123" s="413">
        <f t="shared" ref="E123:K125" si="72">$C123*E$121</f>
        <v>0</v>
      </c>
      <c r="F123" s="413">
        <f t="shared" si="72"/>
        <v>0</v>
      </c>
      <c r="G123" s="413">
        <f>$C123*G$121</f>
        <v>0</v>
      </c>
      <c r="H123" s="413">
        <f t="shared" si="72"/>
        <v>0</v>
      </c>
      <c r="I123" s="413" t="e">
        <f t="shared" si="72"/>
        <v>#VALUE!</v>
      </c>
      <c r="J123" s="413" t="e">
        <f t="shared" si="72"/>
        <v>#VALUE!</v>
      </c>
      <c r="K123" s="413" t="e">
        <f>$C123*K$121</f>
        <v>#VALUE!</v>
      </c>
    </row>
    <row r="124" spans="2:11" x14ac:dyDescent="0.25">
      <c r="B124" s="2" t="s">
        <v>937</v>
      </c>
      <c r="C124" s="806">
        <f>N14</f>
        <v>0.35</v>
      </c>
      <c r="D124" s="413">
        <f t="shared" ref="D124:D125" si="73">$C124*D$121</f>
        <v>0</v>
      </c>
      <c r="E124" s="413">
        <f t="shared" si="72"/>
        <v>0</v>
      </c>
      <c r="F124" s="413">
        <f t="shared" si="72"/>
        <v>0</v>
      </c>
      <c r="G124" s="413">
        <f t="shared" si="72"/>
        <v>0</v>
      </c>
      <c r="H124" s="413">
        <f t="shared" si="72"/>
        <v>0</v>
      </c>
      <c r="I124" s="413" t="e">
        <f t="shared" si="72"/>
        <v>#VALUE!</v>
      </c>
      <c r="J124" s="413" t="e">
        <f t="shared" si="72"/>
        <v>#VALUE!</v>
      </c>
      <c r="K124" s="413" t="e">
        <f t="shared" si="72"/>
        <v>#VALUE!</v>
      </c>
    </row>
    <row r="125" spans="2:11" x14ac:dyDescent="0.25">
      <c r="B125" s="2" t="s">
        <v>939</v>
      </c>
      <c r="C125" s="806">
        <f>N15</f>
        <v>0.3</v>
      </c>
      <c r="D125" s="413">
        <f t="shared" si="73"/>
        <v>0</v>
      </c>
      <c r="E125" s="413">
        <f t="shared" si="72"/>
        <v>0</v>
      </c>
      <c r="F125" s="413">
        <f t="shared" si="72"/>
        <v>0</v>
      </c>
      <c r="G125" s="413">
        <f t="shared" si="72"/>
        <v>0</v>
      </c>
      <c r="H125" s="413">
        <f t="shared" si="72"/>
        <v>0</v>
      </c>
      <c r="I125" s="413" t="e">
        <f t="shared" si="72"/>
        <v>#VALUE!</v>
      </c>
      <c r="J125" s="413" t="e">
        <f t="shared" si="72"/>
        <v>#VALUE!</v>
      </c>
      <c r="K125" s="413" t="e">
        <f t="shared" si="72"/>
        <v>#VALUE!</v>
      </c>
    </row>
    <row r="127" spans="2:11" x14ac:dyDescent="0.25">
      <c r="B127" s="518" t="s">
        <v>978</v>
      </c>
      <c r="D127" s="530" t="e">
        <f>D123/$P$13</f>
        <v>#DIV/0!</v>
      </c>
      <c r="E127" s="530" t="e">
        <f t="shared" ref="E127:K127" si="74">E123/$P$13</f>
        <v>#DIV/0!</v>
      </c>
      <c r="F127" s="530" t="e">
        <f t="shared" si="74"/>
        <v>#DIV/0!</v>
      </c>
      <c r="G127" s="530" t="e">
        <f t="shared" si="74"/>
        <v>#DIV/0!</v>
      </c>
      <c r="H127" s="530" t="e">
        <f t="shared" si="74"/>
        <v>#DIV/0!</v>
      </c>
      <c r="I127" s="530" t="e">
        <f t="shared" si="74"/>
        <v>#VALUE!</v>
      </c>
      <c r="J127" s="530" t="e">
        <f t="shared" si="74"/>
        <v>#VALUE!</v>
      </c>
      <c r="K127" s="530" t="e">
        <f t="shared" si="74"/>
        <v>#VALUE!</v>
      </c>
    </row>
    <row r="128" spans="2:11" x14ac:dyDescent="0.25">
      <c r="B128" s="518" t="s">
        <v>979</v>
      </c>
      <c r="D128" s="798"/>
      <c r="E128" s="792" t="str">
        <f>IFERROR(XIRR($D$131:E$131,$D$130:E$130),"n/a")</f>
        <v>n/a</v>
      </c>
      <c r="F128" s="792" t="str">
        <f>IFERROR(XIRR($D$132:F$132,$D$130:F$130),"n/a")</f>
        <v>n/a</v>
      </c>
      <c r="G128" s="792" t="str">
        <f>IFERROR(XIRR($D$133:G$133,$D$130:G$130),"n/a")</f>
        <v>n/a</v>
      </c>
      <c r="H128" s="792" t="str">
        <f>IFERROR(XIRR($D$134:H$134,$D$130:H$130),"n/a")</f>
        <v>n/a</v>
      </c>
      <c r="I128" s="792" t="str">
        <f>IFERROR(XIRR($D$135:I$135,$D$130:I$130),"n/a")</f>
        <v>n/a</v>
      </c>
      <c r="J128" s="792" t="str">
        <f>IFERROR(XIRR($D$136:J$136,$D$130:J$130),"n/a")</f>
        <v>n/a</v>
      </c>
      <c r="K128" s="792" t="str">
        <f>IFERROR(XIRR($D$137:K$137,$D$130:K$130),"n/a")</f>
        <v>n/a</v>
      </c>
    </row>
    <row r="130" spans="2:11" x14ac:dyDescent="0.25">
      <c r="B130" s="518" t="s">
        <v>980</v>
      </c>
      <c r="D130" s="799">
        <v>45291</v>
      </c>
      <c r="E130" s="793">
        <f>D130+365</f>
        <v>45656</v>
      </c>
      <c r="F130" s="793">
        <f t="shared" ref="F130:K130" si="75">E130+365</f>
        <v>46021</v>
      </c>
      <c r="G130" s="793">
        <f t="shared" si="75"/>
        <v>46386</v>
      </c>
      <c r="H130" s="793">
        <f t="shared" si="75"/>
        <v>46751</v>
      </c>
      <c r="I130" s="793">
        <f t="shared" si="75"/>
        <v>47116</v>
      </c>
      <c r="J130" s="793">
        <f t="shared" si="75"/>
        <v>47481</v>
      </c>
      <c r="K130" s="793">
        <f t="shared" si="75"/>
        <v>47846</v>
      </c>
    </row>
    <row r="131" spans="2:11" x14ac:dyDescent="0.25">
      <c r="B131" s="518" t="s">
        <v>981</v>
      </c>
      <c r="D131" s="413">
        <f>-P13</f>
        <v>0</v>
      </c>
      <c r="E131" s="413">
        <f>E123</f>
        <v>0</v>
      </c>
    </row>
    <row r="132" spans="2:11" x14ac:dyDescent="0.25">
      <c r="D132" s="413">
        <f>D131</f>
        <v>0</v>
      </c>
      <c r="F132" s="413">
        <f>F123</f>
        <v>0</v>
      </c>
    </row>
    <row r="133" spans="2:11" x14ac:dyDescent="0.25">
      <c r="D133" s="413">
        <f t="shared" ref="D133:D137" si="76">D132</f>
        <v>0</v>
      </c>
      <c r="G133" s="413">
        <f>G123</f>
        <v>0</v>
      </c>
    </row>
    <row r="134" spans="2:11" x14ac:dyDescent="0.25">
      <c r="D134" s="413">
        <f t="shared" si="76"/>
        <v>0</v>
      </c>
      <c r="H134" s="413">
        <f>H123</f>
        <v>0</v>
      </c>
    </row>
    <row r="135" spans="2:11" x14ac:dyDescent="0.25">
      <c r="D135" s="413">
        <f t="shared" si="76"/>
        <v>0</v>
      </c>
      <c r="I135" s="413" t="e">
        <f>I123</f>
        <v>#VALUE!</v>
      </c>
    </row>
    <row r="136" spans="2:11" x14ac:dyDescent="0.25">
      <c r="D136" s="413">
        <f t="shared" si="76"/>
        <v>0</v>
      </c>
      <c r="J136" s="413" t="e">
        <f>J123</f>
        <v>#VALUE!</v>
      </c>
    </row>
    <row r="137" spans="2:11" x14ac:dyDescent="0.25">
      <c r="D137" s="413">
        <f t="shared" si="76"/>
        <v>0</v>
      </c>
      <c r="K137" s="413" t="e">
        <f>K123</f>
        <v>#VALUE!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768A0-701C-443C-8127-35A4C935FB1A}">
  <sheetPr>
    <tabColor theme="4" tint="0.59999389629810485"/>
  </sheetPr>
  <dimension ref="C2:R27"/>
  <sheetViews>
    <sheetView showGridLines="0" zoomScaleNormal="100" workbookViewId="0">
      <selection activeCell="L39" sqref="L39"/>
    </sheetView>
  </sheetViews>
  <sheetFormatPr defaultColWidth="9.109375" defaultRowHeight="13.2" x14ac:dyDescent="0.25"/>
  <cols>
    <col min="1" max="1" width="4.6640625" style="6" customWidth="1"/>
    <col min="2" max="2" width="4.44140625" style="6" customWidth="1"/>
    <col min="3" max="3" width="33.5546875" style="6" customWidth="1"/>
    <col min="4" max="4" width="11.5546875" style="6" customWidth="1"/>
    <col min="5" max="6" width="11.5546875" style="32" customWidth="1"/>
    <col min="7" max="7" width="13" style="6" customWidth="1"/>
    <col min="8" max="8" width="7.33203125" style="6" customWidth="1"/>
    <col min="9" max="9" width="22.5546875" style="6" customWidth="1"/>
    <col min="10" max="17" width="8.88671875" style="6" customWidth="1"/>
    <col min="18" max="18" width="9.109375" style="6"/>
    <col min="19" max="19" width="11" style="6" customWidth="1"/>
    <col min="20" max="27" width="8.44140625" style="6" customWidth="1"/>
    <col min="28" max="16384" width="9.109375" style="6"/>
  </cols>
  <sheetData>
    <row r="2" spans="3:18" ht="12.75" customHeight="1" x14ac:dyDescent="0.25">
      <c r="C2" s="538"/>
    </row>
    <row r="3" spans="3:18" ht="12.75" customHeight="1" x14ac:dyDescent="0.25">
      <c r="C3" s="406" t="str">
        <f>"Historiek investeringen - "&amp;Historiek!A2</f>
        <v>Historiek investeringen - Dossier</v>
      </c>
      <c r="D3" s="407"/>
      <c r="E3" s="6"/>
      <c r="I3" s="406" t="str">
        <f>"High level rendementsberekening - "&amp;Historiek!A2</f>
        <v>High level rendementsberekening - Dossier</v>
      </c>
      <c r="J3" s="407"/>
      <c r="K3" s="407"/>
      <c r="L3" s="407"/>
      <c r="M3" s="407"/>
      <c r="N3" s="407"/>
      <c r="O3" s="524"/>
      <c r="P3" s="524"/>
      <c r="Q3" s="524"/>
      <c r="R3" s="407"/>
    </row>
    <row r="4" spans="3:18" x14ac:dyDescent="0.25">
      <c r="C4" s="738" t="s">
        <v>846</v>
      </c>
      <c r="D4" s="741" t="s">
        <v>1008</v>
      </c>
      <c r="E4" s="741" t="s">
        <v>1006</v>
      </c>
      <c r="F4" s="743" t="s">
        <v>1007</v>
      </c>
      <c r="G4" s="807" t="s">
        <v>989</v>
      </c>
      <c r="I4" s="738"/>
      <c r="J4" s="741" t="s">
        <v>1009</v>
      </c>
      <c r="K4" s="741" t="s">
        <v>1009</v>
      </c>
      <c r="L4" s="741" t="s">
        <v>1009</v>
      </c>
      <c r="M4" s="741" t="s">
        <v>1009</v>
      </c>
      <c r="N4" s="741" t="s">
        <v>1009</v>
      </c>
      <c r="O4" s="741" t="s">
        <v>946</v>
      </c>
      <c r="P4" s="741" t="s">
        <v>946</v>
      </c>
      <c r="Q4" s="741" t="s">
        <v>946</v>
      </c>
    </row>
    <row r="5" spans="3:18" x14ac:dyDescent="0.25">
      <c r="C5" s="738"/>
      <c r="D5" s="808" t="s">
        <v>990</v>
      </c>
      <c r="E5" s="808" t="s">
        <v>990</v>
      </c>
      <c r="F5" s="809" t="s">
        <v>990</v>
      </c>
      <c r="G5" s="810" t="s">
        <v>990</v>
      </c>
      <c r="I5" s="738" t="str">
        <f>'BP - Annual'!C4</f>
        <v>k€</v>
      </c>
      <c r="J5" s="741" t="str">
        <f>'BP - Annual'!G4</f>
        <v>FY24</v>
      </c>
      <c r="K5" s="741" t="str">
        <f>'BP - Annual'!H4</f>
        <v>FY25</v>
      </c>
      <c r="L5" s="741" t="str">
        <f>'BP - Annual'!I4</f>
        <v>FY26</v>
      </c>
      <c r="M5" s="741" t="str">
        <f>'BP - Annual'!J4</f>
        <v>FY27</v>
      </c>
      <c r="N5" s="741" t="str">
        <f>'BP - Annual'!K4</f>
        <v>FY28</v>
      </c>
      <c r="O5" s="741" t="str">
        <f>"FY"&amp;RIGHT(N5,2)+1</f>
        <v>FY29</v>
      </c>
      <c r="P5" s="741" t="str">
        <f t="shared" ref="P5:Q5" si="0">"FY"&amp;RIGHT(O5,2)+1</f>
        <v>FY30</v>
      </c>
      <c r="Q5" s="741" t="str">
        <f t="shared" si="0"/>
        <v>FY31</v>
      </c>
    </row>
    <row r="6" spans="3:18" ht="12.75" customHeight="1" x14ac:dyDescent="0.25">
      <c r="C6" s="6" t="s">
        <v>991</v>
      </c>
      <c r="D6" s="4"/>
      <c r="E6" s="4"/>
      <c r="F6" s="4"/>
      <c r="G6" s="4"/>
      <c r="H6" s="4"/>
      <c r="I6" s="16" t="s">
        <v>0</v>
      </c>
      <c r="J6" s="16">
        <f>'BP - Annual'!G61</f>
        <v>0</v>
      </c>
      <c r="K6" s="16">
        <f>'BP - Annual'!H61</f>
        <v>0</v>
      </c>
      <c r="L6" s="16">
        <f>'BP - Annual'!I61</f>
        <v>0</v>
      </c>
      <c r="M6" s="16">
        <f>'BP - Annual'!J61</f>
        <v>0</v>
      </c>
      <c r="N6" s="16">
        <f>'BP - Annual'!K61</f>
        <v>0</v>
      </c>
      <c r="O6" s="16"/>
      <c r="P6" s="16"/>
      <c r="Q6" s="16"/>
    </row>
    <row r="7" spans="3:18" ht="12.75" customHeight="1" x14ac:dyDescent="0.25">
      <c r="C7" s="6" t="s">
        <v>992</v>
      </c>
      <c r="D7" s="4"/>
      <c r="E7" s="4"/>
      <c r="F7" s="4"/>
      <c r="G7" s="4"/>
      <c r="H7" s="4"/>
      <c r="I7" s="518" t="s">
        <v>976</v>
      </c>
      <c r="J7" s="543">
        <f>LBO!C5</f>
        <v>0</v>
      </c>
      <c r="K7" s="530">
        <f>J7</f>
        <v>0</v>
      </c>
      <c r="L7" s="530">
        <f t="shared" ref="L7:Q7" si="1">K7</f>
        <v>0</v>
      </c>
      <c r="M7" s="530">
        <f t="shared" si="1"/>
        <v>0</v>
      </c>
      <c r="N7" s="530">
        <f t="shared" si="1"/>
        <v>0</v>
      </c>
      <c r="O7" s="530">
        <f t="shared" si="1"/>
        <v>0</v>
      </c>
      <c r="P7" s="530">
        <f t="shared" si="1"/>
        <v>0</v>
      </c>
      <c r="Q7" s="530">
        <f t="shared" si="1"/>
        <v>0</v>
      </c>
    </row>
    <row r="8" spans="3:18" ht="12.75" customHeight="1" x14ac:dyDescent="0.25">
      <c r="C8" s="6" t="s">
        <v>993</v>
      </c>
      <c r="D8" s="4">
        <f>D7</f>
        <v>0</v>
      </c>
      <c r="E8" s="4">
        <f>D8+E7</f>
        <v>0</v>
      </c>
      <c r="F8" s="4">
        <f t="shared" ref="F8:G8" si="2">E8+F7</f>
        <v>0</v>
      </c>
      <c r="G8" s="4">
        <f t="shared" si="2"/>
        <v>0</v>
      </c>
      <c r="H8" s="4"/>
      <c r="I8" s="406" t="s">
        <v>123</v>
      </c>
      <c r="J8" s="16">
        <f>J6*J7</f>
        <v>0</v>
      </c>
      <c r="K8" s="16">
        <f t="shared" ref="K8:Q8" si="3">K6*K7</f>
        <v>0</v>
      </c>
      <c r="L8" s="16">
        <f t="shared" si="3"/>
        <v>0</v>
      </c>
      <c r="M8" s="16">
        <f t="shared" si="3"/>
        <v>0</v>
      </c>
      <c r="N8" s="16">
        <f t="shared" si="3"/>
        <v>0</v>
      </c>
      <c r="O8" s="16">
        <f t="shared" si="3"/>
        <v>0</v>
      </c>
      <c r="P8" s="16">
        <f t="shared" si="3"/>
        <v>0</v>
      </c>
      <c r="Q8" s="16">
        <f t="shared" si="3"/>
        <v>0</v>
      </c>
    </row>
    <row r="9" spans="3:18" ht="12.75" customHeight="1" x14ac:dyDescent="0.25">
      <c r="C9" s="6" t="s">
        <v>994</v>
      </c>
      <c r="D9" s="541" t="str">
        <f>IFERROR(D6/D7,"n/a")</f>
        <v>n/a</v>
      </c>
      <c r="E9" s="541" t="str">
        <f t="shared" ref="E9:G9" si="4">IFERROR(E6/E7,"n/a")</f>
        <v>n/a</v>
      </c>
      <c r="F9" s="541" t="str">
        <f t="shared" si="4"/>
        <v>n/a</v>
      </c>
      <c r="G9" s="541" t="str">
        <f t="shared" si="4"/>
        <v>n/a</v>
      </c>
      <c r="H9" s="4"/>
      <c r="I9" s="518" t="s">
        <v>977</v>
      </c>
      <c r="J9" s="539"/>
      <c r="K9" s="539"/>
      <c r="L9" s="539"/>
      <c r="M9" s="539"/>
      <c r="N9" s="539"/>
      <c r="O9" s="539"/>
      <c r="P9" s="539"/>
      <c r="Q9" s="539"/>
    </row>
    <row r="10" spans="3:18" ht="12.75" customHeight="1" x14ac:dyDescent="0.25">
      <c r="C10" s="6" t="s">
        <v>995</v>
      </c>
      <c r="D10" s="4">
        <f>D6</f>
        <v>0</v>
      </c>
      <c r="E10" s="4">
        <f>D10+E6</f>
        <v>0</v>
      </c>
      <c r="F10" s="4">
        <f t="shared" ref="F10:G10" si="5">E10+F6</f>
        <v>0</v>
      </c>
      <c r="G10" s="4">
        <f t="shared" si="5"/>
        <v>0</v>
      </c>
      <c r="H10" s="4"/>
      <c r="I10" s="518" t="s">
        <v>953</v>
      </c>
      <c r="J10" s="539"/>
      <c r="K10" s="539"/>
      <c r="L10" s="539"/>
      <c r="M10" s="539"/>
      <c r="N10" s="539"/>
      <c r="O10" s="539"/>
      <c r="P10" s="539"/>
      <c r="Q10" s="539"/>
    </row>
    <row r="11" spans="3:18" ht="12.75" customHeight="1" x14ac:dyDescent="0.25">
      <c r="C11" s="6" t="s">
        <v>996</v>
      </c>
      <c r="D11" s="93" t="str">
        <f>IFERROR(D8*D9,"n/a")</f>
        <v>n/a</v>
      </c>
      <c r="E11" s="93" t="str">
        <f t="shared" ref="E11:G11" si="6">IFERROR(E8*E9,"n/a")</f>
        <v>n/a</v>
      </c>
      <c r="F11" s="93" t="str">
        <f t="shared" si="6"/>
        <v>n/a</v>
      </c>
      <c r="G11" s="93" t="str">
        <f t="shared" si="6"/>
        <v>n/a</v>
      </c>
      <c r="H11" s="4"/>
      <c r="I11" s="406" t="s">
        <v>124</v>
      </c>
      <c r="J11" s="410">
        <f>SUM(J8:J10)</f>
        <v>0</v>
      </c>
      <c r="K11" s="410">
        <f t="shared" ref="K11:Q11" si="7">SUM(K8:K10)</f>
        <v>0</v>
      </c>
      <c r="L11" s="410">
        <f t="shared" si="7"/>
        <v>0</v>
      </c>
      <c r="M11" s="410">
        <f t="shared" si="7"/>
        <v>0</v>
      </c>
      <c r="N11" s="410">
        <f t="shared" si="7"/>
        <v>0</v>
      </c>
      <c r="O11" s="410">
        <f t="shared" si="7"/>
        <v>0</v>
      </c>
      <c r="P11" s="410">
        <f t="shared" si="7"/>
        <v>0</v>
      </c>
      <c r="Q11" s="410">
        <f t="shared" si="7"/>
        <v>0</v>
      </c>
    </row>
    <row r="12" spans="3:18" ht="12.75" customHeight="1" x14ac:dyDescent="0.25">
      <c r="D12" s="4"/>
      <c r="E12" s="4"/>
      <c r="F12" s="14"/>
      <c r="G12" s="4"/>
      <c r="H12" s="4"/>
      <c r="N12" s="8"/>
      <c r="O12" s="8"/>
      <c r="P12" s="8"/>
      <c r="Q12" s="8"/>
    </row>
    <row r="13" spans="3:18" ht="12.75" customHeight="1" x14ac:dyDescent="0.25">
      <c r="C13" s="6" t="s">
        <v>997</v>
      </c>
      <c r="D13" s="4"/>
      <c r="E13" s="4"/>
      <c r="F13" s="4"/>
      <c r="G13" s="4"/>
      <c r="H13" s="4"/>
      <c r="I13" s="2" t="s">
        <v>935</v>
      </c>
      <c r="J13" s="544">
        <v>0.2</v>
      </c>
      <c r="K13" s="419"/>
      <c r="L13" s="413"/>
      <c r="M13" s="413"/>
      <c r="N13" s="413">
        <f>$J13*N$11</f>
        <v>0</v>
      </c>
      <c r="O13" s="413">
        <f t="shared" ref="O13:Q15" si="8">$J13*O$11</f>
        <v>0</v>
      </c>
      <c r="P13" s="413">
        <f t="shared" si="8"/>
        <v>0</v>
      </c>
      <c r="Q13" s="413">
        <f t="shared" si="8"/>
        <v>0</v>
      </c>
    </row>
    <row r="14" spans="3:18" ht="12.75" customHeight="1" x14ac:dyDescent="0.25">
      <c r="C14" s="6" t="s">
        <v>999</v>
      </c>
      <c r="D14" s="93" t="str">
        <f>IFERROR(D13/D9,"n/a")</f>
        <v>n/a</v>
      </c>
      <c r="E14" s="93" t="str">
        <f t="shared" ref="E14:G14" si="9">IFERROR(E13/E9,"n/a")</f>
        <v>n/a</v>
      </c>
      <c r="F14" s="93" t="str">
        <f t="shared" si="9"/>
        <v>n/a</v>
      </c>
      <c r="G14" s="93" t="str">
        <f t="shared" si="9"/>
        <v>n/a</v>
      </c>
      <c r="H14" s="4"/>
      <c r="I14" s="2" t="s">
        <v>937</v>
      </c>
      <c r="J14" s="545">
        <v>0.2</v>
      </c>
      <c r="K14" s="413"/>
      <c r="L14" s="413"/>
      <c r="M14" s="413"/>
      <c r="N14" s="413">
        <f t="shared" ref="N14:N15" si="10">$J14*N$11</f>
        <v>0</v>
      </c>
      <c r="O14" s="413">
        <f t="shared" si="8"/>
        <v>0</v>
      </c>
      <c r="P14" s="413">
        <f t="shared" si="8"/>
        <v>0</v>
      </c>
      <c r="Q14" s="413">
        <f t="shared" si="8"/>
        <v>0</v>
      </c>
    </row>
    <row r="15" spans="3:18" ht="12.75" customHeight="1" x14ac:dyDescent="0.25">
      <c r="C15" s="6" t="s">
        <v>1001</v>
      </c>
      <c r="D15" s="93" t="str">
        <f>D14</f>
        <v>n/a</v>
      </c>
      <c r="E15" s="93" t="str">
        <f>IFERROR(D15+E14,"n/a")</f>
        <v>n/a</v>
      </c>
      <c r="F15" s="93" t="str">
        <f t="shared" ref="F15:G15" si="11">IFERROR(E15+F14,"n/a")</f>
        <v>n/a</v>
      </c>
      <c r="G15" s="93" t="str">
        <f t="shared" si="11"/>
        <v>n/a</v>
      </c>
      <c r="H15" s="4"/>
      <c r="I15" s="2" t="s">
        <v>1005</v>
      </c>
      <c r="J15" s="546">
        <v>0.6</v>
      </c>
      <c r="K15" s="413"/>
      <c r="L15" s="413"/>
      <c r="M15" s="413"/>
      <c r="N15" s="413">
        <f t="shared" si="10"/>
        <v>0</v>
      </c>
      <c r="O15" s="413">
        <f t="shared" si="8"/>
        <v>0</v>
      </c>
      <c r="P15" s="413">
        <f t="shared" si="8"/>
        <v>0</v>
      </c>
      <c r="Q15" s="413">
        <f t="shared" si="8"/>
        <v>0</v>
      </c>
    </row>
    <row r="16" spans="3:18" ht="12.75" customHeight="1" x14ac:dyDescent="0.25">
      <c r="C16" s="6" t="s">
        <v>1002</v>
      </c>
      <c r="D16" s="4">
        <f>D13</f>
        <v>0</v>
      </c>
      <c r="E16" s="4">
        <f>D16+E13</f>
        <v>0</v>
      </c>
      <c r="F16" s="4">
        <f t="shared" ref="F16:G16" si="12">E16+F13</f>
        <v>0</v>
      </c>
      <c r="G16" s="4">
        <f t="shared" si="12"/>
        <v>0</v>
      </c>
      <c r="H16" s="4"/>
      <c r="I16" s="518"/>
      <c r="J16" s="518"/>
      <c r="K16" s="518"/>
      <c r="L16" s="518"/>
      <c r="M16" s="518"/>
      <c r="N16" s="518"/>
      <c r="O16" s="518"/>
      <c r="P16" s="518"/>
      <c r="Q16" s="518"/>
    </row>
    <row r="17" spans="3:17" ht="12.75" customHeight="1" x14ac:dyDescent="0.25">
      <c r="C17" s="6" t="s">
        <v>1003</v>
      </c>
      <c r="D17" s="93" t="str">
        <f>IFERROR(D9*D15,"n/a")</f>
        <v>n/a</v>
      </c>
      <c r="E17" s="93" t="str">
        <f t="shared" ref="E17:G17" si="13">IFERROR(E9*E15,"n/a")</f>
        <v>n/a</v>
      </c>
      <c r="F17" s="93" t="str">
        <f t="shared" si="13"/>
        <v>n/a</v>
      </c>
      <c r="G17" s="93" t="str">
        <f t="shared" si="13"/>
        <v>n/a</v>
      </c>
      <c r="I17" s="518" t="s">
        <v>978</v>
      </c>
      <c r="J17" s="530"/>
      <c r="K17" s="530"/>
      <c r="L17" s="530"/>
      <c r="M17" s="530"/>
      <c r="N17" s="558" t="str">
        <f>IFERROR(N13/(SUM($D$13:$G$13)/1000),"n/a")</f>
        <v>n/a</v>
      </c>
      <c r="O17" s="558" t="str">
        <f t="shared" ref="O17:Q17" si="14">IFERROR(O13/(SUM($D$13:$G$13)/1000),"n/a")</f>
        <v>n/a</v>
      </c>
      <c r="P17" s="558" t="str">
        <f t="shared" si="14"/>
        <v>n/a</v>
      </c>
      <c r="Q17" s="558" t="str">
        <f t="shared" si="14"/>
        <v>n/a</v>
      </c>
    </row>
    <row r="18" spans="3:17" x14ac:dyDescent="0.25">
      <c r="C18" s="6" t="s">
        <v>1004</v>
      </c>
      <c r="D18" s="34" t="str">
        <f>IFERROR(D15/D8,"n/a")</f>
        <v>n/a</v>
      </c>
      <c r="E18" s="34" t="str">
        <f t="shared" ref="E18:G18" si="15">IFERROR(E15/E8,"n/a")</f>
        <v>n/a</v>
      </c>
      <c r="F18" s="34" t="str">
        <f t="shared" si="15"/>
        <v>n/a</v>
      </c>
      <c r="G18" s="34" t="str">
        <f t="shared" si="15"/>
        <v>n/a</v>
      </c>
      <c r="I18" s="406" t="s">
        <v>979</v>
      </c>
      <c r="J18" s="540"/>
      <c r="K18" s="540"/>
      <c r="L18" s="540"/>
      <c r="M18" s="540"/>
      <c r="N18" s="559" t="str">
        <f>IFERROR(XIRR(J24:N24,J20:N20),"n/a")</f>
        <v>n/a</v>
      </c>
      <c r="O18" s="559" t="str">
        <f>IFERROR(XIRR(J25:O25,J20:O20),"n/a")</f>
        <v>n/a</v>
      </c>
      <c r="P18" s="559" t="str">
        <f>IFERROR(XIRR(J26:P26,J20:P20),"n/a")</f>
        <v>n/a</v>
      </c>
      <c r="Q18" s="559" t="str">
        <f>IFERROR(XIRR(J27:Q27,J20:Q20),"n/a")</f>
        <v>n/a</v>
      </c>
    </row>
    <row r="20" spans="3:17" x14ac:dyDescent="0.25">
      <c r="C20" s="46" t="s">
        <v>998</v>
      </c>
      <c r="D20" s="46">
        <v>0</v>
      </c>
      <c r="E20" s="542" t="str">
        <f>IFERROR(D21+E6,"n/a")</f>
        <v>n/a</v>
      </c>
      <c r="F20" s="542" t="str">
        <f t="shared" ref="F20:G20" si="16">IFERROR(E21+F6,"n/a")</f>
        <v>n/a</v>
      </c>
      <c r="G20" s="542" t="str">
        <f t="shared" si="16"/>
        <v>n/a</v>
      </c>
      <c r="I20" s="547" t="s">
        <v>980</v>
      </c>
      <c r="J20" s="548">
        <v>45291</v>
      </c>
      <c r="K20" s="548">
        <f>J20+365</f>
        <v>45656</v>
      </c>
      <c r="L20" s="548">
        <f t="shared" ref="L20:Q20" si="17">K20+365</f>
        <v>46021</v>
      </c>
      <c r="M20" s="548">
        <f t="shared" si="17"/>
        <v>46386</v>
      </c>
      <c r="N20" s="548">
        <f t="shared" si="17"/>
        <v>46751</v>
      </c>
      <c r="O20" s="548">
        <f t="shared" si="17"/>
        <v>47116</v>
      </c>
      <c r="P20" s="548">
        <f t="shared" si="17"/>
        <v>47481</v>
      </c>
      <c r="Q20" s="549">
        <f t="shared" si="17"/>
        <v>47846</v>
      </c>
    </row>
    <row r="21" spans="3:17" x14ac:dyDescent="0.25">
      <c r="C21" s="46" t="s">
        <v>1000</v>
      </c>
      <c r="D21" s="542" t="str">
        <f>D11</f>
        <v>n/a</v>
      </c>
      <c r="E21" s="542" t="str">
        <f t="shared" ref="E21:G21" si="18">E11</f>
        <v>n/a</v>
      </c>
      <c r="F21" s="542" t="str">
        <f t="shared" si="18"/>
        <v>n/a</v>
      </c>
      <c r="G21" s="542" t="str">
        <f t="shared" si="18"/>
        <v>n/a</v>
      </c>
      <c r="I21" s="550" t="s">
        <v>981</v>
      </c>
      <c r="J21" s="551">
        <f>SUM(-G13)</f>
        <v>0</v>
      </c>
      <c r="K21" s="551">
        <f>K13</f>
        <v>0</v>
      </c>
      <c r="L21" s="552"/>
      <c r="M21" s="552"/>
      <c r="N21" s="552"/>
      <c r="O21" s="552"/>
      <c r="P21" s="552"/>
      <c r="Q21" s="553"/>
    </row>
    <row r="22" spans="3:17" x14ac:dyDescent="0.25">
      <c r="E22" s="6"/>
      <c r="I22" s="550"/>
      <c r="J22" s="551">
        <f>J21</f>
        <v>0</v>
      </c>
      <c r="K22" s="552"/>
      <c r="L22" s="551">
        <f>L13</f>
        <v>0</v>
      </c>
      <c r="M22" s="552"/>
      <c r="N22" s="552"/>
      <c r="O22" s="552"/>
      <c r="P22" s="552"/>
      <c r="Q22" s="553"/>
    </row>
    <row r="23" spans="3:17" x14ac:dyDescent="0.25">
      <c r="I23" s="550"/>
      <c r="J23" s="551">
        <f t="shared" ref="J23:J27" si="19">J22</f>
        <v>0</v>
      </c>
      <c r="K23" s="552"/>
      <c r="L23" s="552"/>
      <c r="M23" s="551">
        <f>M13</f>
        <v>0</v>
      </c>
      <c r="N23" s="552"/>
      <c r="O23" s="552"/>
      <c r="P23" s="552"/>
      <c r="Q23" s="553"/>
    </row>
    <row r="24" spans="3:17" x14ac:dyDescent="0.25">
      <c r="I24" s="550"/>
      <c r="J24" s="551">
        <f t="shared" si="19"/>
        <v>0</v>
      </c>
      <c r="K24" s="552"/>
      <c r="L24" s="552"/>
      <c r="M24" s="552"/>
      <c r="N24" s="551">
        <f>N13</f>
        <v>0</v>
      </c>
      <c r="O24" s="552"/>
      <c r="P24" s="552"/>
      <c r="Q24" s="553"/>
    </row>
    <row r="25" spans="3:17" x14ac:dyDescent="0.25">
      <c r="I25" s="550"/>
      <c r="J25" s="551">
        <f t="shared" si="19"/>
        <v>0</v>
      </c>
      <c r="K25" s="552"/>
      <c r="L25" s="552"/>
      <c r="M25" s="552"/>
      <c r="N25" s="552"/>
      <c r="O25" s="551">
        <f>O13</f>
        <v>0</v>
      </c>
      <c r="P25" s="552"/>
      <c r="Q25" s="553"/>
    </row>
    <row r="26" spans="3:17" x14ac:dyDescent="0.25">
      <c r="I26" s="550"/>
      <c r="J26" s="551">
        <f t="shared" si="19"/>
        <v>0</v>
      </c>
      <c r="K26" s="552"/>
      <c r="L26" s="552"/>
      <c r="M26" s="552"/>
      <c r="N26" s="552"/>
      <c r="O26" s="552"/>
      <c r="P26" s="551">
        <f>P13</f>
        <v>0</v>
      </c>
      <c r="Q26" s="553"/>
    </row>
    <row r="27" spans="3:17" x14ac:dyDescent="0.25">
      <c r="I27" s="554"/>
      <c r="J27" s="555">
        <f t="shared" si="19"/>
        <v>0</v>
      </c>
      <c r="K27" s="556"/>
      <c r="L27" s="556"/>
      <c r="M27" s="556"/>
      <c r="N27" s="556"/>
      <c r="O27" s="556"/>
      <c r="P27" s="556"/>
      <c r="Q27" s="557">
        <f>Q13</f>
        <v>0</v>
      </c>
    </row>
  </sheetData>
  <pageMargins left="0.7" right="0.7" top="0.75" bottom="0.75" header="0.3" footer="0.3"/>
  <pageSetup paperSize="9" orientation="portrait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07AD0-79AD-45C0-A338-42324DC25FC5}">
  <sheetPr>
    <tabColor theme="1"/>
  </sheetPr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rchive xmlns="eb49011b-85b7-4de3-ab59-7bb121c7b8bb">false</Archive>
    <_Flow_SignoffStatus xmlns="fbc09ba0-fa3e-4ff9-97c6-b79a681bfcae" xsi:nil="true"/>
  </documentManagement>
</p:properties>
</file>

<file path=customXml/item2.xml><?xml version="1.0" encoding="utf-8"?>
<?mso-contentType ?>
<FormTemplates xmlns="http://schemas.microsoft.com/sharepoint/v3/contenttype/forms"/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EE74F88CA3F0640A154A47C1844FEE3" ma:contentTypeVersion="14" ma:contentTypeDescription="Create a new document." ma:contentTypeScope="" ma:versionID="ab7a21e86abfe9bd57f1bc9589afc3e6">
  <xsd:schema xmlns:xsd="http://www.w3.org/2001/XMLSchema" xmlns:xs="http://www.w3.org/2001/XMLSchema" xmlns:p="http://schemas.microsoft.com/office/2006/metadata/properties" xmlns:ns2="eb49011b-85b7-4de3-ab59-7bb121c7b8bb" xmlns:ns3="fbc09ba0-fa3e-4ff9-97c6-b79a681bfcae" targetNamespace="http://schemas.microsoft.com/office/2006/metadata/properties" ma:root="true" ma:fieldsID="6667ccffcbcbe92db4bfaab9d89c36bf" ns2:_="" ns3:_="">
    <xsd:import namespace="eb49011b-85b7-4de3-ab59-7bb121c7b8bb"/>
    <xsd:import namespace="fbc09ba0-fa3e-4ff9-97c6-b79a681bfcae"/>
    <xsd:element name="properties">
      <xsd:complexType>
        <xsd:sequence>
          <xsd:element name="documentManagement">
            <xsd:complexType>
              <xsd:all>
                <xsd:element ref="ns2:Archive" minOccurs="0"/>
                <xsd:element ref="ns3:MediaServiceMetadata" minOccurs="0"/>
                <xsd:element ref="ns3:MediaServiceFastMetadata" minOccurs="0"/>
                <xsd:element ref="ns3:MediaServiceEventHashCode" minOccurs="0"/>
                <xsd:element ref="ns3:MediaServiceGenerationTime" minOccurs="0"/>
                <xsd:element ref="ns2:SharedWithUsers" minOccurs="0"/>
                <xsd:element ref="ns2:SharedWithDetails" minOccurs="0"/>
                <xsd:element ref="ns3:_Flow_SignoffStatu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49011b-85b7-4de3-ab59-7bb121c7b8bb" elementFormDefault="qualified">
    <xsd:import namespace="http://schemas.microsoft.com/office/2006/documentManagement/types"/>
    <xsd:import namespace="http://schemas.microsoft.com/office/infopath/2007/PartnerControls"/>
    <xsd:element name="Archive" ma:index="4" nillable="true" ma:displayName="Archive" ma:default="0" ma:internalName="Archive" ma:readOnly="false">
      <xsd:simpleType>
        <xsd:restriction base="dms:Boolean"/>
      </xsd:simpleType>
    </xsd:element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c09ba0-fa3e-4ff9-97c6-b79a681bfc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9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EventHashCode" ma:index="1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_Flow_SignoffStatus" ma:index="15" nillable="true" ma:displayName="Sign-off status" ma:internalName="Sign_x002d_off_x0020_status">
      <xsd:simpleType>
        <xsd:restriction base="dms:Text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5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6409327-6D90-4391-91FD-3DCAE45D1691}">
  <ds:schemaRefs>
    <ds:schemaRef ds:uri="http://purl.org/dc/terms/"/>
    <ds:schemaRef ds:uri="fbc09ba0-fa3e-4ff9-97c6-b79a681bfcae"/>
    <ds:schemaRef ds:uri="http://purl.org/dc/elements/1.1/"/>
    <ds:schemaRef ds:uri="http://schemas.microsoft.com/office/infopath/2007/PartnerControls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eb49011b-85b7-4de3-ab59-7bb121c7b8bb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6B3B4F81-E145-422C-929D-DA1A63A57B3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F45DA40-736F-4BEA-A49F-45AF5F098BA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b49011b-85b7-4de3-ab59-7bb121c7b8bb"/>
    <ds:schemaRef ds:uri="fbc09ba0-fa3e-4ff9-97c6-b79a681bfca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Werkbladen</vt:lpstr>
      </vt:variant>
      <vt:variant>
        <vt:i4>26</vt:i4>
      </vt:variant>
      <vt:variant>
        <vt:lpstr>Benoemde bereiken</vt:lpstr>
      </vt:variant>
      <vt:variant>
        <vt:i4>3</vt:i4>
      </vt:variant>
    </vt:vector>
  </HeadingPairs>
  <TitlesOfParts>
    <vt:vector size="29" baseType="lpstr">
      <vt:lpstr>QnA</vt:lpstr>
      <vt:lpstr>Actuals &gt;</vt:lpstr>
      <vt:lpstr>ID Fiche</vt:lpstr>
      <vt:lpstr>Historiek</vt:lpstr>
      <vt:lpstr>Balans</vt:lpstr>
      <vt:lpstr>Resultaten</vt:lpstr>
      <vt:lpstr>Summary</vt:lpstr>
      <vt:lpstr>Analyse&gt;</vt:lpstr>
      <vt:lpstr>BP - Monthly</vt:lpstr>
      <vt:lpstr>BP - Annual</vt:lpstr>
      <vt:lpstr>KPI grafiek</vt:lpstr>
      <vt:lpstr>Inkomsten - detail</vt:lpstr>
      <vt:lpstr>D&amp;DG - detail</vt:lpstr>
      <vt:lpstr>Bezoldigingen - detail</vt:lpstr>
      <vt:lpstr>Vergelijking BPs</vt:lpstr>
      <vt:lpstr>Waardering&gt;</vt:lpstr>
      <vt:lpstr>Waardering summary</vt:lpstr>
      <vt:lpstr>DCF</vt:lpstr>
      <vt:lpstr>TM</vt:lpstr>
      <vt:lpstr>MM</vt:lpstr>
      <vt:lpstr>Size premium</vt:lpstr>
      <vt:lpstr>Beta &amp; Gearing</vt:lpstr>
      <vt:lpstr>Structurering &gt;</vt:lpstr>
      <vt:lpstr>LBO</vt:lpstr>
      <vt:lpstr>Rendement</vt:lpstr>
      <vt:lpstr>Bron BP &gt;</vt:lpstr>
      <vt:lpstr>Balans!Afdrukbereik</vt:lpstr>
      <vt:lpstr>Historiek!Afdrukbereik</vt:lpstr>
      <vt:lpstr>'Beta &amp; Gearing'!Afdruktitels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LRM analyse - Template YN</dc:title>
  <dc:creator>Yves Neven</dc:creator>
  <cp:lastModifiedBy>Vincent Grieten</cp:lastModifiedBy>
  <cp:lastPrinted>2023-07-04T10:14:24Z</cp:lastPrinted>
  <dcterms:created xsi:type="dcterms:W3CDTF">2022-09-20T07:04:01Z</dcterms:created>
  <dcterms:modified xsi:type="dcterms:W3CDTF">2025-04-13T17:15:17Z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0x0101003EE74F88CA3F0640A154A47C1844FEE3</vt:lpwstr>
  </property>
</Properties>
</file>