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1.xml" ContentType="application/vnd.openxmlformats-officedocument.drawing+xml"/>
  <Override PartName="/xl/worksheets/sheet12.xml" ContentType="application/vnd.openxmlformats-officedocument.spreadsheetml.worksheet+xml"/>
  <Override PartName="/xl/drawings/drawing2.xml" ContentType="application/vnd.openxmlformats-officedocument.drawing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drawings/drawing3.xml" ContentType="application/vnd.openxmlformats-officedocument.drawing+xml"/>
  <Override PartName="/xl/worksheets/sheet15.xml" ContentType="application/vnd.openxmlformats-officedocument.spreadsheetml.worksheet+xml"/>
  <Override PartName="/xl/drawings/drawing4.xml" ContentType="application/vnd.openxmlformats-officedocument.drawing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drawings/drawing5.xml" ContentType="application/vnd.openxmlformats-officedocument.drawing+xml"/>
  <Override PartName="/xl/worksheets/sheet18.xml" ContentType="application/vnd.openxmlformats-officedocument.spreadsheetml.worksheet+xml"/>
  <Override PartName="/xl/comments/comment1.xml" ContentType="application/vnd.openxmlformats-officedocument.spreadsheetml.comments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918" firstSheet="0" activeTab="3" autoFilterDateGrouping="1"/>
  </bookViews>
  <sheets>
    <sheet name="QnA" sheetId="1" state="visible" r:id="rId1"/>
    <sheet name="Actuals &gt;" sheetId="2" state="visible" r:id="rId2"/>
    <sheet name="ID Fiche" sheetId="3" state="visible" r:id="rId3"/>
    <sheet name="Historiek" sheetId="4" state="visible" r:id="rId4"/>
    <sheet name="Balans" sheetId="5" state="visible" r:id="rId5"/>
    <sheet name="Resultaten" sheetId="6" state="visible" r:id="rId6"/>
    <sheet name="Summary" sheetId="7" state="visible" r:id="rId7"/>
    <sheet name="Analyse&gt;" sheetId="8" state="visible" r:id="rId8"/>
    <sheet name="BP - Monthly" sheetId="9" state="visible" r:id="rId9"/>
    <sheet name="BP - Annual" sheetId="10" state="visible" r:id="rId10"/>
    <sheet name="KPI grafiek" sheetId="11" state="visible" r:id="rId11"/>
    <sheet name="Inkomsten - detail" sheetId="12" state="visible" r:id="rId12"/>
    <sheet name="D&amp;DG - detail" sheetId="13" state="visible" r:id="rId13"/>
    <sheet name="Bezoldigingen - detail" sheetId="14" state="visible" r:id="rId14"/>
    <sheet name="Vergelijking BPs" sheetId="15" state="visible" r:id="rId15"/>
    <sheet name="Waardering&gt;" sheetId="16" state="visible" r:id="rId16"/>
    <sheet name="Waardering summary" sheetId="17" state="visible" r:id="rId17"/>
    <sheet name="DCF" sheetId="18" state="visible" r:id="rId18"/>
    <sheet name="TM" sheetId="19" state="visible" r:id="rId19"/>
    <sheet name="MM" sheetId="20" state="visible" r:id="rId20"/>
    <sheet name="Size premium" sheetId="21" state="visible" r:id="rId21"/>
    <sheet name="Beta &amp; Gearing" sheetId="22" state="visible" r:id="rId22"/>
    <sheet name="Structurering &gt;" sheetId="23" state="visible" r:id="rId23"/>
    <sheet name="LBO" sheetId="24" state="visible" r:id="rId24"/>
    <sheet name="Rendement" sheetId="25" state="visible" r:id="rId25"/>
    <sheet name="Bron BP &gt;" sheetId="26" state="visible" r:id="rId26"/>
    <sheet name="Overview" sheetId="27" state="visible" r:id="rId27"/>
  </sheets>
  <externalReferences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Order1" hidden="1">255</definedName>
    <definedName name="aantal_vergaderzalen">'[1](input) Basisgegevens'!$B$32</definedName>
    <definedName name="accounting">#REF!</definedName>
    <definedName name="B._GRONDWERKEN">#REF!</definedName>
    <definedName name="betaling">[2]Dropboxen!$A$24:$A$33</definedName>
    <definedName name="btwog">'[1](input) Basisgegevens'!$B$12</definedName>
    <definedName name="C._MAGAZIJNUITRUSTING">#REF!</definedName>
    <definedName name="CashStart">#REF!</definedName>
    <definedName name="catOnkosten">OFFSET([2]BackOffice!$A$2,,,COUNTA([2]BackOffice!$A$2:$A$21))</definedName>
    <definedName name="CFcodes">[2]BackOffice!$AI$2:$AI$11</definedName>
    <definedName name="codepl">[2]Dropboxen!$A$55:$A$59</definedName>
    <definedName name="customer_payment_period">[3]Costs!$B$34</definedName>
    <definedName name="d">[4]Dropboxen!$A$53:$A$57</definedName>
    <definedName name="D._MACHINES_PRODUKTIE">#REF!</definedName>
    <definedName name="Departement">OFFSET([2]BackOffice!$R$2,,,COUNTA([2]BackOffice!$R$2:$R$11))</definedName>
    <definedName name="df">[4]Dropboxen!$A$24:$A$33</definedName>
    <definedName name="disconto">'[1](input) Basisgegevens'!$B$61</definedName>
    <definedName name="E._KANTOORMACH.___MEUB.">#REF!</definedName>
    <definedName name="edsb">'[1](input) Basisgegevens'!$B$4</definedName>
    <definedName name="entiteit">OFFSET([2]BackOffice!$AF$2,,,COUNTA([2]BackOffice!$AF$2:$AF$6))</definedName>
    <definedName name="evko">'[1](input) Basisgegevens'!$B$64</definedName>
    <definedName name="evweg">'[1](input) Basisgegevens'!$B$66</definedName>
    <definedName name="ExactAddinConnection" hidden="1">"650"</definedName>
    <definedName name="ExactAddinConnection.600" hidden="1">"LRMSRV02;600;wp;1"</definedName>
    <definedName name="ExactAddinConnection.650" hidden="1">"LRMSRV02;600;wp;1"</definedName>
    <definedName name="ExactAddinReports" hidden="1">1</definedName>
    <definedName name="extra">#REF!</definedName>
    <definedName name="f">'[1](input) Basisgegevens'!$B$6</definedName>
    <definedName name="F._INFORMATICA_MAT.">#REF!</definedName>
    <definedName name="FT_GROUP">'[5]Developing Store'!$D$20</definedName>
    <definedName name="FT_SIMPLE">'[5]Developing Store'!$D$22</definedName>
    <definedName name="FT_SIMPLE_BORDERED">'[5]Developing Store'!$D$24</definedName>
    <definedName name="FT_SUB_GROUP">'[5]Developing Store'!$D$26</definedName>
    <definedName name="FTEEoY24">#REF!</definedName>
    <definedName name="FTEstart">#REF!</definedName>
    <definedName name="G._LEASING">#REF!</definedName>
    <definedName name="gbinfl">'[1](input) Basisgegevens'!$B$15</definedName>
    <definedName name="grinfl">'[1](input) Basisgegevens'!$B$14</definedName>
    <definedName name="H._ROLLEND_MATERIEEL">#REF!</definedName>
    <definedName name="hoe">[2]Dropboxen!$A$11:$A$15</definedName>
    <definedName name="huurprseats">'[1](input) Basisgegevens'!$B$20</definedName>
    <definedName name="index">'[1](input) Basisgegevens'!$B$16</definedName>
    <definedName name="indexko">'[6](input) Algemene Kosten'!$B$3</definedName>
    <definedName name="insurance">#REF!</definedName>
    <definedName name="IPprotectioncosts">#REF!</definedName>
    <definedName name="irs">'[1](input) Basisgegevens'!$B$62</definedName>
    <definedName name="itax">'[1](input) Basisgegevens'!$B$9</definedName>
    <definedName name="kantoorruimte">'[1](input) Basisgegevens'!$B$30</definedName>
    <definedName name="KBClijst">[2]Dropboxen!$A$40:$A$45</definedName>
    <definedName name="laptopstuff">#REF!</definedName>
    <definedName name="legalFees">#REF!</definedName>
    <definedName name="lev">[4]Dropboxen!$A$59:$A$215</definedName>
    <definedName name="leverage">'[1](input) Basisgegevens'!$B$58</definedName>
    <definedName name="Leverancier">[2]Dropboxen!$A$61:$A$244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arketingGrowth">#REF!</definedName>
    <definedName name="MobileAndInternet">#REF!</definedName>
    <definedName name="MRRstart">#REF!</definedName>
    <definedName name="netto_opp">'[1](input) Basisgegevens'!$B$29</definedName>
    <definedName name="officeitems">#REF!</definedName>
    <definedName name="OfficeSupplies">#REF!</definedName>
    <definedName name="opp">'[1](input) Basisgegevens'!$B$28</definedName>
    <definedName name="Personen">OFFSET([2]BackOffice!$Z$2,,,COUNTA([2]BackOffice!$Z$2:$Z$21))</definedName>
    <definedName name="PersonenInit">OFFSET([2]BackOffice!$AA$2,,,COUNTA([2]BackOffice!$AA$2:$AA$21))</definedName>
    <definedName name="PLcodes">[2]BackOffice!$AK$2:$AK$11</definedName>
    <definedName name="production">#REF!</definedName>
    <definedName name="project_payment_period">[3]Costs!$B$33</definedName>
    <definedName name="prototype">#REF!</definedName>
    <definedName name="regulatorycost">#REF!</definedName>
    <definedName name="rent">#REF!</definedName>
    <definedName name="rentekt">'[1](input) Basisgegevens'!$B$56</definedName>
    <definedName name="rentelt">'[1](input) Basisgegevens'!$B$57</definedName>
    <definedName name="ropbrkt">'[1](input) Basisgegevens'!$B$59</definedName>
    <definedName name="sb">'[1](input) Basisgegevens'!$B$3</definedName>
    <definedName name="seats">'[1](input) Basisgegevens'!$B$31</definedName>
    <definedName name="supplier_payment_period">[3]Costs!$B$35</definedName>
    <definedName name="tax">'[1](input) Basisgegevens'!$B$8</definedName>
    <definedName name="te_zoeken_subsidies">'[1](input) Basisgegevens'!$B$54</definedName>
    <definedName name="tooling">#REF!</definedName>
    <definedName name="TOTALEN_PER_JAAR">#REF!</definedName>
    <definedName name="TravelperFTE">#REF!</definedName>
    <definedName name="trial">#REF!</definedName>
    <definedName name="vergoeding_gemeensch">'[1](input) Basisgegevens'!$B$35</definedName>
    <definedName name="vergoeding_vruchtgebruik">'[1](input) Basisgegevens'!$B$34</definedName>
    <definedName name="vks">'[1](input) Basisgegevens'!$B$24</definedName>
    <definedName name="voorwie">[2]Dropboxen!$A$17:$A$22</definedName>
    <definedName name="vvko">'[1](input) Basisgegevens'!$B$65</definedName>
    <definedName name="wan">[4]Dropboxen!$A$3:$A$9</definedName>
    <definedName name="wanneer">[2]Dropboxen!$A$3:$A$9</definedName>
    <definedName name="_xlnm.Print_Area" localSheetId="3">'Historiek'!$A$1:$E$546</definedName>
    <definedName name="_xlnm.Print_Area" localSheetId="4">'Balans'!$A$1:$L$58</definedName>
    <definedName name="index" localSheetId="10">[3]Costs!$B$32</definedName>
    <definedName name="index" localSheetId="13">[3]Costs!$B$32</definedName>
    <definedName name="index" localSheetId="14">[3]Costs!$B$32</definedName>
    <definedName name="_xlnm.Print_Titles" localSheetId="21">'Beta &amp; Gearing'!$10:$10</definedName>
    <definedName name="_xlnm._FilterDatabase" localSheetId="26" hidden="1">'Overview'!$A$1:$F$254</definedName>
  </definedNames>
  <calcPr calcId="191029" calcMode="autoNoTable" fullCalcOnLoad="1"/>
</workbook>
</file>

<file path=xl/styles.xml><?xml version="1.0" encoding="utf-8"?>
<styleSheet xmlns="http://schemas.openxmlformats.org/spreadsheetml/2006/main">
  <numFmts count="17">
    <numFmt numFmtId="164" formatCode="0.0%"/>
    <numFmt numFmtId="165" formatCode="#,##0.0\x"/>
    <numFmt numFmtId="166" formatCode="0.000"/>
    <numFmt numFmtId="167" formatCode="0.0\x"/>
    <numFmt numFmtId="168" formatCode="#,##0.00;\ \(#,##0.00\)"/>
    <numFmt numFmtId="169" formatCode="0.00%;\ \(0.00%\)"/>
    <numFmt numFmtId="170" formatCode="_(* #,##0.0%_);_(* \(#,##0.0%\);_(* &quot; - &quot;_);_(* @_)"/>
    <numFmt numFmtId="171" formatCode="#,##0.0"/>
    <numFmt numFmtId="172" formatCode="_ * #,##0_ ;_ * \-#,##0_ ;_ * &quot;-&quot;??_ ;_ @_ "/>
    <numFmt numFmtId="173" formatCode="0.0"/>
    <numFmt numFmtId="174" formatCode="0.0000"/>
    <numFmt numFmtId="175" formatCode="mm/yy"/>
    <numFmt numFmtId="176" formatCode="#,##0_);_ \(#,##0\)\ ;_ &quot;-&quot;_ ;_ @_ "/>
    <numFmt numFmtId="177" formatCode="_-* #,##0.00\ _B_F_-;\-* #,##0.00\ _B_F_-;_-* &quot;-&quot;??\ _B_F_-;_-@_-"/>
    <numFmt numFmtId="178" formatCode="_-* #,##0.00\ &quot;€&quot;_-;\-* #,##0.00\ &quot;€&quot;_-;_-* &quot;-&quot;??\ &quot;€&quot;_-;_-@_-"/>
    <numFmt numFmtId="179" formatCode="_-* #,##0.00_-;\-* #,##0.00_-;_-* &quot;-&quot;??_-;_-@_-"/>
    <numFmt numFmtId="180" formatCode="_-* #,##0.00\ _€_-;\-* #,##0.00\ _€_-;_-* &quot;-&quot;??\ _€_-;_-@_-"/>
  </numFmts>
  <fonts count="9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8"/>
    </font>
    <font>
      <name val="Arial"/>
      <family val="2"/>
      <i val="1"/>
      <sz val="8"/>
    </font>
    <font>
      <name val="Arial"/>
      <family val="2"/>
      <sz val="8"/>
    </font>
    <font>
      <name val="Arial"/>
      <family val="2"/>
      <b val="1"/>
      <sz val="8"/>
    </font>
    <font>
      <name val="Arial"/>
      <family val="2"/>
      <b val="1"/>
      <color theme="0"/>
      <sz val="10"/>
    </font>
    <font>
      <name val="Arial"/>
      <family val="2"/>
      <color theme="1"/>
      <sz val="7"/>
    </font>
    <font>
      <name val="等线"/>
      <charset val="134"/>
      <family val="2"/>
      <color theme="1"/>
      <sz val="10"/>
    </font>
    <font>
      <name val="Arial"/>
      <family val="2"/>
      <sz val="10"/>
    </font>
    <font>
      <name val="等线"/>
      <charset val="134"/>
      <family val="3"/>
      <b val="1"/>
      <color theme="1"/>
      <sz val="10"/>
    </font>
    <font>
      <name val="Arial"/>
      <family val="2"/>
      <color rgb="FFFF0000"/>
      <sz val="10"/>
    </font>
    <font>
      <name val="Arial"/>
      <family val="2"/>
      <color rgb="FF000000"/>
      <sz val="10"/>
    </font>
    <font>
      <name val="Arial"/>
      <family val="2"/>
      <b val="1"/>
      <color theme="1"/>
      <sz val="10"/>
    </font>
    <font>
      <name val="Arial"/>
      <family val="2"/>
      <b val="1"/>
      <color rgb="FF000000"/>
      <sz val="10"/>
    </font>
    <font>
      <name val="Times New Roman"/>
      <family val="1"/>
      <sz val="10"/>
    </font>
    <font>
      <name val="Arial"/>
      <family val="2"/>
      <color theme="0"/>
      <sz val="10"/>
    </font>
    <font>
      <name val="Arial"/>
      <family val="2"/>
      <b val="1"/>
      <sz val="10"/>
    </font>
    <font>
      <name val="Arial"/>
      <family val="2"/>
      <i val="1"/>
      <color theme="0"/>
      <sz val="10"/>
    </font>
    <font>
      <name val="Arial"/>
      <family val="2"/>
      <color theme="1"/>
      <sz val="10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MS Sans Serif"/>
      <family val="2"/>
      <sz val="10"/>
    </font>
    <font>
      <name val="Arial"/>
      <family val="2"/>
      <i val="1"/>
      <color theme="1"/>
      <sz val="10"/>
    </font>
    <font>
      <name val="Arial"/>
      <family val="2"/>
      <i val="1"/>
      <sz val="10"/>
    </font>
    <font>
      <name val="Arial"/>
      <family val="2"/>
      <b val="1"/>
      <color rgb="FFFF0000"/>
      <sz val="10"/>
    </font>
    <font>
      <name val="Arial"/>
      <family val="2"/>
      <color rgb="FF00AA8E"/>
      <sz val="10"/>
    </font>
    <font>
      <name val="Verdana"/>
      <family val="2"/>
      <b val="1"/>
      <color rgb="FF000000"/>
      <sz val="9"/>
    </font>
    <font>
      <name val="Arial"/>
      <family val="2"/>
      <b val="1"/>
      <color rgb="FFFFFFFF"/>
      <sz val="9"/>
    </font>
    <font>
      <name val="Calibri"/>
      <family val="2"/>
      <b val="1"/>
      <color rgb="FF000000"/>
      <sz val="12"/>
      <scheme val="minor"/>
    </font>
    <font>
      <name val="Calibri"/>
      <family val="2"/>
      <i val="1"/>
      <color rgb="FF000000"/>
      <sz val="12"/>
      <scheme val="minor"/>
    </font>
    <font>
      <name val="Calibri"/>
      <family val="2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Verdana"/>
      <family val="2"/>
      <i val="1"/>
      <sz val="10"/>
    </font>
    <font>
      <name val="Verdana"/>
      <family val="2"/>
      <sz val="10"/>
    </font>
    <font>
      <name val="Verdana"/>
      <family val="2"/>
      <b val="1"/>
      <sz val="10"/>
    </font>
    <font>
      <name val="Arial Narrow"/>
      <family val="2"/>
      <color theme="1"/>
      <sz val="11"/>
    </font>
    <font>
      <name val="Arial Narrow"/>
      <family val="2"/>
      <sz val="11"/>
    </font>
    <font>
      <name val="Arial Narrow"/>
      <family val="2"/>
      <color rgb="FFFF0000"/>
      <sz val="11"/>
    </font>
    <font>
      <name val="Times New Roman"/>
      <family val="1"/>
      <sz val="10"/>
    </font>
    <font>
      <name val="Times New Roman"/>
      <family val="1"/>
      <b val="1"/>
      <sz val="11"/>
    </font>
    <font>
      <name val="Times New Roman"/>
      <family val="1"/>
      <b val="1"/>
      <sz val="8"/>
    </font>
    <font>
      <name val="Times New Roman"/>
      <family val="1"/>
      <sz val="8"/>
    </font>
    <font>
      <name val="Times New Roman"/>
      <family val="1"/>
      <b val="1"/>
      <sz val="10"/>
    </font>
    <font>
      <name val="Times New Roman"/>
      <family val="1"/>
      <b val="1"/>
      <i val="1"/>
      <sz val="10"/>
    </font>
    <font>
      <name val="Times New Roman"/>
      <family val="1"/>
      <color rgb="FFFF0000"/>
      <sz val="8"/>
    </font>
    <font>
      <name val="Times New Roman"/>
      <family val="1"/>
      <b val="1"/>
      <color rgb="FFFF0000"/>
      <sz val="8"/>
    </font>
    <font>
      <name val="Times New Roman"/>
      <family val="1"/>
      <b val="1"/>
      <i val="1"/>
      <sz val="8"/>
    </font>
    <font>
      <name val="Times New Roman"/>
      <family val="1"/>
      <i val="1"/>
      <sz val="8"/>
    </font>
    <font>
      <name val="Times New Roman"/>
      <family val="1"/>
      <b val="1"/>
      <sz val="8"/>
      <u val="single"/>
    </font>
    <font>
      <name val="Times New Roman"/>
      <family val="1"/>
      <b val="1"/>
      <i val="1"/>
      <sz val="10"/>
      <u val="single"/>
    </font>
    <font>
      <name val="Times New Roman"/>
      <family val="1"/>
      <sz val="6"/>
    </font>
    <font>
      <name val="Times New Roman"/>
      <family val="1"/>
      <b val="1"/>
      <sz val="10"/>
      <u val="single"/>
    </font>
    <font>
      <name val="Times New Roman"/>
      <family val="1"/>
      <color theme="1"/>
      <sz val="8"/>
    </font>
    <font>
      <name val="Times New Roman"/>
      <family val="1"/>
      <sz val="12"/>
    </font>
    <font>
      <name val="Times New Roman"/>
      <family val="1"/>
      <b val="1"/>
      <color indexed="9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color theme="10"/>
      <sz val="12"/>
      <u val="single"/>
      <scheme val="minor"/>
    </font>
    <font>
      <name val="Times New Roman"/>
      <family val="1"/>
      <b val="1"/>
      <color rgb="FFFF0000"/>
      <sz val="11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Arial"/>
      <family val="2"/>
      <i val="1"/>
      <color rgb="FFFF0000"/>
      <sz val="10"/>
    </font>
    <font>
      <name val="Calibri"/>
      <family val="2"/>
      <color rgb="FFFF0000"/>
      <sz val="11"/>
      <scheme val="minor"/>
    </font>
    <font>
      <name val="Arial"/>
      <family val="2"/>
      <color theme="0" tint="-0.3499862666707358"/>
      <sz val="10"/>
    </font>
    <font>
      <name val="Arial"/>
      <family val="2"/>
      <i val="1"/>
      <color theme="0" tint="-0.3499862666707358"/>
      <sz val="10"/>
    </font>
    <font>
      <name val="Arial"/>
      <family val="2"/>
      <color rgb="FFFF0000"/>
      <sz val="8"/>
    </font>
    <font>
      <name val="Trebuchet MS"/>
      <family val="2"/>
      <color theme="1"/>
      <sz val="9"/>
    </font>
    <font>
      <name val="Trebuchet MS"/>
      <family val="2"/>
      <b val="1"/>
      <color theme="1"/>
      <sz val="9"/>
      <u val="single"/>
    </font>
    <font>
      <name val="Trebuchet MS"/>
      <family val="2"/>
      <b val="1"/>
      <color theme="0"/>
      <sz val="9"/>
      <u val="single"/>
    </font>
    <font>
      <name val="Trebuchet MS"/>
      <family val="2"/>
      <b val="1"/>
      <color theme="0"/>
      <sz val="9"/>
    </font>
    <font>
      <name val="Trebuchet MS"/>
      <family val="2"/>
      <b val="1"/>
      <color theme="1"/>
      <sz val="9"/>
    </font>
    <font>
      <name val="Trebuchet MS"/>
      <family val="2"/>
      <color theme="0"/>
      <sz val="9"/>
    </font>
    <font>
      <name val="Trebuchet MS"/>
      <family val="2"/>
      <color theme="1"/>
      <sz val="8"/>
    </font>
    <font>
      <name val="Times New Roman"/>
      <family val="1"/>
      <b val="1"/>
      <color theme="1"/>
      <sz val="10"/>
    </font>
    <font>
      <name val="Arial Narrow"/>
      <family val="2"/>
      <b val="1"/>
      <color rgb="FF1E4B46"/>
      <sz val="15"/>
    </font>
    <font>
      <name val="Arial Narrow"/>
      <family val="2"/>
      <color rgb="FF1E4B46"/>
      <sz val="11"/>
    </font>
    <font>
      <name val="Times New Roman"/>
      <family val="1"/>
      <b val="1"/>
      <color theme="0"/>
      <sz val="14"/>
    </font>
    <font>
      <name val="Times New Roman"/>
      <family val="1"/>
      <b val="1"/>
      <color theme="0"/>
      <sz val="12"/>
    </font>
    <font>
      <name val="Times New Roman"/>
      <family val="1"/>
      <b val="1"/>
      <color theme="0"/>
      <sz val="10"/>
    </font>
    <font>
      <name val="Times New Roman"/>
      <family val="1"/>
      <b val="1"/>
      <i val="1"/>
      <color theme="0"/>
      <sz val="10"/>
    </font>
    <font>
      <name val="Times New Roman"/>
      <family val="1"/>
      <color theme="0"/>
      <sz val="8"/>
    </font>
    <font>
      <name val="Times New Roman"/>
      <family val="1"/>
      <color theme="0"/>
      <sz val="10"/>
    </font>
    <font>
      <name val="Times New Roman"/>
      <family val="1"/>
      <b val="1"/>
      <color theme="0"/>
      <sz val="8"/>
    </font>
    <font>
      <name val="Arial"/>
      <family val="2"/>
      <color rgb="FF1E4B46"/>
      <sz val="10"/>
    </font>
    <font>
      <b val="1"/>
    </font>
  </fonts>
  <fills count="27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AC8C"/>
        <bgColor indexed="64"/>
      </patternFill>
    </fill>
    <fill>
      <patternFill patternType="solid">
        <fgColor rgb="FFEBFFFC"/>
        <bgColor indexed="64"/>
      </patternFill>
    </fill>
    <fill>
      <patternFill patternType="solid">
        <fgColor rgb="FF86BC25"/>
        <bgColor indexed="64"/>
      </patternFill>
    </fill>
    <fill>
      <patternFill patternType="solid">
        <fgColor theme="0" tint="-0.1499984740745262"/>
        <bgColor rgb="FF000000"/>
      </patternFill>
    </fill>
    <fill>
      <patternFill patternType="solid">
        <fgColor theme="0" tint="-0.1499984740745262"/>
        <bgColor theme="0" tint="-0.1499984740745262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1F4B47"/>
        <bgColor indexed="64"/>
      </patternFill>
    </fill>
    <fill>
      <patternFill patternType="solid">
        <fgColor rgb="FFF9D2B1"/>
        <bgColor indexed="64"/>
      </patternFill>
    </fill>
    <fill>
      <patternFill patternType="solid">
        <fgColor rgb="FFFAB076"/>
        <bgColor indexed="64"/>
      </patternFill>
    </fill>
    <fill>
      <patternFill patternType="solid">
        <fgColor rgb="FF327E75"/>
        <bgColor indexed="64"/>
      </patternFill>
    </fill>
    <fill>
      <patternFill patternType="solid">
        <fgColor rgb="FFFFF685"/>
        <bgColor indexed="64"/>
      </patternFill>
    </fill>
    <fill>
      <patternFill patternType="solid">
        <fgColor rgb="FFF08B38"/>
        <bgColor indexed="64"/>
      </patternFill>
    </fill>
    <fill>
      <patternFill patternType="solid">
        <fgColor rgb="FF1E4B46"/>
        <bgColor indexed="64"/>
      </patternFill>
    </fill>
    <fill>
      <patternFill patternType="solid">
        <fgColor rgb="FFABE1FA"/>
        <bgColor indexed="64"/>
      </patternFill>
    </fill>
    <fill>
      <patternFill patternType="solid">
        <fgColor rgb="FFA4510C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00D3D3D3"/>
        <bgColor rgb="00D3D3D3"/>
      </patternFill>
    </fill>
  </fills>
  <borders count="5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AA8E"/>
      </left>
      <right/>
      <top style="thin">
        <color rgb="FF00AA8E"/>
      </top>
      <bottom/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thin">
        <color rgb="FF00AA8E"/>
      </top>
      <bottom/>
      <diagonal/>
    </border>
    <border>
      <left/>
      <right style="thick">
        <color theme="0"/>
      </right>
      <top style="thin">
        <color rgb="FF00AA8E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1E4B46"/>
      </left>
      <right/>
      <top style="thick">
        <color rgb="FF1E4B46"/>
      </top>
      <bottom/>
      <diagonal/>
    </border>
    <border>
      <left/>
      <right/>
      <top style="thick">
        <color rgb="FF1E4B46"/>
      </top>
      <bottom/>
      <diagonal/>
    </border>
    <border>
      <left/>
      <right style="thick">
        <color rgb="FF1E4B46"/>
      </right>
      <top style="thick">
        <color rgb="FF1E4B46"/>
      </top>
      <bottom/>
      <diagonal/>
    </border>
    <border>
      <left style="thick">
        <color rgb="FF1E4B46"/>
      </left>
      <right/>
      <top/>
      <bottom style="thick">
        <color rgb="FF1E4B46"/>
      </bottom>
      <diagonal/>
    </border>
    <border>
      <left/>
      <right/>
      <top/>
      <bottom style="thick">
        <color rgb="FF1E4B46"/>
      </bottom>
      <diagonal/>
    </border>
    <border>
      <left/>
      <right style="thick">
        <color rgb="FF1E4B46"/>
      </right>
      <top/>
      <bottom style="thick">
        <color rgb="FF1E4B46"/>
      </bottom>
      <diagonal/>
    </border>
    <border>
      <left style="double">
        <color theme="0"/>
      </left>
      <right/>
      <top style="double">
        <color theme="0"/>
      </top>
      <bottom style="double">
        <color theme="0"/>
      </bottom>
      <diagonal/>
    </border>
    <border>
      <left/>
      <right/>
      <top style="double">
        <color theme="0"/>
      </top>
      <bottom style="double">
        <color theme="0"/>
      </bottom>
      <diagonal/>
    </border>
    <border>
      <left/>
      <right style="double">
        <color theme="0"/>
      </right>
      <top style="double">
        <color theme="0"/>
      </top>
      <bottom style="double">
        <color theme="0"/>
      </bottom>
      <diagonal/>
    </border>
    <border>
      <left/>
      <right/>
      <top style="double">
        <color theme="0"/>
      </top>
      <bottom/>
      <diagonal/>
    </border>
    <border>
      <left/>
      <right style="double">
        <color theme="0"/>
      </right>
      <top style="double">
        <color theme="0"/>
      </top>
      <bottom/>
      <diagonal/>
    </border>
  </borders>
  <cellStyleXfs count="28">
    <xf numFmtId="0" fontId="1" fillId="0" borderId="0"/>
    <xf numFmtId="43" fontId="1" fillId="0" borderId="0"/>
    <xf numFmtId="9" fontId="1" fillId="0" borderId="0"/>
    <xf numFmtId="0" fontId="2" fillId="0" borderId="1"/>
    <xf numFmtId="0" fontId="3" fillId="0" borderId="0"/>
    <xf numFmtId="0" fontId="11" fillId="0" borderId="0" applyAlignment="1">
      <alignment vertical="center"/>
    </xf>
    <xf numFmtId="0" fontId="12" fillId="0" borderId="0"/>
    <xf numFmtId="9" fontId="1" fillId="0" borderId="0"/>
    <xf numFmtId="9" fontId="11" fillId="0" borderId="0" applyAlignment="1">
      <alignment vertical="center"/>
    </xf>
    <xf numFmtId="176" fontId="13" fillId="0" borderId="0" applyAlignment="1">
      <alignment vertical="center"/>
    </xf>
    <xf numFmtId="0" fontId="44" fillId="0" borderId="0"/>
    <xf numFmtId="177" fontId="12" fillId="0" borderId="0"/>
    <xf numFmtId="0" fontId="12" fillId="0" borderId="0"/>
    <xf numFmtId="0" fontId="25" fillId="0" borderId="0"/>
    <xf numFmtId="0" fontId="1" fillId="0" borderId="0"/>
    <xf numFmtId="0" fontId="22" fillId="0" borderId="0"/>
    <xf numFmtId="0" fontId="44" fillId="0" borderId="0"/>
    <xf numFmtId="43" fontId="44" fillId="0" borderId="0"/>
    <xf numFmtId="0" fontId="44" fillId="0" borderId="0"/>
    <xf numFmtId="9" fontId="44" fillId="0" borderId="0"/>
    <xf numFmtId="178" fontId="1" fillId="0" borderId="0"/>
    <xf numFmtId="0" fontId="61" fillId="0" borderId="0"/>
    <xf numFmtId="179" fontId="1" fillId="0" borderId="0"/>
    <xf numFmtId="0" fontId="37" fillId="0" borderId="0"/>
    <xf numFmtId="0" fontId="62" fillId="0" borderId="0"/>
    <xf numFmtId="9" fontId="37" fillId="0" borderId="0"/>
    <xf numFmtId="0" fontId="1" fillId="0" borderId="0"/>
    <xf numFmtId="180" fontId="44" fillId="0" borderId="0"/>
  </cellStyleXfs>
  <cellXfs count="937">
    <xf numFmtId="0" fontId="0" fillId="0" borderId="0" pivotButton="0" quotePrefix="0" xfId="0"/>
    <xf numFmtId="3" fontId="14" fillId="3" borderId="0" applyAlignment="1" pivotButton="0" quotePrefix="0" xfId="0">
      <alignment horizontal="center"/>
    </xf>
    <xf numFmtId="0" fontId="15" fillId="0" borderId="0" pivotButton="0" quotePrefix="0" xfId="0"/>
    <xf numFmtId="0" fontId="14" fillId="0" borderId="0" pivotButton="0" quotePrefix="0" xfId="0"/>
    <xf numFmtId="3" fontId="12" fillId="0" borderId="0" pivotButton="0" quotePrefix="0" xfId="0"/>
    <xf numFmtId="3" fontId="15" fillId="0" borderId="0" pivotButton="0" quotePrefix="0" xfId="0"/>
    <xf numFmtId="0" fontId="12" fillId="0" borderId="0" pivotButton="0" quotePrefix="0" xfId="0"/>
    <xf numFmtId="3" fontId="16" fillId="0" borderId="0" applyAlignment="1" pivotButton="0" quotePrefix="0" xfId="1">
      <alignment horizontal="right"/>
    </xf>
    <xf numFmtId="3" fontId="14" fillId="0" borderId="0" pivotButton="0" quotePrefix="0" xfId="0"/>
    <xf numFmtId="164" fontId="15" fillId="0" borderId="0" pivotButton="0" quotePrefix="0" xfId="2"/>
    <xf numFmtId="3" fontId="14" fillId="0" borderId="0" applyAlignment="1" pivotButton="0" quotePrefix="0" xfId="0">
      <alignment horizontal="center"/>
    </xf>
    <xf numFmtId="164" fontId="15" fillId="0" borderId="0" pivotButton="0" quotePrefix="0" xfId="2"/>
    <xf numFmtId="0" fontId="15" fillId="0" borderId="14" pivotButton="0" quotePrefix="0" xfId="0"/>
    <xf numFmtId="0" fontId="17" fillId="0" borderId="14" applyAlignment="1" pivotButton="0" quotePrefix="0" xfId="0">
      <alignment horizontal="right"/>
    </xf>
    <xf numFmtId="3" fontId="12" fillId="0" borderId="14" pivotButton="0" quotePrefix="0" xfId="0"/>
    <xf numFmtId="3" fontId="16" fillId="0" borderId="14" pivotButton="0" quotePrefix="0" xfId="0"/>
    <xf numFmtId="3" fontId="20" fillId="0" borderId="0" pivotButton="0" quotePrefix="0" xfId="0"/>
    <xf numFmtId="3" fontId="20" fillId="0" borderId="14" pivotButton="0" quotePrefix="0" xfId="0"/>
    <xf numFmtId="1" fontId="15" fillId="0" borderId="14" pivotButton="0" quotePrefix="0" xfId="0"/>
    <xf numFmtId="3" fontId="22" fillId="0" borderId="14" pivotButton="0" quotePrefix="0" xfId="0"/>
    <xf numFmtId="3" fontId="14" fillId="0" borderId="14" pivotButton="0" quotePrefix="0" xfId="0"/>
    <xf numFmtId="3" fontId="15" fillId="0" borderId="14" pivotButton="0" quotePrefix="0" xfId="0"/>
    <xf numFmtId="3" fontId="16" fillId="0" borderId="14" applyAlignment="1" pivotButton="0" quotePrefix="0" xfId="1">
      <alignment horizontal="right"/>
    </xf>
    <xf numFmtId="164" fontId="15" fillId="0" borderId="14" pivotButton="0" quotePrefix="0" xfId="2"/>
    <xf numFmtId="0" fontId="17" fillId="0" borderId="0" pivotButton="0" quotePrefix="0" xfId="0"/>
    <xf numFmtId="3" fontId="17" fillId="0" borderId="14" pivotButton="0" quotePrefix="0" xfId="0"/>
    <xf numFmtId="164" fontId="15" fillId="0" borderId="14" pivotButton="0" quotePrefix="0" xfId="2"/>
    <xf numFmtId="165" fontId="15" fillId="0" borderId="14" pivotButton="0" quotePrefix="0" xfId="0"/>
    <xf numFmtId="0" fontId="23" fillId="0" borderId="0" pivotButton="0" quotePrefix="0" xfId="0"/>
    <xf numFmtId="0" fontId="24" fillId="0" borderId="0" pivotButton="0" quotePrefix="0" xfId="0"/>
    <xf numFmtId="0" fontId="24" fillId="2" borderId="0" pivotButton="0" quotePrefix="0" xfId="0"/>
    <xf numFmtId="0" fontId="15" fillId="2" borderId="0" pivotButton="0" quotePrefix="0" xfId="0"/>
    <xf numFmtId="0" fontId="12" fillId="0" borderId="14" pivotButton="0" quotePrefix="0" xfId="0"/>
    <xf numFmtId="0" fontId="12" fillId="0" borderId="0" applyAlignment="1" pivotButton="0" quotePrefix="0" xfId="0">
      <alignment horizontal="left"/>
    </xf>
    <xf numFmtId="164" fontId="12" fillId="0" borderId="0" applyAlignment="1" pivotButton="0" quotePrefix="0" xfId="2">
      <alignment horizontal="right"/>
    </xf>
    <xf numFmtId="0" fontId="12" fillId="0" borderId="3" applyAlignment="1" pivotButton="0" quotePrefix="0" xfId="0">
      <alignment horizontal="left"/>
    </xf>
    <xf numFmtId="2" fontId="12" fillId="0" borderId="2" applyAlignment="1" pivotButton="0" quotePrefix="0" xfId="0">
      <alignment horizontal="right"/>
    </xf>
    <xf numFmtId="0" fontId="12" fillId="0" borderId="8" applyAlignment="1" pivotButton="0" quotePrefix="0" xfId="0">
      <alignment horizontal="left"/>
    </xf>
    <xf numFmtId="164" fontId="12" fillId="0" borderId="9" pivotButton="0" quotePrefix="0" xfId="0"/>
    <xf numFmtId="9" fontId="12" fillId="0" borderId="0" pivotButton="0" quotePrefix="0" xfId="2"/>
    <xf numFmtId="164" fontId="12" fillId="0" borderId="14" pivotButton="0" quotePrefix="0" xfId="2"/>
    <xf numFmtId="0" fontId="12" fillId="0" borderId="5" applyAlignment="1" pivotButton="0" quotePrefix="0" xfId="0">
      <alignment horizontal="left"/>
    </xf>
    <xf numFmtId="2" fontId="12" fillId="0" borderId="7" pivotButton="0" quotePrefix="0" xfId="0"/>
    <xf numFmtId="164" fontId="12" fillId="0" borderId="0" pivotButton="0" quotePrefix="0" xfId="0"/>
    <xf numFmtId="164" fontId="12" fillId="0" borderId="14" pivotButton="0" quotePrefix="0" xfId="0"/>
    <xf numFmtId="164" fontId="14" fillId="0" borderId="0" pivotButton="0" quotePrefix="0" xfId="0"/>
    <xf numFmtId="0" fontId="20" fillId="0" borderId="0" pivotButton="0" quotePrefix="0" xfId="0"/>
    <xf numFmtId="164" fontId="20" fillId="0" borderId="0" pivotButton="0" quotePrefix="0" xfId="0"/>
    <xf numFmtId="0" fontId="20" fillId="0" borderId="0" applyAlignment="1" pivotButton="0" quotePrefix="0" xfId="0">
      <alignment horizontal="left"/>
    </xf>
    <xf numFmtId="0" fontId="20" fillId="0" borderId="10" applyAlignment="1" pivotButton="0" quotePrefix="0" xfId="0">
      <alignment horizontal="left"/>
    </xf>
    <xf numFmtId="164" fontId="20" fillId="0" borderId="12" pivotButton="0" quotePrefix="0" xfId="0"/>
    <xf numFmtId="14" fontId="1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right"/>
    </xf>
    <xf numFmtId="164" fontId="12" fillId="0" borderId="0" applyAlignment="1" pivotButton="0" quotePrefix="0" xfId="0">
      <alignment horizontal="right"/>
    </xf>
    <xf numFmtId="3" fontId="16" fillId="0" borderId="14" applyAlignment="1" pivotButton="0" quotePrefix="0" xfId="2">
      <alignment horizontal="right"/>
    </xf>
    <xf numFmtId="3" fontId="16" fillId="0" borderId="0" applyAlignment="1" pivotButton="0" quotePrefix="0" xfId="2">
      <alignment horizontal="right"/>
    </xf>
    <xf numFmtId="0" fontId="27" fillId="0" borderId="0" applyAlignment="1" pivotButton="0" quotePrefix="0" xfId="0">
      <alignment horizontal="left"/>
    </xf>
    <xf numFmtId="164" fontId="26" fillId="0" borderId="15" applyAlignment="1" pivotButton="0" quotePrefix="0" xfId="2">
      <alignment horizontal="right"/>
    </xf>
    <xf numFmtId="164" fontId="26" fillId="0" borderId="6" applyAlignment="1" pivotButton="0" quotePrefix="0" xfId="2">
      <alignment horizontal="right"/>
    </xf>
    <xf numFmtId="3" fontId="20" fillId="0" borderId="0" applyAlignment="1" pivotButton="0" quotePrefix="0" xfId="2">
      <alignment horizontal="right"/>
    </xf>
    <xf numFmtId="164" fontId="26" fillId="0" borderId="14" applyAlignment="1" pivotButton="0" quotePrefix="0" xfId="2">
      <alignment horizontal="right"/>
    </xf>
    <xf numFmtId="3" fontId="22" fillId="0" borderId="14" applyAlignment="1" pivotButton="0" quotePrefix="0" xfId="2">
      <alignment horizontal="right"/>
    </xf>
    <xf numFmtId="164" fontId="22" fillId="0" borderId="15" applyAlignment="1" pivotButton="0" quotePrefix="0" xfId="2">
      <alignment horizontal="right"/>
    </xf>
    <xf numFmtId="164" fontId="22" fillId="0" borderId="6" applyAlignment="1" pivotButton="0" quotePrefix="0" xfId="2">
      <alignment horizontal="right"/>
    </xf>
    <xf numFmtId="0" fontId="12" fillId="4" borderId="0" applyAlignment="1" pivotButton="0" quotePrefix="0" xfId="0">
      <alignment horizontal="left"/>
    </xf>
    <xf numFmtId="3" fontId="12" fillId="4" borderId="14" pivotButton="0" quotePrefix="0" xfId="0"/>
    <xf numFmtId="3" fontId="12" fillId="4" borderId="0" pivotButton="0" quotePrefix="0" xfId="0"/>
    <xf numFmtId="3" fontId="28" fillId="0" borderId="14" pivotButton="0" quotePrefix="0" xfId="0"/>
    <xf numFmtId="166" fontId="12" fillId="0" borderId="0" pivotButton="0" quotePrefix="0" xfId="0"/>
    <xf numFmtId="0" fontId="12" fillId="0" borderId="8" pivotButton="0" quotePrefix="0" xfId="0"/>
    <xf numFmtId="3" fontId="12" fillId="0" borderId="9" pivotButton="0" quotePrefix="0" xfId="0"/>
    <xf numFmtId="0" fontId="20" fillId="0" borderId="5" pivotButton="0" quotePrefix="0" xfId="0"/>
    <xf numFmtId="3" fontId="20" fillId="0" borderId="7" pivotButton="0" quotePrefix="0" xfId="0"/>
    <xf numFmtId="1" fontId="12" fillId="0" borderId="14" pivotButton="0" quotePrefix="0" xfId="0"/>
    <xf numFmtId="1" fontId="12" fillId="0" borderId="0" pivotButton="0" quotePrefix="0" xfId="0"/>
    <xf numFmtId="0" fontId="20" fillId="0" borderId="3" pivotButton="0" quotePrefix="0" xfId="0"/>
    <xf numFmtId="0" fontId="20" fillId="0" borderId="4" applyAlignment="1" pivotButton="0" quotePrefix="0" xfId="0">
      <alignment horizontal="right"/>
    </xf>
    <xf numFmtId="0" fontId="20" fillId="0" borderId="2" applyAlignment="1" pivotButton="0" quotePrefix="0" xfId="0">
      <alignment horizontal="right"/>
    </xf>
    <xf numFmtId="167" fontId="12" fillId="0" borderId="0" applyAlignment="1" pivotButton="0" quotePrefix="0" xfId="0">
      <alignment horizontal="right"/>
    </xf>
    <xf numFmtId="167" fontId="12" fillId="0" borderId="9" applyAlignment="1" pivotButton="0" quotePrefix="0" xfId="0">
      <alignment horizontal="right"/>
    </xf>
    <xf numFmtId="0" fontId="12" fillId="0" borderId="5" pivotButton="0" quotePrefix="0" xfId="0"/>
    <xf numFmtId="167" fontId="12" fillId="0" borderId="6" applyAlignment="1" pivotButton="0" quotePrefix="0" xfId="0">
      <alignment horizontal="right"/>
    </xf>
    <xf numFmtId="167" fontId="12" fillId="0" borderId="7" applyAlignment="1" pivotButton="0" quotePrefix="0" xfId="0">
      <alignment horizontal="right"/>
    </xf>
    <xf numFmtId="0" fontId="20" fillId="0" borderId="0" applyAlignment="1" pivotButton="0" quotePrefix="0" xfId="0">
      <alignment horizontal="center"/>
    </xf>
    <xf numFmtId="0" fontId="19" fillId="0" borderId="0" applyAlignment="1" pivotButton="0" quotePrefix="0" xfId="10">
      <alignment horizontal="right"/>
    </xf>
    <xf numFmtId="3" fontId="12" fillId="8" borderId="0" pivotButton="0" quotePrefix="0" xfId="0"/>
    <xf numFmtId="3" fontId="20" fillId="8" borderId="0" pivotButton="0" quotePrefix="0" xfId="0"/>
    <xf numFmtId="0" fontId="15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right"/>
    </xf>
    <xf numFmtId="0" fontId="9" fillId="0" borderId="0" applyAlignment="1" pivotButton="0" quotePrefix="1" xfId="0">
      <alignment horizontal="left"/>
    </xf>
    <xf numFmtId="4" fontId="9" fillId="0" borderId="0" applyAlignment="1" pivotButton="0" quotePrefix="0" xfId="0">
      <alignment horizontal="right"/>
    </xf>
    <xf numFmtId="167" fontId="22" fillId="0" borderId="0" pivotButton="0" quotePrefix="0" xfId="0"/>
    <xf numFmtId="164" fontId="15" fillId="0" borderId="0" applyAlignment="1" pivotButton="0" quotePrefix="0" xfId="2">
      <alignment horizontal="right"/>
    </xf>
    <xf numFmtId="3" fontId="12" fillId="0" borderId="0" applyAlignment="1" pivotButton="0" quotePrefix="0" xfId="0">
      <alignment horizontal="right"/>
    </xf>
    <xf numFmtId="0" fontId="17" fillId="0" borderId="10" pivotButton="0" quotePrefix="0" xfId="0"/>
    <xf numFmtId="0" fontId="15" fillId="0" borderId="11" pivotButton="0" quotePrefix="0" xfId="0"/>
    <xf numFmtId="3" fontId="17" fillId="0" borderId="11" pivotButton="0" quotePrefix="0" xfId="0"/>
    <xf numFmtId="3" fontId="17" fillId="0" borderId="12" pivotButton="0" quotePrefix="0" xfId="0"/>
    <xf numFmtId="14" fontId="15" fillId="0" borderId="0" pivotButton="0" quotePrefix="0" xfId="0"/>
    <xf numFmtId="167" fontId="22" fillId="0" borderId="0" applyAlignment="1" pivotButton="0" quotePrefix="0" xfId="0">
      <alignment horizontal="right"/>
    </xf>
    <xf numFmtId="0" fontId="15" fillId="0" borderId="3" pivotButton="0" quotePrefix="0" xfId="0"/>
    <xf numFmtId="0" fontId="15" fillId="0" borderId="4" pivotButton="0" quotePrefix="0" xfId="0"/>
    <xf numFmtId="3" fontId="14" fillId="3" borderId="0" pivotButton="0" quotePrefix="0" xfId="0"/>
    <xf numFmtId="0" fontId="17" fillId="0" borderId="8" pivotButton="0" quotePrefix="0" xfId="0"/>
    <xf numFmtId="0" fontId="15" fillId="0" borderId="8" pivotButton="0" quotePrefix="0" xfId="0"/>
    <xf numFmtId="0" fontId="15" fillId="0" borderId="5" pivotButton="0" quotePrefix="0" xfId="0"/>
    <xf numFmtId="0" fontId="15" fillId="0" borderId="6" pivotButton="0" quotePrefix="0" xfId="0"/>
    <xf numFmtId="0" fontId="17" fillId="0" borderId="4" pivotButton="0" quotePrefix="0" xfId="0"/>
    <xf numFmtId="0" fontId="5" fillId="0" borderId="0" pivotButton="0" quotePrefix="0" xfId="14"/>
    <xf numFmtId="0" fontId="30" fillId="0" borderId="0" applyAlignment="1" pivotButton="0" quotePrefix="0" xfId="14">
      <alignment vertical="center"/>
    </xf>
    <xf numFmtId="0" fontId="1" fillId="0" borderId="0" pivotButton="0" quotePrefix="0" xfId="14"/>
    <xf numFmtId="0" fontId="31" fillId="9" borderId="0" applyAlignment="1" pivotButton="0" quotePrefix="0" xfId="14">
      <alignment horizontal="left" vertical="center"/>
    </xf>
    <xf numFmtId="0" fontId="31" fillId="9" borderId="0" applyAlignment="1" pivotButton="0" quotePrefix="0" xfId="14">
      <alignment horizontal="right" vertical="center"/>
    </xf>
    <xf numFmtId="0" fontId="31" fillId="9" borderId="0" applyAlignment="1" pivotButton="0" quotePrefix="0" xfId="14">
      <alignment horizontal="right" vertical="center" wrapText="1"/>
    </xf>
    <xf numFmtId="0" fontId="31" fillId="0" borderId="0" applyAlignment="1" pivotButton="0" quotePrefix="0" xfId="14">
      <alignment horizontal="left" vertical="center"/>
    </xf>
    <xf numFmtId="0" fontId="31" fillId="0" borderId="0" applyAlignment="1" pivotButton="0" quotePrefix="0" xfId="14">
      <alignment horizontal="right" vertical="center"/>
    </xf>
    <xf numFmtId="0" fontId="31" fillId="0" borderId="0" applyAlignment="1" pivotButton="0" quotePrefix="0" xfId="14">
      <alignment horizontal="right" vertical="center" wrapText="1"/>
    </xf>
    <xf numFmtId="0" fontId="7" fillId="0" borderId="0" applyAlignment="1" pivotButton="0" quotePrefix="1" xfId="14">
      <alignment horizontal="right" vertical="center"/>
    </xf>
    <xf numFmtId="168" fontId="7" fillId="0" borderId="0" applyAlignment="1" pivotButton="0" quotePrefix="0" xfId="14">
      <alignment horizontal="right" vertical="center"/>
    </xf>
    <xf numFmtId="0" fontId="7" fillId="0" borderId="0" applyAlignment="1" pivotButton="0" quotePrefix="0" xfId="14">
      <alignment horizontal="right" vertical="center"/>
    </xf>
    <xf numFmtId="169" fontId="7" fillId="0" borderId="0" applyAlignment="1" pivotButton="0" quotePrefix="0" xfId="14">
      <alignment horizontal="right" vertical="center"/>
    </xf>
    <xf numFmtId="0" fontId="8" fillId="0" borderId="0" applyAlignment="1" pivotButton="0" quotePrefix="0" xfId="14">
      <alignment horizontal="left" vertical="center"/>
    </xf>
    <xf numFmtId="0" fontId="7" fillId="0" borderId="16" applyAlignment="1" pivotButton="0" quotePrefix="0" xfId="14">
      <alignment horizontal="right" vertical="center"/>
    </xf>
    <xf numFmtId="168" fontId="7" fillId="0" borderId="16" applyAlignment="1" pivotButton="0" quotePrefix="0" xfId="14">
      <alignment horizontal="right" vertical="center"/>
    </xf>
    <xf numFmtId="169" fontId="7" fillId="0" borderId="16" applyAlignment="1" pivotButton="0" quotePrefix="0" xfId="14">
      <alignment horizontal="right" vertical="center"/>
    </xf>
    <xf numFmtId="170" fontId="6" fillId="0" borderId="16" applyAlignment="1" pivotButton="0" quotePrefix="0" xfId="14">
      <alignment horizontal="left" vertical="center"/>
    </xf>
    <xf numFmtId="0" fontId="10" fillId="0" borderId="0" pivotButton="0" quotePrefix="0" xfId="14"/>
    <xf numFmtId="0" fontId="22" fillId="0" borderId="0" pivotButton="0" quotePrefix="0" xfId="15"/>
    <xf numFmtId="0" fontId="22" fillId="0" borderId="0" applyAlignment="1" pivotButton="0" quotePrefix="0" xfId="15">
      <alignment vertical="center"/>
    </xf>
    <xf numFmtId="0" fontId="4" fillId="0" borderId="0" pivotButton="0" quotePrefix="0" xfId="14"/>
    <xf numFmtId="0" fontId="0" fillId="0" borderId="0" applyAlignment="1" pivotButton="0" quotePrefix="0" xfId="0">
      <alignment vertical="top"/>
    </xf>
    <xf numFmtId="0" fontId="41" fillId="0" borderId="27" applyAlignment="1" pivotButton="0" quotePrefix="0" xfId="0">
      <alignment horizontal="center" vertical="top"/>
    </xf>
    <xf numFmtId="0" fontId="41" fillId="0" borderId="27" applyAlignment="1" pivotButton="0" quotePrefix="0" xfId="0">
      <alignment horizontal="center" vertical="top" wrapText="1"/>
    </xf>
    <xf numFmtId="0" fontId="41" fillId="0" borderId="27" applyAlignment="1" pivotButton="0" quotePrefix="0" xfId="0">
      <alignment horizontal="left" vertical="top" wrapText="1"/>
    </xf>
    <xf numFmtId="0" fontId="42" fillId="0" borderId="27" applyAlignment="1" pivotButton="0" quotePrefix="0" xfId="0">
      <alignment horizontal="left" vertical="top" wrapText="1"/>
    </xf>
    <xf numFmtId="0" fontId="41" fillId="0" borderId="28" applyAlignment="1" pivotButton="0" quotePrefix="0" xfId="0">
      <alignment horizontal="center" vertical="top" wrapText="1"/>
    </xf>
    <xf numFmtId="0" fontId="41" fillId="0" borderId="28" applyAlignment="1" pivotButton="0" quotePrefix="0" xfId="0">
      <alignment horizontal="left" vertical="top" wrapText="1"/>
    </xf>
    <xf numFmtId="0" fontId="43" fillId="0" borderId="28" applyAlignment="1" pivotButton="0" quotePrefix="0" xfId="0">
      <alignment horizontal="left" vertical="top" wrapText="1"/>
    </xf>
    <xf numFmtId="0" fontId="3" fillId="0" borderId="0" applyAlignment="1" pivotButton="0" quotePrefix="0" xfId="4">
      <alignment horizontal="center" vertical="top"/>
    </xf>
    <xf numFmtId="0" fontId="0" fillId="0" borderId="0" applyAlignment="1" pivotButton="0" quotePrefix="0" xfId="0">
      <alignment horizontal="center" vertical="top"/>
    </xf>
    <xf numFmtId="167" fontId="15" fillId="0" borderId="0" applyAlignment="1" pivotButton="0" quotePrefix="0" xfId="0">
      <alignment horizontal="right"/>
    </xf>
    <xf numFmtId="0" fontId="44" fillId="0" borderId="0" pivotButton="0" quotePrefix="0" xfId="16"/>
    <xf numFmtId="0" fontId="45" fillId="0" borderId="3" applyProtection="1" pivotButton="0" quotePrefix="0" xfId="13">
      <protection locked="0" hidden="0"/>
    </xf>
    <xf numFmtId="0" fontId="46" fillId="0" borderId="4" pivotButton="0" quotePrefix="0" xfId="13"/>
    <xf numFmtId="0" fontId="46" fillId="0" borderId="4" applyProtection="1" pivotButton="0" quotePrefix="0" xfId="13">
      <protection locked="0" hidden="0"/>
    </xf>
    <xf numFmtId="0" fontId="46" fillId="0" borderId="2" applyProtection="1" pivotButton="0" quotePrefix="0" xfId="13">
      <protection locked="0" hidden="0"/>
    </xf>
    <xf numFmtId="0" fontId="47" fillId="0" borderId="0" pivotButton="0" quotePrefix="0" xfId="13"/>
    <xf numFmtId="0" fontId="46" fillId="0" borderId="0" pivotButton="0" quotePrefix="0" xfId="13"/>
    <xf numFmtId="0" fontId="46" fillId="0" borderId="0" applyProtection="1" pivotButton="0" quotePrefix="0" xfId="13">
      <protection locked="0" hidden="0"/>
    </xf>
    <xf numFmtId="0" fontId="46" fillId="0" borderId="9" applyProtection="1" pivotButton="0" quotePrefix="0" xfId="13">
      <protection locked="0" hidden="0"/>
    </xf>
    <xf numFmtId="0" fontId="45" fillId="0" borderId="5" applyProtection="1" pivotButton="0" quotePrefix="0" xfId="13">
      <protection locked="0" hidden="0"/>
    </xf>
    <xf numFmtId="0" fontId="46" fillId="0" borderId="6" pivotButton="0" quotePrefix="0" xfId="13"/>
    <xf numFmtId="0" fontId="46" fillId="0" borderId="6" applyProtection="1" pivotButton="0" quotePrefix="0" xfId="13">
      <protection locked="0" hidden="0"/>
    </xf>
    <xf numFmtId="0" fontId="46" fillId="0" borderId="7" applyProtection="1" pivotButton="0" quotePrefix="0" xfId="13">
      <protection locked="0" hidden="0"/>
    </xf>
    <xf numFmtId="0" fontId="45" fillId="0" borderId="0" applyProtection="1" pivotButton="0" quotePrefix="0" xfId="13">
      <protection locked="0" hidden="0"/>
    </xf>
    <xf numFmtId="0" fontId="47" fillId="0" borderId="0" applyProtection="1" pivotButton="0" quotePrefix="0" xfId="13">
      <protection locked="0" hidden="0"/>
    </xf>
    <xf numFmtId="17" fontId="48" fillId="0" borderId="0" applyProtection="1" pivotButton="0" quotePrefix="0" xfId="13">
      <protection locked="0" hidden="0"/>
    </xf>
    <xf numFmtId="17" fontId="48" fillId="0" borderId="32" applyAlignment="1" applyProtection="1" pivotButton="0" quotePrefix="0" xfId="13">
      <alignment horizontal="center"/>
      <protection locked="0" hidden="0"/>
    </xf>
    <xf numFmtId="17" fontId="48" fillId="0" borderId="21" applyAlignment="1" applyProtection="1" pivotButton="0" quotePrefix="0" xfId="13">
      <alignment horizontal="center"/>
      <protection locked="0" hidden="0"/>
    </xf>
    <xf numFmtId="17" fontId="47" fillId="0" borderId="0" pivotButton="0" quotePrefix="0" xfId="13"/>
    <xf numFmtId="0" fontId="46" fillId="0" borderId="33" applyAlignment="1" applyProtection="1" pivotButton="0" quotePrefix="0" xfId="13">
      <alignment horizontal="center"/>
      <protection locked="0" hidden="0"/>
    </xf>
    <xf numFmtId="0" fontId="46" fillId="0" borderId="24" applyAlignment="1" applyProtection="1" pivotButton="0" quotePrefix="0" xfId="13">
      <alignment horizontal="center"/>
      <protection locked="0" hidden="0"/>
    </xf>
    <xf numFmtId="0" fontId="47" fillId="0" borderId="34" applyAlignment="1" applyProtection="1" pivotButton="0" quotePrefix="0" xfId="13">
      <alignment horizontal="center"/>
      <protection locked="0" hidden="0"/>
    </xf>
    <xf numFmtId="0" fontId="47" fillId="0" borderId="27" applyAlignment="1" applyProtection="1" pivotButton="0" quotePrefix="0" xfId="13">
      <alignment horizontal="center"/>
      <protection locked="0" hidden="0"/>
    </xf>
    <xf numFmtId="0" fontId="47" fillId="0" borderId="33" applyProtection="1" pivotButton="0" quotePrefix="0" xfId="13">
      <protection locked="0" hidden="0"/>
    </xf>
    <xf numFmtId="0" fontId="47" fillId="0" borderId="24" applyProtection="1" pivotButton="0" quotePrefix="0" xfId="13">
      <protection locked="0" hidden="0"/>
    </xf>
    <xf numFmtId="0" fontId="47" fillId="0" borderId="33" pivotButton="0" quotePrefix="0" xfId="13"/>
    <xf numFmtId="0" fontId="47" fillId="0" borderId="24" pivotButton="0" quotePrefix="0" xfId="13"/>
    <xf numFmtId="0" fontId="49" fillId="0" borderId="0" applyProtection="1" pivotButton="0" quotePrefix="0" xfId="13">
      <protection locked="0" hidden="0"/>
    </xf>
    <xf numFmtId="171" fontId="49" fillId="0" borderId="33" pivotButton="0" quotePrefix="0" xfId="13"/>
    <xf numFmtId="171" fontId="49" fillId="0" borderId="24" pivotButton="0" quotePrefix="0" xfId="13"/>
    <xf numFmtId="171" fontId="47" fillId="0" borderId="33" pivotButton="0" quotePrefix="0" xfId="13"/>
    <xf numFmtId="171" fontId="47" fillId="0" borderId="24" pivotButton="0" quotePrefix="0" xfId="13"/>
    <xf numFmtId="171" fontId="46" fillId="0" borderId="33" applyProtection="1" pivotButton="0" quotePrefix="0" xfId="13">
      <protection locked="0" hidden="0"/>
    </xf>
    <xf numFmtId="171" fontId="46" fillId="0" borderId="24" applyProtection="1" pivotButton="0" quotePrefix="0" xfId="13">
      <protection locked="0" hidden="0"/>
    </xf>
    <xf numFmtId="171" fontId="46" fillId="0" borderId="33" pivotButton="0" quotePrefix="0" xfId="13"/>
    <xf numFmtId="171" fontId="46" fillId="0" borderId="24" pivotButton="0" quotePrefix="0" xfId="13"/>
    <xf numFmtId="171" fontId="47" fillId="0" borderId="33" applyProtection="1" pivotButton="0" quotePrefix="0" xfId="13">
      <protection locked="0" hidden="0"/>
    </xf>
    <xf numFmtId="171" fontId="47" fillId="0" borderId="24" applyProtection="1" pivotButton="0" quotePrefix="0" xfId="13">
      <protection locked="0" hidden="0"/>
    </xf>
    <xf numFmtId="171" fontId="47" fillId="0" borderId="27" pivotButton="0" quotePrefix="0" xfId="13"/>
    <xf numFmtId="0" fontId="48" fillId="0" borderId="0" applyProtection="1" pivotButton="0" quotePrefix="0" xfId="13">
      <protection locked="0" hidden="0"/>
    </xf>
    <xf numFmtId="171" fontId="48" fillId="0" borderId="35" pivotButton="0" quotePrefix="0" xfId="13"/>
    <xf numFmtId="171" fontId="48" fillId="0" borderId="28" pivotButton="0" quotePrefix="0" xfId="13"/>
    <xf numFmtId="0" fontId="47" fillId="0" borderId="34" applyProtection="1" pivotButton="0" quotePrefix="0" xfId="13">
      <protection locked="0" hidden="0"/>
    </xf>
    <xf numFmtId="0" fontId="47" fillId="0" borderId="27" applyProtection="1" pivotButton="0" quotePrefix="0" xfId="13">
      <protection locked="0" hidden="0"/>
    </xf>
    <xf numFmtId="0" fontId="47" fillId="0" borderId="21" pivotButton="0" quotePrefix="0" xfId="13"/>
    <xf numFmtId="171" fontId="48" fillId="0" borderId="0" pivotButton="0" quotePrefix="0" xfId="13"/>
    <xf numFmtId="0" fontId="18" fillId="0" borderId="0" applyProtection="1" pivotButton="0" quotePrefix="0" xfId="13">
      <protection locked="0" hidden="0"/>
    </xf>
    <xf numFmtId="171" fontId="18" fillId="0" borderId="0" pivotButton="0" quotePrefix="0" xfId="13"/>
    <xf numFmtId="17" fontId="47" fillId="0" borderId="0" applyProtection="1" pivotButton="0" quotePrefix="0" xfId="13">
      <protection locked="0" hidden="0"/>
    </xf>
    <xf numFmtId="172" fontId="47" fillId="0" borderId="0" pivotButton="0" quotePrefix="0" xfId="17"/>
    <xf numFmtId="172" fontId="47" fillId="0" borderId="0" pivotButton="0" quotePrefix="0" xfId="13"/>
    <xf numFmtId="0" fontId="18" fillId="0" borderId="0" pivotButton="0" quotePrefix="0" xfId="13"/>
    <xf numFmtId="172" fontId="48" fillId="0" borderId="0" pivotButton="0" quotePrefix="0" xfId="13"/>
    <xf numFmtId="0" fontId="50" fillId="0" borderId="0" pivotButton="0" quotePrefix="0" xfId="13"/>
    <xf numFmtId="172" fontId="51" fillId="0" borderId="0" pivotButton="0" quotePrefix="0" xfId="17"/>
    <xf numFmtId="172" fontId="46" fillId="0" borderId="0" pivotButton="0" quotePrefix="0" xfId="17"/>
    <xf numFmtId="171" fontId="49" fillId="0" borderId="36" pivotButton="0" quotePrefix="0" xfId="13"/>
    <xf numFmtId="171" fontId="49" fillId="0" borderId="37" pivotButton="0" quotePrefix="0" xfId="13"/>
    <xf numFmtId="0" fontId="49" fillId="0" borderId="33" applyProtection="1" pivotButton="0" quotePrefix="0" xfId="13">
      <protection locked="0" hidden="0"/>
    </xf>
    <xf numFmtId="0" fontId="49" fillId="0" borderId="24" applyProtection="1" pivotButton="0" quotePrefix="0" xfId="13">
      <protection locked="0" hidden="0"/>
    </xf>
    <xf numFmtId="171" fontId="49" fillId="0" borderId="33" applyProtection="1" pivotButton="0" quotePrefix="0" xfId="13">
      <protection locked="0" hidden="0"/>
    </xf>
    <xf numFmtId="171" fontId="49" fillId="0" borderId="24" applyProtection="1" pivotButton="0" quotePrefix="0" xfId="13">
      <protection locked="0" hidden="0"/>
    </xf>
    <xf numFmtId="0" fontId="47" fillId="0" borderId="6" applyProtection="1" pivotButton="0" quotePrefix="0" xfId="13">
      <protection locked="0" hidden="0"/>
    </xf>
    <xf numFmtId="171" fontId="47" fillId="0" borderId="34" applyProtection="1" pivotButton="0" quotePrefix="0" xfId="13">
      <protection locked="0" hidden="0"/>
    </xf>
    <xf numFmtId="171" fontId="47" fillId="0" borderId="27" applyProtection="1" pivotButton="0" quotePrefix="0" xfId="13">
      <protection locked="0" hidden="0"/>
    </xf>
    <xf numFmtId="171" fontId="47" fillId="0" borderId="8" pivotButton="0" quotePrefix="0" xfId="13"/>
    <xf numFmtId="0" fontId="46" fillId="0" borderId="0" applyAlignment="1" applyProtection="1" pivotButton="0" quotePrefix="1" xfId="13">
      <alignment horizontal="left"/>
      <protection locked="0" hidden="0"/>
    </xf>
    <xf numFmtId="171" fontId="46" fillId="0" borderId="8" pivotButton="0" quotePrefix="0" xfId="13"/>
    <xf numFmtId="171" fontId="47" fillId="0" borderId="8" applyProtection="1" pivotButton="0" quotePrefix="0" xfId="13">
      <protection locked="0" hidden="0"/>
    </xf>
    <xf numFmtId="171" fontId="50" fillId="0" borderId="8" applyProtection="1" pivotButton="0" quotePrefix="0" xfId="13">
      <protection locked="0" hidden="0"/>
    </xf>
    <xf numFmtId="0" fontId="47" fillId="0" borderId="0" applyAlignment="1" applyProtection="1" pivotButton="0" quotePrefix="1" xfId="13">
      <alignment horizontal="left"/>
      <protection locked="0" hidden="0"/>
    </xf>
    <xf numFmtId="171" fontId="46" fillId="0" borderId="8" applyProtection="1" pivotButton="0" quotePrefix="0" xfId="13">
      <protection locked="0" hidden="0"/>
    </xf>
    <xf numFmtId="171" fontId="47" fillId="0" borderId="5" pivotButton="0" quotePrefix="0" xfId="13"/>
    <xf numFmtId="171" fontId="47" fillId="0" borderId="34" pivotButton="0" quotePrefix="0" xfId="13"/>
    <xf numFmtId="171" fontId="47" fillId="0" borderId="0" pivotButton="0" quotePrefix="0" xfId="13"/>
    <xf numFmtId="17" fontId="52" fillId="0" borderId="0" applyProtection="1" pivotButton="0" quotePrefix="0" xfId="13">
      <protection locked="0" hidden="0"/>
    </xf>
    <xf numFmtId="17" fontId="48" fillId="0" borderId="3" applyAlignment="1" applyProtection="1" pivotButton="0" quotePrefix="0" xfId="13">
      <alignment horizontal="center"/>
      <protection locked="0" hidden="0"/>
    </xf>
    <xf numFmtId="0" fontId="47" fillId="0" borderId="5" applyProtection="1" pivotButton="0" quotePrefix="0" xfId="13">
      <protection locked="0" hidden="0"/>
    </xf>
    <xf numFmtId="0" fontId="47" fillId="0" borderId="8" applyProtection="1" pivotButton="0" quotePrefix="0" xfId="13">
      <protection locked="0" hidden="0"/>
    </xf>
    <xf numFmtId="171" fontId="50" fillId="0" borderId="24" pivotButton="0" quotePrefix="0" xfId="13"/>
    <xf numFmtId="171" fontId="47" fillId="0" borderId="5" applyProtection="1" pivotButton="0" quotePrefix="0" xfId="13">
      <protection locked="0" hidden="0"/>
    </xf>
    <xf numFmtId="171" fontId="46" fillId="0" borderId="10" pivotButton="0" quotePrefix="0" xfId="13"/>
    <xf numFmtId="171" fontId="46" fillId="0" borderId="28" pivotButton="0" quotePrefix="0" xfId="13"/>
    <xf numFmtId="171" fontId="46" fillId="0" borderId="0" pivotButton="0" quotePrefix="0" xfId="13"/>
    <xf numFmtId="3" fontId="46" fillId="0" borderId="0" pivotButton="0" quotePrefix="0" xfId="13"/>
    <xf numFmtId="0" fontId="47" fillId="0" borderId="0" applyProtection="1" pivotButton="0" quotePrefix="1" xfId="13">
      <protection locked="0" hidden="0"/>
    </xf>
    <xf numFmtId="3" fontId="47" fillId="0" borderId="0" applyProtection="1" pivotButton="0" quotePrefix="0" xfId="13">
      <protection locked="0" hidden="0"/>
    </xf>
    <xf numFmtId="0" fontId="53" fillId="0" borderId="0" applyProtection="1" pivotButton="0" quotePrefix="0" xfId="13">
      <protection locked="0" hidden="0"/>
    </xf>
    <xf numFmtId="3" fontId="47" fillId="0" borderId="8" pivotButton="0" quotePrefix="0" xfId="13"/>
    <xf numFmtId="3" fontId="47" fillId="0" borderId="24" pivotButton="0" quotePrefix="0" xfId="13"/>
    <xf numFmtId="171" fontId="47" fillId="0" borderId="10" applyProtection="1" pivotButton="0" quotePrefix="0" xfId="13">
      <protection locked="0" hidden="0"/>
    </xf>
    <xf numFmtId="171" fontId="47" fillId="0" borderId="28" applyProtection="1" pivotButton="0" quotePrefix="0" xfId="13">
      <protection locked="0" hidden="0"/>
    </xf>
    <xf numFmtId="171" fontId="48" fillId="0" borderId="3" applyAlignment="1" applyProtection="1" pivotButton="0" quotePrefix="0" xfId="13">
      <alignment horizontal="right"/>
      <protection locked="0" hidden="0"/>
    </xf>
    <xf numFmtId="171" fontId="48" fillId="0" borderId="21" applyAlignment="1" applyProtection="1" pivotButton="0" quotePrefix="0" xfId="13">
      <alignment horizontal="right"/>
      <protection locked="0" hidden="0"/>
    </xf>
    <xf numFmtId="0" fontId="25" fillId="0" borderId="0" pivotButton="0" quotePrefix="0" xfId="13"/>
    <xf numFmtId="0" fontId="48" fillId="0" borderId="0" pivotButton="0" quotePrefix="0" xfId="13"/>
    <xf numFmtId="17" fontId="49" fillId="0" borderId="21" applyProtection="1" pivotButton="0" quotePrefix="0" xfId="13">
      <protection locked="0" hidden="0"/>
    </xf>
    <xf numFmtId="0" fontId="47" fillId="0" borderId="8" applyAlignment="1" applyProtection="1" pivotButton="0" quotePrefix="1" xfId="13">
      <alignment horizontal="left"/>
      <protection locked="0" hidden="0"/>
    </xf>
    <xf numFmtId="0" fontId="54" fillId="0" borderId="24" applyProtection="1" pivotButton="0" quotePrefix="0" xfId="13">
      <protection locked="0" hidden="0"/>
    </xf>
    <xf numFmtId="0" fontId="46" fillId="0" borderId="8" applyProtection="1" pivotButton="0" quotePrefix="0" xfId="13">
      <protection locked="0" hidden="0"/>
    </xf>
    <xf numFmtId="0" fontId="47" fillId="0" borderId="8" applyProtection="1" pivotButton="0" quotePrefix="1" xfId="13">
      <protection locked="0" hidden="0"/>
    </xf>
    <xf numFmtId="0" fontId="46" fillId="0" borderId="28" applyProtection="1" pivotButton="0" quotePrefix="0" xfId="13">
      <protection locked="0" hidden="0"/>
    </xf>
    <xf numFmtId="0" fontId="48" fillId="0" borderId="27" applyProtection="1" pivotButton="0" quotePrefix="0" xfId="13">
      <protection locked="0" hidden="0"/>
    </xf>
    <xf numFmtId="0" fontId="48" fillId="0" borderId="5" applyAlignment="1" applyProtection="1" pivotButton="0" quotePrefix="0" xfId="13">
      <alignment horizontal="right"/>
      <protection locked="0" hidden="0"/>
    </xf>
    <xf numFmtId="1" fontId="48" fillId="0" borderId="5" applyAlignment="1" applyProtection="1" pivotButton="0" quotePrefix="0" xfId="13">
      <alignment horizontal="right"/>
      <protection locked="0" hidden="0"/>
    </xf>
    <xf numFmtId="1" fontId="48" fillId="0" borderId="27" applyAlignment="1" applyProtection="1" pivotButton="0" quotePrefix="0" xfId="13">
      <alignment horizontal="right"/>
      <protection locked="0" hidden="0"/>
    </xf>
    <xf numFmtId="171" fontId="46" fillId="0" borderId="38" pivotButton="0" quotePrefix="0" xfId="13"/>
    <xf numFmtId="171" fontId="46" fillId="0" borderId="37" pivotButton="0" quotePrefix="0" xfId="13"/>
    <xf numFmtId="3" fontId="47" fillId="0" borderId="0" pivotButton="0" quotePrefix="0" xfId="13"/>
    <xf numFmtId="0" fontId="55" fillId="0" borderId="8" applyProtection="1" pivotButton="0" quotePrefix="0" xfId="13">
      <protection locked="0" hidden="0"/>
    </xf>
    <xf numFmtId="3" fontId="50" fillId="0" borderId="0" pivotButton="0" quotePrefix="0" xfId="13"/>
    <xf numFmtId="171" fontId="50" fillId="0" borderId="8" pivotButton="0" quotePrefix="0" xfId="13"/>
    <xf numFmtId="171" fontId="47" fillId="0" borderId="38" pivotButton="0" quotePrefix="0" xfId="13"/>
    <xf numFmtId="171" fontId="47" fillId="0" borderId="37" pivotButton="0" quotePrefix="0" xfId="13"/>
    <xf numFmtId="3" fontId="48" fillId="0" borderId="21" applyAlignment="1" applyProtection="1" pivotButton="0" quotePrefix="0" xfId="13">
      <alignment horizontal="center"/>
      <protection locked="0" hidden="0"/>
    </xf>
    <xf numFmtId="3" fontId="47" fillId="0" borderId="27" applyProtection="1" pivotButton="0" quotePrefix="0" xfId="13">
      <protection locked="0" hidden="0"/>
    </xf>
    <xf numFmtId="3" fontId="47" fillId="0" borderId="8" applyProtection="1" pivotButton="0" quotePrefix="0" xfId="13">
      <protection locked="0" hidden="0"/>
    </xf>
    <xf numFmtId="3" fontId="47" fillId="0" borderId="24" applyProtection="1" pivotButton="0" quotePrefix="0" xfId="13">
      <protection locked="0" hidden="0"/>
    </xf>
    <xf numFmtId="171" fontId="47" fillId="0" borderId="39" pivotButton="0" quotePrefix="0" xfId="13"/>
    <xf numFmtId="171" fontId="47" fillId="0" borderId="40" pivotButton="0" quotePrefix="0" xfId="13"/>
    <xf numFmtId="0" fontId="47" fillId="0" borderId="28" pivotButton="0" quotePrefix="0" xfId="13"/>
    <xf numFmtId="10" fontId="47" fillId="0" borderId="11" pivotButton="0" quotePrefix="0" xfId="13"/>
    <xf numFmtId="10" fontId="47" fillId="0" borderId="12" pivotButton="0" quotePrefix="0" xfId="13"/>
    <xf numFmtId="10" fontId="47" fillId="0" borderId="0" pivotButton="0" quotePrefix="0" xfId="13"/>
    <xf numFmtId="0" fontId="54" fillId="0" borderId="8" applyProtection="1" pivotButton="0" quotePrefix="0" xfId="13">
      <protection locked="0" hidden="0"/>
    </xf>
    <xf numFmtId="0" fontId="46" fillId="0" borderId="28" applyAlignment="1" applyProtection="1" pivotButton="0" quotePrefix="1" xfId="13">
      <alignment horizontal="left"/>
      <protection locked="0" hidden="0"/>
    </xf>
    <xf numFmtId="171" fontId="46" fillId="0" borderId="38" applyProtection="1" pivotButton="0" quotePrefix="0" xfId="13">
      <protection locked="0" hidden="0"/>
    </xf>
    <xf numFmtId="171" fontId="46" fillId="0" borderId="37" applyProtection="1" pivotButton="0" quotePrefix="0" xfId="13">
      <protection locked="0" hidden="0"/>
    </xf>
    <xf numFmtId="164" fontId="56" fillId="0" borderId="0" applyProtection="1" pivotButton="0" quotePrefix="0" xfId="13">
      <protection locked="0" hidden="0"/>
    </xf>
    <xf numFmtId="0" fontId="47" fillId="0" borderId="8" pivotButton="0" quotePrefix="0" xfId="13"/>
    <xf numFmtId="0" fontId="47" fillId="0" borderId="8" applyAlignment="1" pivotButton="0" quotePrefix="1" xfId="13">
      <alignment horizontal="left"/>
    </xf>
    <xf numFmtId="0" fontId="47" fillId="0" borderId="8" applyAlignment="1" pivotButton="0" quotePrefix="1" xfId="18">
      <alignment horizontal="left"/>
    </xf>
    <xf numFmtId="0" fontId="54" fillId="0" borderId="8" applyAlignment="1" applyProtection="1" pivotButton="0" quotePrefix="1" xfId="13">
      <alignment horizontal="left"/>
      <protection locked="0" hidden="0"/>
    </xf>
    <xf numFmtId="0" fontId="49" fillId="0" borderId="21" applyProtection="1" pivotButton="0" quotePrefix="0" xfId="13">
      <protection locked="0" hidden="0"/>
    </xf>
    <xf numFmtId="171" fontId="25" fillId="0" borderId="0" pivotButton="0" quotePrefix="0" xfId="13"/>
    <xf numFmtId="171" fontId="47" fillId="0" borderId="3" applyProtection="1" pivotButton="0" quotePrefix="0" xfId="13">
      <protection locked="0" hidden="0"/>
    </xf>
    <xf numFmtId="171" fontId="47" fillId="0" borderId="21" applyProtection="1" pivotButton="0" quotePrefix="0" xfId="13">
      <protection locked="0" hidden="0"/>
    </xf>
    <xf numFmtId="0" fontId="46" fillId="0" borderId="21" pivotButton="0" quotePrefix="0" xfId="13"/>
    <xf numFmtId="171" fontId="46" fillId="0" borderId="4" pivotButton="0" quotePrefix="0" xfId="13"/>
    <xf numFmtId="171" fontId="46" fillId="0" borderId="3" pivotButton="0" quotePrefix="0" xfId="13"/>
    <xf numFmtId="171" fontId="46" fillId="0" borderId="21" pivotButton="0" quotePrefix="0" xfId="13"/>
    <xf numFmtId="0" fontId="46" fillId="0" borderId="27" applyAlignment="1" pivotButton="0" quotePrefix="1" xfId="13">
      <alignment horizontal="left"/>
    </xf>
    <xf numFmtId="171" fontId="47" fillId="0" borderId="6" pivotButton="0" quotePrefix="0" xfId="13"/>
    <xf numFmtId="1" fontId="47" fillId="0" borderId="5" applyProtection="1" pivotButton="0" quotePrefix="0" xfId="13">
      <protection locked="0" hidden="0"/>
    </xf>
    <xf numFmtId="1" fontId="47" fillId="0" borderId="27" applyProtection="1" pivotButton="0" quotePrefix="0" xfId="13">
      <protection locked="0" hidden="0"/>
    </xf>
    <xf numFmtId="17" fontId="48" fillId="0" borderId="21" applyProtection="1" pivotButton="0" quotePrefix="0" xfId="13">
      <protection locked="0" hidden="0"/>
    </xf>
    <xf numFmtId="0" fontId="18" fillId="0" borderId="3" applyProtection="1" pivotButton="0" quotePrefix="0" xfId="13">
      <protection locked="0" hidden="0"/>
    </xf>
    <xf numFmtId="4" fontId="47" fillId="0" borderId="3" pivotButton="0" quotePrefix="0" xfId="13"/>
    <xf numFmtId="4" fontId="47" fillId="0" borderId="21" pivotButton="0" quotePrefix="0" xfId="13"/>
    <xf numFmtId="0" fontId="18" fillId="0" borderId="8" applyProtection="1" pivotButton="0" quotePrefix="0" xfId="13">
      <protection locked="0" hidden="0"/>
    </xf>
    <xf numFmtId="4" fontId="47" fillId="0" borderId="8" pivotButton="0" quotePrefix="0" xfId="13"/>
    <xf numFmtId="4" fontId="47" fillId="0" borderId="24" pivotButton="0" quotePrefix="0" xfId="13"/>
    <xf numFmtId="2" fontId="47" fillId="0" borderId="8" applyAlignment="1" pivotButton="0" quotePrefix="0" xfId="13">
      <alignment horizontal="right"/>
    </xf>
    <xf numFmtId="2" fontId="47" fillId="0" borderId="24" applyAlignment="1" pivotButton="0" quotePrefix="0" xfId="13">
      <alignment horizontal="right"/>
    </xf>
    <xf numFmtId="0" fontId="18" fillId="0" borderId="5" applyProtection="1" pivotButton="0" quotePrefix="0" xfId="13">
      <protection locked="0" hidden="0"/>
    </xf>
    <xf numFmtId="4" fontId="47" fillId="0" borderId="5" pivotButton="0" quotePrefix="0" xfId="13"/>
    <xf numFmtId="4" fontId="47" fillId="0" borderId="27" pivotButton="0" quotePrefix="0" xfId="13"/>
    <xf numFmtId="0" fontId="18" fillId="0" borderId="8" applyAlignment="1" applyProtection="1" pivotButton="0" quotePrefix="1" xfId="13">
      <alignment horizontal="left"/>
      <protection locked="0" hidden="0"/>
    </xf>
    <xf numFmtId="2" fontId="47" fillId="0" borderId="8" pivotButton="0" quotePrefix="0" xfId="13"/>
    <xf numFmtId="2" fontId="47" fillId="0" borderId="24" pivotButton="0" quotePrefix="0" xfId="13"/>
    <xf numFmtId="4" fontId="47" fillId="0" borderId="0" pivotButton="0" quotePrefix="0" xfId="13"/>
    <xf numFmtId="0" fontId="18" fillId="0" borderId="3" applyAlignment="1" applyProtection="1" pivotButton="0" quotePrefix="1" xfId="13">
      <alignment horizontal="left"/>
      <protection locked="0" hidden="0"/>
    </xf>
    <xf numFmtId="2" fontId="47" fillId="0" borderId="3" applyAlignment="1" pivotButton="0" quotePrefix="0" xfId="13">
      <alignment horizontal="right"/>
    </xf>
    <xf numFmtId="2" fontId="47" fillId="0" borderId="21" applyAlignment="1" pivotButton="0" quotePrefix="0" xfId="13">
      <alignment horizontal="right"/>
    </xf>
    <xf numFmtId="0" fontId="18" fillId="0" borderId="3" applyAlignment="1" pivotButton="0" quotePrefix="1" xfId="13">
      <alignment horizontal="left"/>
    </xf>
    <xf numFmtId="0" fontId="18" fillId="0" borderId="8" applyAlignment="1" pivotButton="0" quotePrefix="1" xfId="13">
      <alignment horizontal="left"/>
    </xf>
    <xf numFmtId="0" fontId="18" fillId="0" borderId="8" applyAlignment="1" pivotButton="0" quotePrefix="0" xfId="13">
      <alignment horizontal="left"/>
    </xf>
    <xf numFmtId="0" fontId="18" fillId="0" borderId="5" applyAlignment="1" applyProtection="1" pivotButton="0" quotePrefix="1" xfId="13">
      <alignment horizontal="left"/>
      <protection locked="0" hidden="0"/>
    </xf>
    <xf numFmtId="3" fontId="47" fillId="0" borderId="5" pivotButton="0" quotePrefix="0" xfId="13"/>
    <xf numFmtId="3" fontId="47" fillId="0" borderId="27" pivotButton="0" quotePrefix="0" xfId="13"/>
    <xf numFmtId="0" fontId="54" fillId="0" borderId="3" pivotButton="0" quotePrefix="0" xfId="13"/>
    <xf numFmtId="0" fontId="47" fillId="0" borderId="4" pivotButton="0" quotePrefix="0" xfId="13"/>
    <xf numFmtId="0" fontId="47" fillId="0" borderId="8" applyAlignment="1" pivotButton="0" quotePrefix="0" xfId="13">
      <alignment horizontal="left"/>
    </xf>
    <xf numFmtId="0" fontId="47" fillId="0" borderId="5" applyAlignment="1" pivotButton="0" quotePrefix="1" xfId="13">
      <alignment horizontal="left"/>
    </xf>
    <xf numFmtId="0" fontId="47" fillId="0" borderId="6" pivotButton="0" quotePrefix="0" xfId="13"/>
    <xf numFmtId="0" fontId="47" fillId="0" borderId="0" applyAlignment="1" pivotButton="0" quotePrefix="1" xfId="13">
      <alignment horizontal="left"/>
    </xf>
    <xf numFmtId="0" fontId="44" fillId="0" borderId="41" pivotButton="0" quotePrefix="0" xfId="16"/>
    <xf numFmtId="3" fontId="48" fillId="0" borderId="9" pivotButton="0" quotePrefix="0" xfId="16"/>
    <xf numFmtId="3" fontId="18" fillId="0" borderId="9" pivotButton="0" quotePrefix="0" xfId="16"/>
    <xf numFmtId="0" fontId="18" fillId="0" borderId="0" pivotButton="0" quotePrefix="0" xfId="16"/>
    <xf numFmtId="0" fontId="18" fillId="0" borderId="8" pivotButton="0" quotePrefix="1" xfId="16"/>
    <xf numFmtId="3" fontId="44" fillId="0" borderId="9" pivotButton="0" quotePrefix="0" xfId="16"/>
    <xf numFmtId="0" fontId="44" fillId="0" borderId="9" pivotButton="0" quotePrefix="0" xfId="16"/>
    <xf numFmtId="0" fontId="57" fillId="0" borderId="0" pivotButton="0" quotePrefix="0" xfId="16"/>
    <xf numFmtId="0" fontId="58" fillId="0" borderId="3" pivotButton="0" quotePrefix="0" xfId="16"/>
    <xf numFmtId="3" fontId="58" fillId="0" borderId="4" pivotButton="0" quotePrefix="0" xfId="16"/>
    <xf numFmtId="3" fontId="58" fillId="0" borderId="2" pivotButton="0" quotePrefix="0" xfId="16"/>
    <xf numFmtId="0" fontId="58" fillId="0" borderId="8" pivotButton="0" quotePrefix="0" xfId="16"/>
    <xf numFmtId="3" fontId="58" fillId="0" borderId="0" pivotButton="0" quotePrefix="0" xfId="16"/>
    <xf numFmtId="3" fontId="58" fillId="0" borderId="9" pivotButton="0" quotePrefix="0" xfId="16"/>
    <xf numFmtId="164" fontId="58" fillId="0" borderId="0" pivotButton="0" quotePrefix="0" xfId="19"/>
    <xf numFmtId="0" fontId="58" fillId="0" borderId="5" pivotButton="0" quotePrefix="0" xfId="16"/>
    <xf numFmtId="3" fontId="58" fillId="0" borderId="6" pivotButton="0" quotePrefix="0" xfId="16"/>
    <xf numFmtId="3" fontId="58" fillId="0" borderId="7" pivotButton="0" quotePrefix="0" xfId="16"/>
    <xf numFmtId="164" fontId="58" fillId="0" borderId="6" pivotButton="0" quotePrefix="0" xfId="16"/>
    <xf numFmtId="0" fontId="58" fillId="0" borderId="0" pivotButton="0" quotePrefix="0" xfId="16"/>
    <xf numFmtId="0" fontId="44" fillId="0" borderId="2" pivotButton="0" quotePrefix="0" xfId="16"/>
    <xf numFmtId="164" fontId="58" fillId="0" borderId="0" pivotButton="0" quotePrefix="0" xfId="16"/>
    <xf numFmtId="3" fontId="44" fillId="0" borderId="0" pivotButton="0" quotePrefix="0" xfId="16"/>
    <xf numFmtId="171" fontId="58" fillId="0" borderId="0" pivotButton="0" quotePrefix="0" xfId="16"/>
    <xf numFmtId="173" fontId="58" fillId="0" borderId="0" pivotButton="0" quotePrefix="0" xfId="16"/>
    <xf numFmtId="173" fontId="44" fillId="0" borderId="0" pivotButton="0" quotePrefix="0" xfId="16"/>
    <xf numFmtId="164" fontId="58" fillId="0" borderId="6" pivotButton="0" quotePrefix="0" xfId="19"/>
    <xf numFmtId="17" fontId="59" fillId="0" borderId="0" pivotButton="0" quotePrefix="0" xfId="16"/>
    <xf numFmtId="0" fontId="44" fillId="0" borderId="33" pivotButton="0" quotePrefix="0" xfId="16"/>
    <xf numFmtId="0" fontId="48" fillId="0" borderId="33" pivotButton="0" quotePrefix="0" xfId="16"/>
    <xf numFmtId="3" fontId="48" fillId="0" borderId="0" pivotButton="0" quotePrefix="0" xfId="16"/>
    <xf numFmtId="0" fontId="18" fillId="0" borderId="33" pivotButton="0" quotePrefix="0" xfId="16"/>
    <xf numFmtId="171" fontId="44" fillId="0" borderId="0" pivotButton="0" quotePrefix="0" xfId="16"/>
    <xf numFmtId="171" fontId="18" fillId="0" borderId="0" pivotButton="0" quotePrefix="0" xfId="16"/>
    <xf numFmtId="0" fontId="49" fillId="0" borderId="33" applyAlignment="1" pivotButton="0" quotePrefix="0" xfId="16">
      <alignment horizontal="center"/>
    </xf>
    <xf numFmtId="0" fontId="48" fillId="0" borderId="0" pivotButton="0" quotePrefix="0" xfId="16"/>
    <xf numFmtId="0" fontId="18" fillId="0" borderId="32" pivotButton="0" quotePrefix="0" xfId="16"/>
    <xf numFmtId="164" fontId="18" fillId="0" borderId="0" pivotButton="0" quotePrefix="0" xfId="19"/>
    <xf numFmtId="164" fontId="18" fillId="0" borderId="4" pivotButton="0" quotePrefix="0" xfId="19"/>
    <xf numFmtId="164" fontId="18" fillId="0" borderId="9" pivotButton="0" quotePrefix="0" xfId="19"/>
    <xf numFmtId="3" fontId="18" fillId="0" borderId="0" pivotButton="0" quotePrefix="0" xfId="19"/>
    <xf numFmtId="3" fontId="18" fillId="0" borderId="9" pivotButton="0" quotePrefix="0" xfId="19"/>
    <xf numFmtId="171" fontId="18" fillId="0" borderId="0" pivotButton="0" quotePrefix="0" xfId="19"/>
    <xf numFmtId="171" fontId="18" fillId="0" borderId="9" pivotButton="0" quotePrefix="0" xfId="19"/>
    <xf numFmtId="171" fontId="18" fillId="0" borderId="33" pivotButton="0" quotePrefix="0" xfId="16"/>
    <xf numFmtId="0" fontId="18" fillId="2" borderId="34" pivotButton="0" quotePrefix="0" xfId="16"/>
    <xf numFmtId="171" fontId="18" fillId="2" borderId="6" pivotButton="0" quotePrefix="0" xfId="19"/>
    <xf numFmtId="171" fontId="18" fillId="2" borderId="7" pivotButton="0" quotePrefix="0" xfId="19"/>
    <xf numFmtId="3" fontId="18" fillId="0" borderId="32" pivotButton="0" quotePrefix="1" xfId="16"/>
    <xf numFmtId="171" fontId="18" fillId="0" borderId="4" pivotButton="0" quotePrefix="0" xfId="16"/>
    <xf numFmtId="3" fontId="18" fillId="0" borderId="2" pivotButton="0" quotePrefix="0" xfId="16"/>
    <xf numFmtId="3" fontId="18" fillId="0" borderId="33" pivotButton="0" quotePrefix="1" xfId="16"/>
    <xf numFmtId="3" fontId="18" fillId="0" borderId="34" pivotButton="0" quotePrefix="1" xfId="16"/>
    <xf numFmtId="171" fontId="18" fillId="0" borderId="6" pivotButton="0" quotePrefix="0" xfId="16"/>
    <xf numFmtId="3" fontId="18" fillId="0" borderId="7" pivotButton="0" quotePrefix="0" xfId="16"/>
    <xf numFmtId="3" fontId="44" fillId="0" borderId="35" pivotButton="0" quotePrefix="0" xfId="16"/>
    <xf numFmtId="3" fontId="44" fillId="0" borderId="11" pivotButton="0" quotePrefix="0" xfId="16"/>
    <xf numFmtId="3" fontId="44" fillId="0" borderId="12" pivotButton="0" quotePrefix="0" xfId="16"/>
    <xf numFmtId="3" fontId="44" fillId="0" borderId="33" pivotButton="0" quotePrefix="0" xfId="16"/>
    <xf numFmtId="3" fontId="18" fillId="0" borderId="33" pivotButton="0" quotePrefix="0" xfId="16"/>
    <xf numFmtId="17" fontId="48" fillId="0" borderId="0" pivotButton="0" quotePrefix="0" xfId="16"/>
    <xf numFmtId="17" fontId="49" fillId="0" borderId="0" pivotButton="0" quotePrefix="0" xfId="16"/>
    <xf numFmtId="3" fontId="18" fillId="0" borderId="0" pivotButton="0" quotePrefix="0" xfId="16"/>
    <xf numFmtId="3" fontId="44" fillId="0" borderId="7" pivotButton="0" quotePrefix="0" xfId="16"/>
    <xf numFmtId="171" fontId="44" fillId="0" borderId="11" pivotButton="0" quotePrefix="0" xfId="16"/>
    <xf numFmtId="0" fontId="44" fillId="0" borderId="0" applyAlignment="1" pivotButton="0" quotePrefix="0" xfId="16">
      <alignment horizontal="right"/>
    </xf>
    <xf numFmtId="17" fontId="59" fillId="0" borderId="0" applyAlignment="1" pivotButton="0" quotePrefix="0" xfId="16">
      <alignment horizontal="right"/>
    </xf>
    <xf numFmtId="3" fontId="47" fillId="0" borderId="0" applyAlignment="1" pivotButton="0" quotePrefix="0" xfId="16">
      <alignment horizontal="right"/>
    </xf>
    <xf numFmtId="0" fontId="44" fillId="0" borderId="42" pivotButton="0" quotePrefix="0" xfId="16"/>
    <xf numFmtId="0" fontId="44" fillId="0" borderId="43" pivotButton="0" quotePrefix="0" xfId="16"/>
    <xf numFmtId="0" fontId="18" fillId="0" borderId="33" pivotButton="0" quotePrefix="1" xfId="16"/>
    <xf numFmtId="172" fontId="0" fillId="0" borderId="0" pivotButton="0" quotePrefix="0" xfId="17"/>
    <xf numFmtId="172" fontId="44" fillId="0" borderId="0" pivotButton="0" quotePrefix="0" xfId="16"/>
    <xf numFmtId="3" fontId="60" fillId="0" borderId="0" pivotButton="0" quotePrefix="0" xfId="16"/>
    <xf numFmtId="0" fontId="44" fillId="0" borderId="33" pivotButton="0" quotePrefix="1" xfId="16"/>
    <xf numFmtId="0" fontId="44" fillId="0" borderId="4" pivotButton="0" quotePrefix="0" xfId="16"/>
    <xf numFmtId="0" fontId="44" fillId="0" borderId="6" pivotButton="0" quotePrefix="0" xfId="16"/>
    <xf numFmtId="17" fontId="48" fillId="0" borderId="10" pivotButton="0" quotePrefix="0" xfId="16"/>
    <xf numFmtId="17" fontId="48" fillId="0" borderId="11" pivotButton="0" quotePrefix="0" xfId="16"/>
    <xf numFmtId="17" fontId="48" fillId="0" borderId="12" pivotButton="0" quotePrefix="0" xfId="16"/>
    <xf numFmtId="0" fontId="18" fillId="0" borderId="3" pivotButton="0" quotePrefix="1" xfId="16"/>
    <xf numFmtId="9" fontId="18" fillId="0" borderId="4" pivotButton="0" quotePrefix="0" xfId="16"/>
    <xf numFmtId="9" fontId="18" fillId="0" borderId="2" pivotButton="0" quotePrefix="0" xfId="16"/>
    <xf numFmtId="9" fontId="18" fillId="0" borderId="0" pivotButton="0" quotePrefix="0" xfId="16"/>
    <xf numFmtId="9" fontId="18" fillId="0" borderId="9" pivotButton="0" quotePrefix="0" xfId="16"/>
    <xf numFmtId="0" fontId="18" fillId="0" borderId="5" pivotButton="0" quotePrefix="1" xfId="16"/>
    <xf numFmtId="9" fontId="18" fillId="0" borderId="6" pivotButton="0" quotePrefix="0" xfId="16"/>
    <xf numFmtId="9" fontId="18" fillId="0" borderId="7" pivotButton="0" quotePrefix="0" xfId="16"/>
    <xf numFmtId="0" fontId="15" fillId="0" borderId="0" applyAlignment="1" pivotButton="0" quotePrefix="0" xfId="0">
      <alignment horizontal="center"/>
    </xf>
    <xf numFmtId="0" fontId="16" fillId="0" borderId="0" pivotButton="0" quotePrefix="0" xfId="0"/>
    <xf numFmtId="0" fontId="17" fillId="0" borderId="0" applyAlignment="1" pivotButton="0" quotePrefix="0" xfId="0">
      <alignment horizontal="right"/>
    </xf>
    <xf numFmtId="0" fontId="15" fillId="0" borderId="0" applyAlignment="1" pivotButton="0" quotePrefix="0" xfId="0">
      <alignment horizontal="center" vertical="center"/>
    </xf>
    <xf numFmtId="0" fontId="15" fillId="0" borderId="0" applyAlignment="1" pivotButton="0" quotePrefix="0" xfId="0">
      <alignment vertical="center"/>
    </xf>
    <xf numFmtId="3" fontId="16" fillId="0" borderId="0" pivotButton="0" quotePrefix="0" xfId="0"/>
    <xf numFmtId="0" fontId="12" fillId="0" borderId="0" pivotButton="0" quotePrefix="0" xfId="12"/>
    <xf numFmtId="1" fontId="15" fillId="0" borderId="0" pivotButton="0" quotePrefix="0" xfId="0"/>
    <xf numFmtId="3" fontId="22" fillId="0" borderId="0" pivotButton="0" quotePrefix="0" xfId="0"/>
    <xf numFmtId="0" fontId="12" fillId="0" borderId="0" pivotButton="0" quotePrefix="0" xfId="10"/>
    <xf numFmtId="0" fontId="20" fillId="0" borderId="0" pivotButton="0" quotePrefix="1" xfId="10"/>
    <xf numFmtId="0" fontId="14" fillId="0" borderId="0" applyAlignment="1" pivotButton="0" quotePrefix="0" xfId="0">
      <alignment horizontal="left"/>
    </xf>
    <xf numFmtId="0" fontId="20" fillId="0" borderId="0" pivotButton="0" quotePrefix="0" xfId="10"/>
    <xf numFmtId="3" fontId="12" fillId="0" borderId="0" pivotButton="0" quotePrefix="1" xfId="0"/>
    <xf numFmtId="3" fontId="22" fillId="0" borderId="0" pivotButton="0" quotePrefix="1" xfId="0"/>
    <xf numFmtId="3" fontId="17" fillId="0" borderId="0" pivotButton="0" quotePrefix="0" xfId="0"/>
    <xf numFmtId="3" fontId="12" fillId="0" borderId="0" applyAlignment="1" pivotButton="0" quotePrefix="1" xfId="0">
      <alignment horizontal="left"/>
    </xf>
    <xf numFmtId="164" fontId="15" fillId="0" borderId="0" pivotButton="0" quotePrefix="0" xfId="2"/>
    <xf numFmtId="165" fontId="15" fillId="0" borderId="0" pivotButton="0" quotePrefix="0" xfId="0"/>
    <xf numFmtId="0" fontId="17" fillId="0" borderId="0" applyAlignment="1" pivotButton="0" quotePrefix="0" xfId="0">
      <alignment horizontal="center"/>
    </xf>
    <xf numFmtId="3" fontId="15" fillId="12" borderId="0" pivotButton="0" quotePrefix="0" xfId="0"/>
    <xf numFmtId="3" fontId="15" fillId="12" borderId="14" pivotButton="0" quotePrefix="0" xfId="0"/>
    <xf numFmtId="0" fontId="19" fillId="12" borderId="0" applyAlignment="1" pivotButton="0" quotePrefix="0" xfId="10">
      <alignment horizontal="right" vertical="center"/>
    </xf>
    <xf numFmtId="0" fontId="19" fillId="12" borderId="14" applyAlignment="1" pivotButton="0" quotePrefix="0" xfId="10">
      <alignment horizontal="right" vertical="center"/>
    </xf>
    <xf numFmtId="3" fontId="12" fillId="0" borderId="0" applyAlignment="1" pivotButton="0" quotePrefix="0" xfId="10">
      <alignment horizontal="right" vertical="center"/>
    </xf>
    <xf numFmtId="0" fontId="14" fillId="0" borderId="0" pivotButton="0" quotePrefix="0" xfId="10"/>
    <xf numFmtId="3" fontId="14" fillId="0" borderId="0" pivotButton="0" quotePrefix="0" xfId="10"/>
    <xf numFmtId="0" fontId="12" fillId="0" borderId="0" applyAlignment="1" pivotButton="0" quotePrefix="0" xfId="10">
      <alignment horizontal="left" indent="1"/>
    </xf>
    <xf numFmtId="3" fontId="28" fillId="0" borderId="0" pivotButton="0" quotePrefix="0" xfId="0"/>
    <xf numFmtId="164" fontId="17" fillId="0" borderId="0" applyAlignment="1" pivotButton="0" quotePrefix="0" xfId="2">
      <alignment horizontal="right"/>
    </xf>
    <xf numFmtId="0" fontId="32" fillId="10" borderId="17" applyAlignment="1" pivotButton="0" quotePrefix="0" xfId="23">
      <alignment horizontal="left"/>
    </xf>
    <xf numFmtId="0" fontId="37" fillId="0" borderId="0" pivotButton="0" quotePrefix="0" xfId="23"/>
    <xf numFmtId="0" fontId="32" fillId="10" borderId="22" applyAlignment="1" pivotButton="0" quotePrefix="0" xfId="23">
      <alignment horizontal="left"/>
    </xf>
    <xf numFmtId="0" fontId="35" fillId="0" borderId="0" pivotButton="0" quotePrefix="0" xfId="23"/>
    <xf numFmtId="0" fontId="36" fillId="0" borderId="0" pivotButton="0" quotePrefix="0" xfId="23"/>
    <xf numFmtId="0" fontId="32" fillId="10" borderId="25" applyAlignment="1" pivotButton="0" quotePrefix="0" xfId="23">
      <alignment horizontal="left"/>
    </xf>
    <xf numFmtId="0" fontId="37" fillId="0" borderId="0" applyAlignment="1" pivotButton="0" quotePrefix="0" xfId="23">
      <alignment horizontal="center"/>
    </xf>
    <xf numFmtId="2" fontId="37" fillId="0" borderId="0" applyAlignment="1" pivotButton="0" quotePrefix="0" xfId="23">
      <alignment horizontal="center"/>
    </xf>
    <xf numFmtId="0" fontId="37" fillId="5" borderId="28" applyAlignment="1" pivotButton="0" quotePrefix="0" xfId="23">
      <alignment horizontal="center"/>
    </xf>
    <xf numFmtId="10" fontId="37" fillId="0" borderId="0" applyAlignment="1" pivotButton="0" quotePrefix="0" xfId="25">
      <alignment horizontal="center"/>
    </xf>
    <xf numFmtId="10" fontId="37" fillId="5" borderId="28" applyAlignment="1" pivotButton="0" quotePrefix="0" xfId="23">
      <alignment horizontal="center"/>
    </xf>
    <xf numFmtId="0" fontId="38" fillId="0" borderId="12" applyAlignment="1" pivotButton="0" quotePrefix="0" xfId="23">
      <alignment wrapText="1"/>
    </xf>
    <xf numFmtId="0" fontId="38" fillId="0" borderId="12" applyAlignment="1" pivotButton="0" quotePrefix="0" xfId="23">
      <alignment horizontal="center" wrapText="1"/>
    </xf>
    <xf numFmtId="2" fontId="38" fillId="0" borderId="12" applyAlignment="1" pivotButton="0" quotePrefix="0" xfId="23">
      <alignment horizontal="center" wrapText="1"/>
    </xf>
    <xf numFmtId="0" fontId="38" fillId="0" borderId="27" applyAlignment="1" pivotButton="0" quotePrefix="0" xfId="23">
      <alignment horizontal="center" wrapText="1"/>
    </xf>
    <xf numFmtId="0" fontId="38" fillId="0" borderId="28" applyAlignment="1" pivotButton="0" quotePrefix="0" xfId="23">
      <alignment horizontal="center" wrapText="1"/>
    </xf>
    <xf numFmtId="10" fontId="37" fillId="0" borderId="5" applyAlignment="1" pivotButton="0" quotePrefix="0" xfId="23">
      <alignment horizontal="center"/>
    </xf>
    <xf numFmtId="2" fontId="38" fillId="0" borderId="27" applyAlignment="1" pivotButton="0" quotePrefix="0" xfId="23">
      <alignment horizontal="center" wrapText="1"/>
    </xf>
    <xf numFmtId="0" fontId="39" fillId="0" borderId="7" pivotButton="0" quotePrefix="0" xfId="23"/>
    <xf numFmtId="0" fontId="39" fillId="0" borderId="7" applyAlignment="1" pivotButton="0" quotePrefix="0" xfId="23">
      <alignment horizontal="center"/>
    </xf>
    <xf numFmtId="2" fontId="39" fillId="0" borderId="7" applyAlignment="1" pivotButton="0" quotePrefix="0" xfId="23">
      <alignment horizontal="center"/>
    </xf>
    <xf numFmtId="10" fontId="39" fillId="0" borderId="7" applyAlignment="1" pivotButton="0" quotePrefix="0" xfId="23">
      <alignment horizontal="center"/>
    </xf>
    <xf numFmtId="2" fontId="37" fillId="0" borderId="28" applyAlignment="1" pivotButton="0" quotePrefix="0" xfId="23">
      <alignment horizontal="center"/>
    </xf>
    <xf numFmtId="10" fontId="37" fillId="0" borderId="28" applyAlignment="1" pivotButton="0" quotePrefix="0" xfId="23">
      <alignment horizontal="center"/>
    </xf>
    <xf numFmtId="174" fontId="37" fillId="0" borderId="28" applyAlignment="1" pivotButton="0" quotePrefix="0" xfId="23">
      <alignment horizontal="center"/>
    </xf>
    <xf numFmtId="10" fontId="39" fillId="0" borderId="28" applyAlignment="1" pivotButton="0" quotePrefix="0" xfId="23">
      <alignment horizontal="center"/>
    </xf>
    <xf numFmtId="10" fontId="37" fillId="0" borderId="10" applyAlignment="1" pivotButton="0" quotePrefix="0" xfId="23">
      <alignment horizontal="center"/>
    </xf>
    <xf numFmtId="2" fontId="39" fillId="11" borderId="28" applyAlignment="1" pivotButton="0" quotePrefix="0" xfId="23">
      <alignment horizontal="center"/>
    </xf>
    <xf numFmtId="0" fontId="39" fillId="0" borderId="28" applyAlignment="1" pivotButton="0" quotePrefix="0" xfId="23">
      <alignment horizontal="center"/>
    </xf>
    <xf numFmtId="0" fontId="39" fillId="0" borderId="0" applyAlignment="1" pivotButton="0" quotePrefix="0" xfId="23">
      <alignment horizontal="center"/>
    </xf>
    <xf numFmtId="2" fontId="37" fillId="0" borderId="28" pivotButton="0" quotePrefix="0" xfId="23"/>
    <xf numFmtId="2" fontId="39" fillId="0" borderId="28" applyAlignment="1" pivotButton="0" quotePrefix="0" xfId="23">
      <alignment horizontal="center"/>
    </xf>
    <xf numFmtId="10" fontId="40" fillId="0" borderId="28" applyAlignment="1" pivotButton="0" quotePrefix="0" xfId="23">
      <alignment horizontal="center"/>
    </xf>
    <xf numFmtId="10" fontId="36" fillId="0" borderId="10" applyAlignment="1" pivotButton="0" quotePrefix="0" xfId="23">
      <alignment horizontal="center"/>
    </xf>
    <xf numFmtId="10" fontId="40" fillId="0" borderId="21" applyAlignment="1" pivotButton="0" quotePrefix="0" xfId="23">
      <alignment horizontal="center"/>
    </xf>
    <xf numFmtId="10" fontId="36" fillId="0" borderId="3" applyAlignment="1" pivotButton="0" quotePrefix="0" xfId="23">
      <alignment horizontal="center"/>
    </xf>
    <xf numFmtId="0" fontId="37" fillId="0" borderId="0" applyAlignment="1" pivotButton="0" quotePrefix="0" xfId="23">
      <alignment horizontal="left"/>
    </xf>
    <xf numFmtId="0" fontId="63" fillId="5" borderId="8" applyProtection="1" pivotButton="0" quotePrefix="0" xfId="13">
      <protection locked="0" hidden="0"/>
    </xf>
    <xf numFmtId="167" fontId="15" fillId="0" borderId="4" applyAlignment="1" pivotButton="0" quotePrefix="0" xfId="0">
      <alignment horizontal="right"/>
    </xf>
    <xf numFmtId="167" fontId="15" fillId="0" borderId="2" applyAlignment="1" pivotButton="0" quotePrefix="0" xfId="0">
      <alignment horizontal="right"/>
    </xf>
    <xf numFmtId="167" fontId="17" fillId="0" borderId="0" applyAlignment="1" pivotButton="0" quotePrefix="0" xfId="0">
      <alignment horizontal="right"/>
    </xf>
    <xf numFmtId="167" fontId="17" fillId="0" borderId="9" applyAlignment="1" pivotButton="0" quotePrefix="0" xfId="0">
      <alignment horizontal="right"/>
    </xf>
    <xf numFmtId="167" fontId="15" fillId="0" borderId="9" applyAlignment="1" pivotButton="0" quotePrefix="0" xfId="0">
      <alignment horizontal="right"/>
    </xf>
    <xf numFmtId="167" fontId="15" fillId="0" borderId="6" applyAlignment="1" pivotButton="0" quotePrefix="0" xfId="0">
      <alignment horizontal="right"/>
    </xf>
    <xf numFmtId="167" fontId="15" fillId="0" borderId="7" applyAlignment="1" pivotButton="0" quotePrefix="0" xfId="0">
      <alignment horizontal="right"/>
    </xf>
    <xf numFmtId="9" fontId="14" fillId="0" borderId="0" pivotButton="0" quotePrefix="0" xfId="2"/>
    <xf numFmtId="164" fontId="14" fillId="0" borderId="0" pivotButton="0" quotePrefix="0" xfId="2"/>
    <xf numFmtId="3" fontId="12" fillId="0" borderId="14" applyAlignment="1" pivotButton="0" quotePrefix="0" xfId="2">
      <alignment horizontal="right"/>
    </xf>
    <xf numFmtId="164" fontId="12" fillId="4" borderId="14" applyAlignment="1" pivotButton="0" quotePrefix="0" xfId="2">
      <alignment horizontal="right"/>
    </xf>
    <xf numFmtId="164" fontId="12" fillId="4" borderId="0" applyAlignment="1" pivotButton="0" quotePrefix="0" xfId="2">
      <alignment horizontal="right"/>
    </xf>
    <xf numFmtId="3" fontId="12" fillId="5" borderId="14" pivotButton="0" quotePrefix="0" xfId="0"/>
    <xf numFmtId="164" fontId="14" fillId="0" borderId="0" applyAlignment="1" pivotButton="0" quotePrefix="0" xfId="2">
      <alignment horizontal="right"/>
    </xf>
    <xf numFmtId="3" fontId="14" fillId="0" borderId="29" pivotButton="0" quotePrefix="0" xfId="0"/>
    <xf numFmtId="3" fontId="14" fillId="0" borderId="31" pivotButton="0" quotePrefix="0" xfId="0"/>
    <xf numFmtId="0" fontId="18" fillId="0" borderId="0" pivotButton="0" quotePrefix="0" xfId="10"/>
    <xf numFmtId="3" fontId="12" fillId="0" borderId="0" pivotButton="0" quotePrefix="0" xfId="10"/>
    <xf numFmtId="3" fontId="68" fillId="0" borderId="0" applyAlignment="1" pivotButton="0" quotePrefix="0" xfId="10">
      <alignment horizontal="right"/>
    </xf>
    <xf numFmtId="3" fontId="12" fillId="0" borderId="0" applyAlignment="1" pivotButton="0" quotePrefix="0" xfId="10">
      <alignment horizontal="right"/>
    </xf>
    <xf numFmtId="0" fontId="67" fillId="0" borderId="0" pivotButton="0" quotePrefix="0" xfId="10"/>
    <xf numFmtId="3" fontId="27" fillId="0" borderId="0" pivotButton="0" quotePrefix="0" xfId="10"/>
    <xf numFmtId="164" fontId="69" fillId="0" borderId="0" applyAlignment="1" pivotButton="0" quotePrefix="0" xfId="19">
      <alignment horizontal="right"/>
    </xf>
    <xf numFmtId="164" fontId="0" fillId="0" borderId="0" pivotButton="0" quotePrefix="0" xfId="19"/>
    <xf numFmtId="0" fontId="22" fillId="0" borderId="0" pivotButton="0" quotePrefix="0" xfId="10"/>
    <xf numFmtId="0" fontId="22" fillId="0" borderId="14" pivotButton="0" quotePrefix="0" xfId="10"/>
    <xf numFmtId="0" fontId="28" fillId="0" borderId="0" pivotButton="0" quotePrefix="0" xfId="10"/>
    <xf numFmtId="0" fontId="16" fillId="0" borderId="0" pivotButton="0" quotePrefix="0" xfId="10"/>
    <xf numFmtId="0" fontId="17" fillId="0" borderId="0" applyAlignment="1" pivotButton="0" quotePrefix="0" xfId="10">
      <alignment horizontal="right"/>
    </xf>
    <xf numFmtId="0" fontId="15" fillId="0" borderId="0" applyAlignment="1" pivotButton="0" quotePrefix="0" xfId="10">
      <alignment horizontal="right"/>
    </xf>
    <xf numFmtId="3" fontId="15" fillId="0" borderId="0" pivotButton="0" quotePrefix="0" xfId="10"/>
    <xf numFmtId="3" fontId="15" fillId="0" borderId="14" pivotButton="0" quotePrefix="0" xfId="10"/>
    <xf numFmtId="3" fontId="22" fillId="0" borderId="0" applyAlignment="1" pivotButton="0" quotePrefix="0" xfId="27">
      <alignment horizontal="right"/>
    </xf>
    <xf numFmtId="3" fontId="22" fillId="0" borderId="14" applyAlignment="1" pivotButton="0" quotePrefix="0" xfId="27">
      <alignment horizontal="right"/>
    </xf>
    <xf numFmtId="3" fontId="16" fillId="0" borderId="0" applyAlignment="1" pivotButton="0" quotePrefix="0" xfId="27">
      <alignment horizontal="right"/>
    </xf>
    <xf numFmtId="3" fontId="16" fillId="0" borderId="14" applyAlignment="1" pivotButton="0" quotePrefix="0" xfId="27">
      <alignment horizontal="right"/>
    </xf>
    <xf numFmtId="1" fontId="22" fillId="0" borderId="0" pivotButton="0" quotePrefix="0" xfId="10"/>
    <xf numFmtId="1" fontId="16" fillId="0" borderId="0" pivotButton="0" quotePrefix="0" xfId="10"/>
    <xf numFmtId="3" fontId="22" fillId="0" borderId="0" pivotButton="0" quotePrefix="0" xfId="10"/>
    <xf numFmtId="0" fontId="12" fillId="0" borderId="0" applyAlignment="1" pivotButton="0" quotePrefix="0" xfId="10">
      <alignment horizontal="right"/>
    </xf>
    <xf numFmtId="0" fontId="18" fillId="0" borderId="14" pivotButton="0" quotePrefix="0" xfId="10"/>
    <xf numFmtId="0" fontId="12" fillId="0" borderId="14" pivotButton="0" quotePrefix="0" xfId="10"/>
    <xf numFmtId="3" fontId="12" fillId="0" borderId="14" applyAlignment="1" pivotButton="0" quotePrefix="0" xfId="10">
      <alignment horizontal="right"/>
    </xf>
    <xf numFmtId="3" fontId="68" fillId="0" borderId="14" applyAlignment="1" pivotButton="0" quotePrefix="0" xfId="10">
      <alignment horizontal="right"/>
    </xf>
    <xf numFmtId="164" fontId="69" fillId="0" borderId="14" applyAlignment="1" pivotButton="0" quotePrefix="0" xfId="19">
      <alignment horizontal="right"/>
    </xf>
    <xf numFmtId="0" fontId="22" fillId="0" borderId="0" pivotButton="0" quotePrefix="0" xfId="0"/>
    <xf numFmtId="164" fontId="14" fillId="0" borderId="0" pivotButton="0" quotePrefix="0" xfId="2"/>
    <xf numFmtId="164" fontId="28" fillId="0" borderId="0" pivotButton="0" quotePrefix="0" xfId="2"/>
    <xf numFmtId="0" fontId="17" fillId="0" borderId="6" pivotButton="0" quotePrefix="0" xfId="0"/>
    <xf numFmtId="3" fontId="20" fillId="0" borderId="15" pivotButton="0" quotePrefix="0" xfId="0"/>
    <xf numFmtId="0" fontId="22" fillId="0" borderId="6" pivotButton="0" quotePrefix="0" xfId="0"/>
    <xf numFmtId="0" fontId="28" fillId="0" borderId="0" applyAlignment="1" pivotButton="0" quotePrefix="0" xfId="0">
      <alignment horizontal="right"/>
    </xf>
    <xf numFmtId="3" fontId="16" fillId="0" borderId="0" pivotButton="0" quotePrefix="0" xfId="11"/>
    <xf numFmtId="0" fontId="15" fillId="0" borderId="46" pivotButton="0" quotePrefix="0" xfId="0"/>
    <xf numFmtId="0" fontId="22" fillId="0" borderId="3" pivotButton="0" quotePrefix="0" xfId="0"/>
    <xf numFmtId="3" fontId="22" fillId="0" borderId="2" pivotButton="0" quotePrefix="0" xfId="0"/>
    <xf numFmtId="0" fontId="22" fillId="0" borderId="8" pivotButton="0" quotePrefix="0" xfId="0"/>
    <xf numFmtId="165" fontId="22" fillId="0" borderId="0" pivotButton="0" quotePrefix="0" xfId="0"/>
    <xf numFmtId="164" fontId="12" fillId="0" borderId="0" pivotButton="0" quotePrefix="0" xfId="2"/>
    <xf numFmtId="3" fontId="28" fillId="12" borderId="14" pivotButton="0" quotePrefix="0" xfId="0"/>
    <xf numFmtId="3" fontId="20" fillId="12" borderId="14" pivotButton="0" quotePrefix="0" xfId="0"/>
    <xf numFmtId="3" fontId="12" fillId="12" borderId="14" pivotButton="0" quotePrefix="0" xfId="0"/>
    <xf numFmtId="0" fontId="14" fillId="0" borderId="9" pivotButton="0" quotePrefix="0" xfId="0"/>
    <xf numFmtId="0" fontId="22" fillId="0" borderId="5" pivotButton="0" quotePrefix="0" xfId="0"/>
    <xf numFmtId="10" fontId="14" fillId="0" borderId="7" pivotButton="0" quotePrefix="0" xfId="0"/>
    <xf numFmtId="0" fontId="20" fillId="0" borderId="0" applyAlignment="1" applyProtection="1" pivotButton="0" quotePrefix="0" xfId="13">
      <alignment horizontal="left"/>
      <protection locked="0" hidden="0"/>
    </xf>
    <xf numFmtId="3" fontId="22" fillId="0" borderId="0" applyAlignment="1" pivotButton="0" quotePrefix="0" xfId="0">
      <alignment horizontal="right"/>
    </xf>
    <xf numFmtId="9" fontId="16" fillId="0" borderId="0" pivotButton="0" quotePrefix="0" xfId="2"/>
    <xf numFmtId="4" fontId="12" fillId="0" borderId="0" applyAlignment="1" pivotButton="0" quotePrefix="0" xfId="0">
      <alignment horizontal="right"/>
    </xf>
    <xf numFmtId="3" fontId="20" fillId="0" borderId="0" applyAlignment="1" pivotButton="0" quotePrefix="0" xfId="0">
      <alignment horizontal="right"/>
    </xf>
    <xf numFmtId="165" fontId="14" fillId="2" borderId="0" pivotButton="0" quotePrefix="0" xfId="0"/>
    <xf numFmtId="164" fontId="14" fillId="5" borderId="21" pivotButton="0" quotePrefix="0" xfId="2"/>
    <xf numFmtId="164" fontId="14" fillId="5" borderId="24" pivotButton="0" quotePrefix="0" xfId="2"/>
    <xf numFmtId="164" fontId="14" fillId="5" borderId="27" pivotButton="0" quotePrefix="0" xfId="2"/>
    <xf numFmtId="0" fontId="5" fillId="0" borderId="3" pivotButton="0" quotePrefix="0" xfId="0"/>
    <xf numFmtId="14" fontId="5" fillId="0" borderId="4" pivotButton="0" quotePrefix="0" xfId="0"/>
    <xf numFmtId="14" fontId="5" fillId="0" borderId="2" pivotButton="0" quotePrefix="0" xfId="0"/>
    <xf numFmtId="0" fontId="5" fillId="0" borderId="8" pivotButton="0" quotePrefix="0" xfId="0"/>
    <xf numFmtId="3" fontId="5" fillId="0" borderId="0" pivotButton="0" quotePrefix="0" xfId="0"/>
    <xf numFmtId="0" fontId="5" fillId="0" borderId="0" pivotButton="0" quotePrefix="0" xfId="0"/>
    <xf numFmtId="0" fontId="5" fillId="0" borderId="9" pivotButton="0" quotePrefix="0" xfId="0"/>
    <xf numFmtId="0" fontId="5" fillId="0" borderId="5" pivotButton="0" quotePrefix="0" xfId="0"/>
    <xf numFmtId="3" fontId="5" fillId="0" borderId="6" pivotButton="0" quotePrefix="0" xfId="0"/>
    <xf numFmtId="0" fontId="5" fillId="0" borderId="6" pivotButton="0" quotePrefix="0" xfId="0"/>
    <xf numFmtId="3" fontId="5" fillId="0" borderId="7" pivotButton="0" quotePrefix="0" xfId="0"/>
    <xf numFmtId="165" fontId="22" fillId="0" borderId="0" applyAlignment="1" pivotButton="0" quotePrefix="0" xfId="0">
      <alignment horizontal="right"/>
    </xf>
    <xf numFmtId="164" fontId="16" fillId="0" borderId="0" applyAlignment="1" pivotButton="0" quotePrefix="0" xfId="2">
      <alignment horizontal="right"/>
    </xf>
    <xf numFmtId="0" fontId="15" fillId="5" borderId="0" pivotButton="0" quotePrefix="0" xfId="0"/>
    <xf numFmtId="14" fontId="15" fillId="5" borderId="0" pivotButton="0" quotePrefix="0" xfId="0"/>
    <xf numFmtId="3" fontId="15" fillId="5" borderId="0" pivotButton="0" quotePrefix="0" xfId="0"/>
    <xf numFmtId="167" fontId="22" fillId="5" borderId="0" pivotButton="0" quotePrefix="0" xfId="0"/>
    <xf numFmtId="167" fontId="22" fillId="5" borderId="0" applyAlignment="1" pivotButton="0" quotePrefix="0" xfId="0">
      <alignment horizontal="right"/>
    </xf>
    <xf numFmtId="0" fontId="71" fillId="0" borderId="0" pivotButton="0" quotePrefix="0" xfId="26"/>
    <xf numFmtId="0" fontId="72" fillId="0" borderId="0" pivotButton="0" quotePrefix="0" xfId="26"/>
    <xf numFmtId="0" fontId="71" fillId="13" borderId="0" pivotButton="0" quotePrefix="0" xfId="26"/>
    <xf numFmtId="0" fontId="71" fillId="0" borderId="0" applyAlignment="1" pivotButton="0" quotePrefix="0" xfId="26">
      <alignment horizontal="right"/>
    </xf>
    <xf numFmtId="0" fontId="75" fillId="0" borderId="3" applyAlignment="1" pivotButton="0" quotePrefix="0" xfId="26">
      <alignment horizontal="left"/>
    </xf>
    <xf numFmtId="175" fontId="71" fillId="13" borderId="4" applyAlignment="1" pivotButton="0" quotePrefix="1" xfId="26">
      <alignment horizontal="right"/>
    </xf>
    <xf numFmtId="0" fontId="71" fillId="13" borderId="4" applyAlignment="1" pivotButton="0" quotePrefix="0" xfId="26">
      <alignment horizontal="right"/>
    </xf>
    <xf numFmtId="0" fontId="71" fillId="13" borderId="2" applyAlignment="1" pivotButton="0" quotePrefix="0" xfId="26">
      <alignment horizontal="right"/>
    </xf>
    <xf numFmtId="0" fontId="75" fillId="0" borderId="8" applyAlignment="1" pivotButton="0" quotePrefix="0" xfId="26">
      <alignment horizontal="left"/>
    </xf>
    <xf numFmtId="175" fontId="71" fillId="13" borderId="0" applyAlignment="1" pivotButton="0" quotePrefix="1" xfId="26">
      <alignment horizontal="right"/>
    </xf>
    <xf numFmtId="0" fontId="71" fillId="13" borderId="0" applyAlignment="1" pivotButton="0" quotePrefix="0" xfId="26">
      <alignment horizontal="right"/>
    </xf>
    <xf numFmtId="0" fontId="71" fillId="13" borderId="0" applyAlignment="1" pivotButton="0" quotePrefix="1" xfId="26">
      <alignment horizontal="right"/>
    </xf>
    <xf numFmtId="0" fontId="71" fillId="13" borderId="9" applyAlignment="1" pivotButton="0" quotePrefix="0" xfId="26">
      <alignment horizontal="right"/>
    </xf>
    <xf numFmtId="0" fontId="75" fillId="0" borderId="5" applyAlignment="1" pivotButton="0" quotePrefix="0" xfId="26">
      <alignment horizontal="left"/>
    </xf>
    <xf numFmtId="1" fontId="71" fillId="13" borderId="6" applyAlignment="1" pivotButton="0" quotePrefix="1" xfId="26">
      <alignment horizontal="right"/>
    </xf>
    <xf numFmtId="1" fontId="71" fillId="13" borderId="6" applyAlignment="1" pivotButton="0" quotePrefix="0" xfId="26">
      <alignment horizontal="right"/>
    </xf>
    <xf numFmtId="0" fontId="71" fillId="13" borderId="7" applyAlignment="1" pivotButton="0" quotePrefix="0" xfId="26">
      <alignment horizontal="right"/>
    </xf>
    <xf numFmtId="0" fontId="71" fillId="0" borderId="21" pivotButton="0" quotePrefix="0" xfId="26"/>
    <xf numFmtId="3" fontId="71" fillId="0" borderId="3" applyAlignment="1" pivotButton="0" quotePrefix="0" xfId="26">
      <alignment horizontal="right"/>
    </xf>
    <xf numFmtId="3" fontId="71" fillId="0" borderId="4" applyAlignment="1" pivotButton="0" quotePrefix="0" xfId="26">
      <alignment horizontal="right"/>
    </xf>
    <xf numFmtId="3" fontId="71" fillId="0" borderId="2" applyAlignment="1" pivotButton="0" quotePrefix="0" xfId="26">
      <alignment horizontal="right"/>
    </xf>
    <xf numFmtId="171" fontId="71" fillId="0" borderId="0" pivotButton="0" quotePrefix="0" xfId="26"/>
    <xf numFmtId="173" fontId="71" fillId="0" borderId="0" pivotButton="0" quotePrefix="0" xfId="26"/>
    <xf numFmtId="0" fontId="71" fillId="0" borderId="24" pivotButton="0" quotePrefix="0" xfId="26"/>
    <xf numFmtId="3" fontId="71" fillId="0" borderId="8" applyAlignment="1" pivotButton="0" quotePrefix="0" xfId="26">
      <alignment horizontal="right"/>
    </xf>
    <xf numFmtId="3" fontId="71" fillId="0" borderId="0" applyAlignment="1" pivotButton="0" quotePrefix="0" xfId="26">
      <alignment horizontal="right"/>
    </xf>
    <xf numFmtId="3" fontId="71" fillId="0" borderId="9" applyAlignment="1" pivotButton="0" quotePrefix="0" xfId="26">
      <alignment horizontal="right"/>
    </xf>
    <xf numFmtId="171" fontId="71" fillId="0" borderId="0" applyAlignment="1" pivotButton="0" quotePrefix="0" xfId="26">
      <alignment horizontal="right"/>
    </xf>
    <xf numFmtId="0" fontId="71" fillId="0" borderId="8" pivotButton="0" quotePrefix="0" xfId="26"/>
    <xf numFmtId="10" fontId="71" fillId="0" borderId="8" applyAlignment="1" pivotButton="0" quotePrefix="0" xfId="2">
      <alignment horizontal="right"/>
    </xf>
    <xf numFmtId="10" fontId="71" fillId="0" borderId="0" applyAlignment="1" pivotButton="0" quotePrefix="0" xfId="2">
      <alignment horizontal="right"/>
    </xf>
    <xf numFmtId="10" fontId="71" fillId="0" borderId="9" applyAlignment="1" pivotButton="0" quotePrefix="0" xfId="2">
      <alignment horizontal="right"/>
    </xf>
    <xf numFmtId="0" fontId="71" fillId="0" borderId="27" pivotButton="0" quotePrefix="0" xfId="26"/>
    <xf numFmtId="3" fontId="71" fillId="0" borderId="5" applyAlignment="1" pivotButton="0" quotePrefix="0" xfId="26">
      <alignment horizontal="right"/>
    </xf>
    <xf numFmtId="3" fontId="71" fillId="0" borderId="6" applyAlignment="1" pivotButton="0" quotePrefix="0" xfId="26">
      <alignment horizontal="right"/>
    </xf>
    <xf numFmtId="3" fontId="71" fillId="0" borderId="7" applyAlignment="1" pivotButton="0" quotePrefix="0" xfId="26">
      <alignment horizontal="right"/>
    </xf>
    <xf numFmtId="0" fontId="71" fillId="14" borderId="0" pivotButton="0" quotePrefix="0" xfId="26"/>
    <xf numFmtId="171" fontId="71" fillId="0" borderId="3" applyAlignment="1" pivotButton="0" quotePrefix="0" xfId="26">
      <alignment horizontal="right"/>
    </xf>
    <xf numFmtId="171" fontId="71" fillId="0" borderId="4" applyAlignment="1" pivotButton="0" quotePrefix="0" xfId="26">
      <alignment horizontal="right"/>
    </xf>
    <xf numFmtId="171" fontId="71" fillId="0" borderId="2" applyAlignment="1" pivotButton="0" quotePrefix="0" xfId="26">
      <alignment horizontal="right"/>
    </xf>
    <xf numFmtId="10" fontId="71" fillId="0" borderId="8" applyAlignment="1" pivotButton="0" quotePrefix="0" xfId="26">
      <alignment horizontal="right"/>
    </xf>
    <xf numFmtId="10" fontId="71" fillId="0" borderId="9" applyAlignment="1" pivotButton="0" quotePrefix="0" xfId="26">
      <alignment horizontal="right"/>
    </xf>
    <xf numFmtId="0" fontId="71" fillId="0" borderId="5" applyAlignment="1" pivotButton="0" quotePrefix="0" xfId="26">
      <alignment horizontal="right"/>
    </xf>
    <xf numFmtId="0" fontId="71" fillId="0" borderId="6" applyAlignment="1" pivotButton="0" quotePrefix="0" xfId="26">
      <alignment horizontal="right"/>
    </xf>
    <xf numFmtId="0" fontId="71" fillId="0" borderId="7" applyAlignment="1" pivotButton="0" quotePrefix="0" xfId="26">
      <alignment horizontal="right"/>
    </xf>
    <xf numFmtId="0" fontId="71" fillId="0" borderId="3" pivotButton="0" quotePrefix="0" xfId="26"/>
    <xf numFmtId="0" fontId="71" fillId="0" borderId="8" applyAlignment="1" pivotButton="0" quotePrefix="0" xfId="26">
      <alignment horizontal="right"/>
    </xf>
    <xf numFmtId="0" fontId="71" fillId="0" borderId="9" applyAlignment="1" pivotButton="0" quotePrefix="0" xfId="26">
      <alignment horizontal="right"/>
    </xf>
    <xf numFmtId="3" fontId="71" fillId="0" borderId="5" pivotButton="0" quotePrefix="0" xfId="26"/>
    <xf numFmtId="0" fontId="71" fillId="0" borderId="4" pivotButton="0" quotePrefix="0" xfId="26"/>
    <xf numFmtId="0" fontId="71" fillId="0" borderId="4" applyAlignment="1" pivotButton="0" quotePrefix="0" xfId="26">
      <alignment horizontal="center"/>
    </xf>
    <xf numFmtId="164" fontId="71" fillId="0" borderId="0" pivotButton="0" quotePrefix="0" xfId="2"/>
    <xf numFmtId="0" fontId="71" fillId="0" borderId="0" applyAlignment="1" pivotButton="0" quotePrefix="0" xfId="26">
      <alignment horizontal="center"/>
    </xf>
    <xf numFmtId="0" fontId="71" fillId="0" borderId="5" pivotButton="0" quotePrefix="0" xfId="26"/>
    <xf numFmtId="0" fontId="71" fillId="0" borderId="6" applyAlignment="1" pivotButton="0" quotePrefix="0" xfId="26">
      <alignment horizontal="center"/>
    </xf>
    <xf numFmtId="0" fontId="71" fillId="0" borderId="6" pivotButton="0" quotePrefix="0" xfId="26"/>
    <xf numFmtId="0" fontId="71" fillId="15" borderId="0" pivotButton="0" quotePrefix="0" xfId="26"/>
    <xf numFmtId="14" fontId="71" fillId="0" borderId="2" applyAlignment="1" pivotButton="0" quotePrefix="0" xfId="26">
      <alignment horizontal="center"/>
    </xf>
    <xf numFmtId="14" fontId="71" fillId="0" borderId="9" applyAlignment="1" pivotButton="0" quotePrefix="0" xfId="26">
      <alignment horizontal="center"/>
    </xf>
    <xf numFmtId="14" fontId="71" fillId="0" borderId="7" applyAlignment="1" pivotButton="0" quotePrefix="0" xfId="26">
      <alignment horizontal="center"/>
    </xf>
    <xf numFmtId="0" fontId="71" fillId="5" borderId="0" pivotButton="0" quotePrefix="0" xfId="26"/>
    <xf numFmtId="171" fontId="71" fillId="5" borderId="0" pivotButton="0" quotePrefix="0" xfId="26"/>
    <xf numFmtId="10" fontId="71" fillId="5" borderId="0" pivotButton="0" quotePrefix="0" xfId="26"/>
    <xf numFmtId="10" fontId="71" fillId="0" borderId="0" applyAlignment="1" pivotButton="0" quotePrefix="0" xfId="26">
      <alignment horizontal="right"/>
    </xf>
    <xf numFmtId="164" fontId="71" fillId="0" borderId="8" applyAlignment="1" pivotButton="0" quotePrefix="0" xfId="26">
      <alignment horizontal="right"/>
    </xf>
    <xf numFmtId="164" fontId="71" fillId="0" borderId="0" applyAlignment="1" pivotButton="0" quotePrefix="0" xfId="26">
      <alignment horizontal="right"/>
    </xf>
    <xf numFmtId="164" fontId="71" fillId="0" borderId="9" applyAlignment="1" pivotButton="0" quotePrefix="0" xfId="26">
      <alignment horizontal="right"/>
    </xf>
    <xf numFmtId="0" fontId="51" fillId="0" borderId="0" applyProtection="1" pivotButton="0" quotePrefix="0" xfId="13">
      <protection locked="0" hidden="0"/>
    </xf>
    <xf numFmtId="164" fontId="71" fillId="0" borderId="8" applyAlignment="1" pivotButton="0" quotePrefix="0" xfId="2">
      <alignment horizontal="right"/>
    </xf>
    <xf numFmtId="164" fontId="71" fillId="0" borderId="0" applyAlignment="1" pivotButton="0" quotePrefix="0" xfId="2">
      <alignment horizontal="right"/>
    </xf>
    <xf numFmtId="164" fontId="71" fillId="0" borderId="9" applyAlignment="1" pivotButton="0" quotePrefix="0" xfId="2">
      <alignment horizontal="right"/>
    </xf>
    <xf numFmtId="173" fontId="71" fillId="0" borderId="0" applyAlignment="1" pivotButton="0" quotePrefix="0" xfId="26">
      <alignment horizontal="right"/>
    </xf>
    <xf numFmtId="4" fontId="15" fillId="5" borderId="0" pivotButton="0" quotePrefix="0" xfId="0"/>
    <xf numFmtId="0" fontId="37" fillId="0" borderId="29" applyAlignment="1" pivotButton="0" quotePrefix="0" xfId="23">
      <alignment horizontal="center"/>
    </xf>
    <xf numFmtId="0" fontId="37" fillId="0" borderId="30" applyAlignment="1" pivotButton="0" quotePrefix="0" xfId="23">
      <alignment horizontal="center"/>
    </xf>
    <xf numFmtId="0" fontId="37" fillId="0" borderId="31" applyAlignment="1" pivotButton="0" quotePrefix="0" xfId="23">
      <alignment horizontal="center"/>
    </xf>
    <xf numFmtId="15" fontId="33" fillId="10" borderId="18" applyAlignment="1" pivotButton="0" quotePrefix="0" xfId="23">
      <alignment horizontal="left"/>
    </xf>
    <xf numFmtId="15" fontId="33" fillId="10" borderId="19" applyAlignment="1" pivotButton="0" quotePrefix="0" xfId="23">
      <alignment horizontal="left"/>
    </xf>
    <xf numFmtId="15" fontId="33" fillId="10" borderId="20" applyAlignment="1" pivotButton="0" quotePrefix="0" xfId="23">
      <alignment horizontal="left"/>
    </xf>
    <xf numFmtId="0" fontId="62" fillId="6" borderId="21" applyAlignment="1" pivotButton="0" quotePrefix="0" xfId="24">
      <alignment horizontal="left" vertical="top" wrapText="1"/>
    </xf>
    <xf numFmtId="0" fontId="62" fillId="6" borderId="24" applyAlignment="1" pivotButton="0" quotePrefix="0" xfId="24">
      <alignment horizontal="left" vertical="top" wrapText="1"/>
    </xf>
    <xf numFmtId="0" fontId="62" fillId="6" borderId="27" applyAlignment="1" pivotButton="0" quotePrefix="0" xfId="24">
      <alignment horizontal="left" vertical="top" wrapText="1"/>
    </xf>
    <xf numFmtId="0" fontId="62" fillId="10" borderId="10" applyAlignment="1" pivotButton="0" quotePrefix="0" xfId="24">
      <alignment horizontal="left"/>
    </xf>
    <xf numFmtId="0" fontId="62" fillId="10" borderId="11" applyAlignment="1" pivotButton="0" quotePrefix="0" xfId="24">
      <alignment horizontal="left"/>
    </xf>
    <xf numFmtId="0" fontId="62" fillId="10" borderId="23" applyAlignment="1" pivotButton="0" quotePrefix="0" xfId="24">
      <alignment horizontal="left"/>
    </xf>
    <xf numFmtId="0" fontId="34" fillId="10" borderId="10" applyAlignment="1" pivotButton="0" quotePrefix="0" xfId="23">
      <alignment horizontal="left"/>
    </xf>
    <xf numFmtId="0" fontId="34" fillId="10" borderId="11" applyAlignment="1" pivotButton="0" quotePrefix="0" xfId="23">
      <alignment horizontal="left"/>
    </xf>
    <xf numFmtId="0" fontId="34" fillId="10" borderId="12" applyAlignment="1" pivotButton="0" quotePrefix="0" xfId="23">
      <alignment horizontal="left"/>
    </xf>
    <xf numFmtId="0" fontId="34" fillId="10" borderId="23" applyAlignment="1" pivotButton="0" quotePrefix="0" xfId="23">
      <alignment horizontal="left"/>
    </xf>
    <xf numFmtId="15" fontId="62" fillId="10" borderId="10" applyAlignment="1" pivotButton="0" quotePrefix="0" xfId="24">
      <alignment horizontal="left"/>
    </xf>
    <xf numFmtId="15" fontId="62" fillId="10" borderId="11" applyAlignment="1" pivotButton="0" quotePrefix="0" xfId="24">
      <alignment horizontal="left"/>
    </xf>
    <xf numFmtId="15" fontId="62" fillId="10" borderId="23" applyAlignment="1" pivotButton="0" quotePrefix="0" xfId="24">
      <alignment horizontal="left"/>
    </xf>
    <xf numFmtId="0" fontId="62" fillId="10" borderId="10" pivotButton="0" quotePrefix="0" xfId="24"/>
    <xf numFmtId="0" fontId="62" fillId="10" borderId="11" pivotButton="0" quotePrefix="0" xfId="24"/>
    <xf numFmtId="0" fontId="62" fillId="10" borderId="23" pivotButton="0" quotePrefix="0" xfId="24"/>
    <xf numFmtId="0" fontId="62" fillId="10" borderId="3" applyAlignment="1" pivotButton="0" quotePrefix="0" xfId="24">
      <alignment horizontal="left"/>
    </xf>
    <xf numFmtId="0" fontId="62" fillId="10" borderId="4" applyAlignment="1" pivotButton="0" quotePrefix="0" xfId="24">
      <alignment horizontal="left"/>
    </xf>
    <xf numFmtId="0" fontId="62" fillId="10" borderId="26" applyAlignment="1" pivotButton="0" quotePrefix="0" xfId="24">
      <alignment horizontal="left"/>
    </xf>
    <xf numFmtId="17" fontId="48" fillId="5" borderId="32" applyAlignment="1" applyProtection="1" pivotButton="0" quotePrefix="0" xfId="13">
      <alignment horizontal="center"/>
      <protection locked="0" hidden="0"/>
    </xf>
    <xf numFmtId="17" fontId="78" fillId="0" borderId="32" applyAlignment="1" applyProtection="1" pivotButton="0" quotePrefix="0" xfId="13">
      <alignment horizontal="center"/>
      <protection locked="0" hidden="0"/>
    </xf>
    <xf numFmtId="0" fontId="44" fillId="16" borderId="0" pivotButton="0" quotePrefix="0" xfId="16"/>
    <xf numFmtId="0" fontId="0" fillId="17" borderId="0" pivotButton="0" quotePrefix="0" xfId="0"/>
    <xf numFmtId="0" fontId="0" fillId="7" borderId="0" pivotButton="0" quotePrefix="0" xfId="0"/>
    <xf numFmtId="0" fontId="44" fillId="18" borderId="0" pivotButton="0" quotePrefix="0" xfId="16"/>
    <xf numFmtId="0" fontId="0" fillId="18" borderId="0" pivotButton="0" quotePrefix="0" xfId="0"/>
    <xf numFmtId="0" fontId="0" fillId="19" borderId="0" pivotButton="0" quotePrefix="0" xfId="0"/>
    <xf numFmtId="0" fontId="44" fillId="20" borderId="0" pivotButton="0" quotePrefix="0" xfId="16"/>
    <xf numFmtId="0" fontId="0" fillId="21" borderId="0" pivotButton="0" quotePrefix="0" xfId="0"/>
    <xf numFmtId="0" fontId="0" fillId="22" borderId="0" pivotButton="0" quotePrefix="0" xfId="0"/>
    <xf numFmtId="0" fontId="44" fillId="23" borderId="0" pivotButton="0" quotePrefix="0" xfId="16"/>
    <xf numFmtId="0" fontId="0" fillId="24" borderId="0" pivotButton="0" quotePrefix="0" xfId="0"/>
    <xf numFmtId="0" fontId="0" fillId="25" borderId="0" pivotButton="0" quotePrefix="0" xfId="0"/>
    <xf numFmtId="0" fontId="79" fillId="0" borderId="0" applyAlignment="1" pivotButton="0" quotePrefix="0" xfId="3">
      <alignment vertical="top"/>
    </xf>
    <xf numFmtId="0" fontId="80" fillId="0" borderId="47" applyAlignment="1" pivotButton="0" quotePrefix="0" xfId="0">
      <alignment horizontal="center" vertical="top"/>
    </xf>
    <xf numFmtId="0" fontId="80" fillId="0" borderId="48" applyAlignment="1" pivotButton="0" quotePrefix="0" xfId="0">
      <alignment horizontal="center" vertical="top"/>
    </xf>
    <xf numFmtId="0" fontId="80" fillId="0" borderId="49" applyAlignment="1" pivotButton="0" quotePrefix="0" xfId="0">
      <alignment vertical="top"/>
    </xf>
    <xf numFmtId="0" fontId="79" fillId="0" borderId="50" applyAlignment="1" pivotButton="0" quotePrefix="0" xfId="3">
      <alignment horizontal="center" vertical="top"/>
    </xf>
    <xf numFmtId="0" fontId="79" fillId="0" borderId="51" applyAlignment="1" pivotButton="0" quotePrefix="0" xfId="3">
      <alignment horizontal="center" vertical="top"/>
    </xf>
    <xf numFmtId="0" fontId="79" fillId="0" borderId="52" applyAlignment="1" pivotButton="0" quotePrefix="0" xfId="3">
      <alignment horizontal="center" vertical="top"/>
    </xf>
    <xf numFmtId="0" fontId="71" fillId="22" borderId="21" applyAlignment="1" pivotButton="0" quotePrefix="0" xfId="26">
      <alignment horizontal="right"/>
    </xf>
    <xf numFmtId="0" fontId="73" fillId="22" borderId="21" applyAlignment="1" pivotButton="0" quotePrefix="0" xfId="26">
      <alignment horizontal="left"/>
    </xf>
    <xf numFmtId="0" fontId="74" fillId="22" borderId="3" applyAlignment="1" pivotButton="0" quotePrefix="0" xfId="26">
      <alignment horizontal="right"/>
    </xf>
    <xf numFmtId="0" fontId="74" fillId="22" borderId="4" applyAlignment="1" pivotButton="0" quotePrefix="0" xfId="26">
      <alignment horizontal="right"/>
    </xf>
    <xf numFmtId="0" fontId="74" fillId="22" borderId="2" applyAlignment="1" pivotButton="0" quotePrefix="0" xfId="26">
      <alignment horizontal="right"/>
    </xf>
    <xf numFmtId="0" fontId="71" fillId="22" borderId="24" applyAlignment="1" pivotButton="0" quotePrefix="0" xfId="26">
      <alignment horizontal="right"/>
    </xf>
    <xf numFmtId="0" fontId="76" fillId="22" borderId="24" applyAlignment="1" pivotButton="0" quotePrefix="0" xfId="26">
      <alignment horizontal="left"/>
    </xf>
    <xf numFmtId="0" fontId="74" fillId="22" borderId="8" applyAlignment="1" pivotButton="0" quotePrefix="0" xfId="26">
      <alignment horizontal="right"/>
    </xf>
    <xf numFmtId="0" fontId="74" fillId="22" borderId="0" applyAlignment="1" pivotButton="0" quotePrefix="0" xfId="26">
      <alignment horizontal="right"/>
    </xf>
    <xf numFmtId="0" fontId="74" fillId="22" borderId="9" applyAlignment="1" pivotButton="0" quotePrefix="0" xfId="26">
      <alignment horizontal="right"/>
    </xf>
    <xf numFmtId="0" fontId="71" fillId="22" borderId="27" applyAlignment="1" pivotButton="0" quotePrefix="0" xfId="26">
      <alignment horizontal="right"/>
    </xf>
    <xf numFmtId="0" fontId="76" fillId="22" borderId="27" applyAlignment="1" pivotButton="0" quotePrefix="0" xfId="26">
      <alignment horizontal="right"/>
    </xf>
    <xf numFmtId="0" fontId="74" fillId="22" borderId="5" applyAlignment="1" pivotButton="0" quotePrefix="0" xfId="26">
      <alignment horizontal="right"/>
    </xf>
    <xf numFmtId="0" fontId="74" fillId="22" borderId="6" applyAlignment="1" pivotButton="0" quotePrefix="0" xfId="26">
      <alignment horizontal="right"/>
    </xf>
    <xf numFmtId="0" fontId="74" fillId="22" borderId="7" applyAlignment="1" pivotButton="0" quotePrefix="0" xfId="26">
      <alignment horizontal="right"/>
    </xf>
    <xf numFmtId="0" fontId="81" fillId="22" borderId="53" applyAlignment="1" pivotButton="0" quotePrefix="0" xfId="16">
      <alignment vertical="center"/>
    </xf>
    <xf numFmtId="17" fontId="82" fillId="22" borderId="35" pivotButton="0" quotePrefix="0" xfId="16"/>
    <xf numFmtId="17" fontId="82" fillId="22" borderId="11" applyAlignment="1" pivotButton="0" quotePrefix="0" xfId="16">
      <alignment horizontal="right"/>
    </xf>
    <xf numFmtId="17" fontId="82" fillId="22" borderId="12" applyAlignment="1" pivotButton="0" quotePrefix="0" xfId="16">
      <alignment horizontal="right"/>
    </xf>
    <xf numFmtId="0" fontId="84" fillId="22" borderId="35" applyAlignment="1" pivotButton="0" quotePrefix="0" xfId="16">
      <alignment horizontal="center"/>
    </xf>
    <xf numFmtId="3" fontId="83" fillId="22" borderId="11" pivotButton="0" quotePrefix="0" xfId="16"/>
    <xf numFmtId="3" fontId="83" fillId="22" borderId="12" pivotButton="0" quotePrefix="0" xfId="16"/>
    <xf numFmtId="0" fontId="82" fillId="22" borderId="35" pivotButton="0" quotePrefix="0" xfId="16"/>
    <xf numFmtId="17" fontId="82" fillId="22" borderId="28" pivotButton="0" quotePrefix="0" xfId="16"/>
    <xf numFmtId="17" fontId="82" fillId="22" borderId="11" pivotButton="0" quotePrefix="0" xfId="16"/>
    <xf numFmtId="17" fontId="82" fillId="22" borderId="12" pivotButton="0" quotePrefix="0" xfId="16"/>
    <xf numFmtId="0" fontId="82" fillId="22" borderId="28" pivotButton="0" quotePrefix="0" xfId="16"/>
    <xf numFmtId="17" fontId="83" fillId="22" borderId="35" applyAlignment="1" pivotButton="0" quotePrefix="0" xfId="16">
      <alignment horizontal="left"/>
    </xf>
    <xf numFmtId="3" fontId="85" fillId="22" borderId="33" applyAlignment="1" pivotButton="0" quotePrefix="0" xfId="16">
      <alignment horizontal="left"/>
    </xf>
    <xf numFmtId="3" fontId="85" fillId="22" borderId="0" applyAlignment="1" pivotButton="0" quotePrefix="0" xfId="16">
      <alignment horizontal="right"/>
    </xf>
    <xf numFmtId="3" fontId="85" fillId="22" borderId="9" applyAlignment="1" pivotButton="0" quotePrefix="0" xfId="16">
      <alignment horizontal="right"/>
    </xf>
    <xf numFmtId="0" fontId="83" fillId="22" borderId="32" pivotButton="0" quotePrefix="1" xfId="16"/>
    <xf numFmtId="3" fontId="83" fillId="22" borderId="4" pivotButton="0" quotePrefix="0" xfId="16"/>
    <xf numFmtId="3" fontId="83" fillId="22" borderId="2" pivotButton="0" quotePrefix="0" xfId="16"/>
    <xf numFmtId="0" fontId="86" fillId="22" borderId="34" pivotButton="0" quotePrefix="0" xfId="16"/>
    <xf numFmtId="164" fontId="83" fillId="22" borderId="6" pivotButton="0" quotePrefix="0" xfId="16"/>
    <xf numFmtId="164" fontId="83" fillId="22" borderId="7" pivotButton="0" quotePrefix="0" xfId="16"/>
    <xf numFmtId="0" fontId="86" fillId="22" borderId="34" pivotButton="0" quotePrefix="1" xfId="16"/>
    <xf numFmtId="0" fontId="83" fillId="22" borderId="35" pivotButton="0" quotePrefix="1" xfId="16"/>
    <xf numFmtId="0" fontId="83" fillId="22" borderId="42" pivotButton="0" quotePrefix="1" xfId="16"/>
    <xf numFmtId="3" fontId="83" fillId="22" borderId="43" pivotButton="0" quotePrefix="0" xfId="16"/>
    <xf numFmtId="3" fontId="83" fillId="22" borderId="41" pivotButton="0" quotePrefix="0" xfId="16"/>
    <xf numFmtId="0" fontId="81" fillId="22" borderId="54" applyAlignment="1" pivotButton="0" quotePrefix="0" xfId="16">
      <alignment vertical="center"/>
    </xf>
    <xf numFmtId="0" fontId="81" fillId="22" borderId="55" applyAlignment="1" pivotButton="0" quotePrefix="0" xfId="16">
      <alignment vertical="center"/>
    </xf>
    <xf numFmtId="0" fontId="87" fillId="22" borderId="3" pivotButton="0" quotePrefix="0" xfId="16"/>
    <xf numFmtId="17" fontId="87" fillId="22" borderId="4" pivotButton="0" quotePrefix="0" xfId="16"/>
    <xf numFmtId="0" fontId="87" fillId="22" borderId="2" applyAlignment="1" pivotButton="0" quotePrefix="0" xfId="16">
      <alignment horizontal="right"/>
    </xf>
    <xf numFmtId="0" fontId="87" fillId="22" borderId="5" applyAlignment="1" pivotButton="0" quotePrefix="0" xfId="16">
      <alignment horizontal="left"/>
    </xf>
    <xf numFmtId="3" fontId="87" fillId="22" borderId="6" pivotButton="0" quotePrefix="0" xfId="16"/>
    <xf numFmtId="0" fontId="87" fillId="22" borderId="7" applyAlignment="1" pivotButton="0" quotePrefix="0" xfId="16">
      <alignment horizontal="right"/>
    </xf>
    <xf numFmtId="0" fontId="87" fillId="22" borderId="10" pivotButton="0" quotePrefix="0" xfId="16"/>
    <xf numFmtId="17" fontId="87" fillId="22" borderId="11" pivotButton="0" quotePrefix="0" xfId="16"/>
    <xf numFmtId="17" fontId="87" fillId="22" borderId="11" applyAlignment="1" pivotButton="0" quotePrefix="0" xfId="16">
      <alignment horizontal="right"/>
    </xf>
    <xf numFmtId="0" fontId="87" fillId="22" borderId="12" applyAlignment="1" pivotButton="0" quotePrefix="0" xfId="16">
      <alignment horizontal="right"/>
    </xf>
    <xf numFmtId="0" fontId="19" fillId="22" borderId="0" applyAlignment="1" pivotButton="0" quotePrefix="0" xfId="10">
      <alignment horizontal="left" vertical="center"/>
    </xf>
    <xf numFmtId="17" fontId="19" fillId="22" borderId="0" applyAlignment="1" pivotButton="0" quotePrefix="1" xfId="10">
      <alignment horizontal="right" vertical="center"/>
    </xf>
    <xf numFmtId="0" fontId="19" fillId="22" borderId="14" applyAlignment="1" pivotButton="0" quotePrefix="1" xfId="10">
      <alignment horizontal="right" vertical="center"/>
    </xf>
    <xf numFmtId="0" fontId="19" fillId="22" borderId="0" applyAlignment="1" pivotButton="0" quotePrefix="0" xfId="10">
      <alignment horizontal="right" vertical="center"/>
    </xf>
    <xf numFmtId="0" fontId="19" fillId="22" borderId="0" applyAlignment="1" pivotButton="0" quotePrefix="1" xfId="10">
      <alignment horizontal="right" vertical="center"/>
    </xf>
    <xf numFmtId="0" fontId="19" fillId="22" borderId="14" applyAlignment="1" pivotButton="0" quotePrefix="0" xfId="10">
      <alignment horizontal="right" vertical="center"/>
    </xf>
    <xf numFmtId="0" fontId="21" fillId="22" borderId="0" applyAlignment="1" pivotButton="0" quotePrefix="1" xfId="10">
      <alignment horizontal="left" vertical="center"/>
    </xf>
    <xf numFmtId="164" fontId="21" fillId="22" borderId="0" applyAlignment="1" pivotButton="0" quotePrefix="1" xfId="2">
      <alignment horizontal="right" vertical="center"/>
    </xf>
    <xf numFmtId="164" fontId="21" fillId="22" borderId="14" applyAlignment="1" pivotButton="0" quotePrefix="1" xfId="2">
      <alignment horizontal="right" vertical="center"/>
    </xf>
    <xf numFmtId="0" fontId="9" fillId="22" borderId="0" applyAlignment="1" pivotButton="0" quotePrefix="1" xfId="10">
      <alignment horizontal="left" vertical="center"/>
    </xf>
    <xf numFmtId="3" fontId="9" fillId="22" borderId="0" applyAlignment="1" pivotButton="0" quotePrefix="1" xfId="2">
      <alignment horizontal="right" vertical="center"/>
    </xf>
    <xf numFmtId="3" fontId="9" fillId="22" borderId="14" applyAlignment="1" pivotButton="0" quotePrefix="1" xfId="2">
      <alignment horizontal="right" vertical="center"/>
    </xf>
    <xf numFmtId="0" fontId="9" fillId="22" borderId="0" pivotButton="0" quotePrefix="0" xfId="0"/>
    <xf numFmtId="17" fontId="19" fillId="22" borderId="0" applyAlignment="1" pivotButton="0" quotePrefix="0" xfId="10">
      <alignment horizontal="right" vertical="center"/>
    </xf>
    <xf numFmtId="0" fontId="19" fillId="22" borderId="0" applyAlignment="1" pivotButton="0" quotePrefix="1" xfId="10">
      <alignment horizontal="left" vertical="center"/>
    </xf>
    <xf numFmtId="0" fontId="19" fillId="22" borderId="44" applyAlignment="1" pivotButton="0" quotePrefix="0" xfId="10">
      <alignment horizontal="left" vertical="center"/>
    </xf>
    <xf numFmtId="0" fontId="19" fillId="22" borderId="13" applyAlignment="1" pivotButton="0" quotePrefix="0" xfId="10">
      <alignment horizontal="right" vertical="center"/>
    </xf>
    <xf numFmtId="0" fontId="19" fillId="22" borderId="45" applyAlignment="1" pivotButton="0" quotePrefix="0" xfId="10">
      <alignment horizontal="right" vertical="center"/>
    </xf>
    <xf numFmtId="17" fontId="19" fillId="22" borderId="13" applyAlignment="1" pivotButton="0" quotePrefix="0" xfId="10">
      <alignment horizontal="right" vertical="center"/>
    </xf>
    <xf numFmtId="17" fontId="19" fillId="22" borderId="44" applyAlignment="1" pivotButton="0" quotePrefix="0" xfId="10">
      <alignment horizontal="right" vertical="center"/>
    </xf>
    <xf numFmtId="0" fontId="19" fillId="22" borderId="44" applyAlignment="1" pivotButton="0" quotePrefix="0" xfId="10">
      <alignment horizontal="right" vertical="center"/>
    </xf>
    <xf numFmtId="0" fontId="19" fillId="22" borderId="0" applyAlignment="1" pivotButton="0" quotePrefix="0" xfId="10">
      <alignment horizontal="left"/>
    </xf>
    <xf numFmtId="3" fontId="19" fillId="22" borderId="0" applyAlignment="1" pivotButton="0" quotePrefix="0" xfId="10">
      <alignment horizontal="right"/>
    </xf>
    <xf numFmtId="3" fontId="19" fillId="22" borderId="14" applyAlignment="1" pivotButton="0" quotePrefix="0" xfId="10">
      <alignment horizontal="right"/>
    </xf>
    <xf numFmtId="0" fontId="21" fillId="22" borderId="0" applyAlignment="1" pivotButton="0" quotePrefix="0" xfId="10">
      <alignment horizontal="left"/>
    </xf>
    <xf numFmtId="164" fontId="21" fillId="22" borderId="0" applyAlignment="1" pivotButton="0" quotePrefix="0" xfId="2">
      <alignment horizontal="right"/>
    </xf>
    <xf numFmtId="164" fontId="21" fillId="22" borderId="14" applyAlignment="1" pivotButton="0" quotePrefix="0" xfId="2">
      <alignment horizontal="right"/>
    </xf>
    <xf numFmtId="0" fontId="19" fillId="2" borderId="0" applyAlignment="1" pivotButton="0" quotePrefix="0" xfId="10">
      <alignment horizontal="right" vertical="center"/>
    </xf>
    <xf numFmtId="0" fontId="19" fillId="22" borderId="0" applyAlignment="1" pivotButton="0" quotePrefix="1" xfId="10">
      <alignment horizontal="left" vertical="center" wrapText="1"/>
    </xf>
    <xf numFmtId="14" fontId="19" fillId="22" borderId="0" applyAlignment="1" pivotButton="0" quotePrefix="1" xfId="10">
      <alignment horizontal="right" vertical="center" wrapText="1"/>
    </xf>
    <xf numFmtId="0" fontId="9" fillId="22" borderId="10" pivotButton="0" quotePrefix="0" xfId="0"/>
    <xf numFmtId="3" fontId="9" fillId="22" borderId="12" pivotButton="0" quotePrefix="0" xfId="0"/>
    <xf numFmtId="3" fontId="29" fillId="22" borderId="0" applyAlignment="1" pivotButton="0" quotePrefix="0" xfId="10">
      <alignment horizontal="right"/>
    </xf>
    <xf numFmtId="164" fontId="19" fillId="22" borderId="0" applyAlignment="1" pivotButton="0" quotePrefix="0" xfId="10">
      <alignment horizontal="center"/>
    </xf>
    <xf numFmtId="164" fontId="14" fillId="22" borderId="0" applyAlignment="1" pivotButton="0" quotePrefix="0" xfId="2">
      <alignment horizontal="center"/>
    </xf>
    <xf numFmtId="164" fontId="19" fillId="22" borderId="0" applyAlignment="1" pivotButton="0" quotePrefix="0" xfId="10">
      <alignment horizontal="right"/>
    </xf>
    <xf numFmtId="164" fontId="14" fillId="22" borderId="0" applyAlignment="1" pivotButton="0" quotePrefix="0" xfId="10">
      <alignment horizontal="right"/>
    </xf>
    <xf numFmtId="3" fontId="88" fillId="22" borderId="0" applyAlignment="1" pivotButton="0" quotePrefix="0" xfId="10">
      <alignment horizontal="right"/>
    </xf>
    <xf numFmtId="164" fontId="19" fillId="22" borderId="0" applyAlignment="1" pivotButton="0" quotePrefix="0" xfId="2">
      <alignment horizontal="center"/>
    </xf>
    <xf numFmtId="0" fontId="19" fillId="22" borderId="0" applyAlignment="1" pivotButton="0" quotePrefix="1" xfId="10">
      <alignment horizontal="right" vertical="center" wrapText="1"/>
    </xf>
    <xf numFmtId="164" fontId="28" fillId="22" borderId="0" applyAlignment="1" pivotButton="0" quotePrefix="0" xfId="10">
      <alignment horizontal="right"/>
    </xf>
    <xf numFmtId="164" fontId="28" fillId="22" borderId="0" applyAlignment="1" pivotButton="0" quotePrefix="0" xfId="2">
      <alignment horizontal="center"/>
    </xf>
    <xf numFmtId="164" fontId="9" fillId="22" borderId="0" applyAlignment="1" pivotButton="0" quotePrefix="0" xfId="10">
      <alignment horizontal="right"/>
    </xf>
    <xf numFmtId="164" fontId="9" fillId="22" borderId="0" applyAlignment="1" pivotButton="0" quotePrefix="0" xfId="2">
      <alignment horizontal="center"/>
    </xf>
    <xf numFmtId="164" fontId="9" fillId="22" borderId="0" applyAlignment="1" pivotButton="0" quotePrefix="0" xfId="10">
      <alignment horizontal="center"/>
    </xf>
    <xf numFmtId="0" fontId="19" fillId="22" borderId="14" applyAlignment="1" pivotButton="0" quotePrefix="1" xfId="10">
      <alignment horizontal="right" vertical="center" wrapText="1"/>
    </xf>
    <xf numFmtId="0" fontId="22" fillId="0" borderId="14" pivotButton="0" quotePrefix="0" xfId="0"/>
    <xf numFmtId="0" fontId="19" fillId="22" borderId="14" applyAlignment="1" pivotButton="0" quotePrefix="0" xfId="10">
      <alignment horizontal="left" vertical="center"/>
    </xf>
    <xf numFmtId="164" fontId="66" fillId="22" borderId="0" applyAlignment="1" pivotButton="0" quotePrefix="1" xfId="2">
      <alignment horizontal="right" vertical="center"/>
    </xf>
    <xf numFmtId="3" fontId="14" fillId="5" borderId="0" pivotButton="0" quotePrefix="0" xfId="0"/>
    <xf numFmtId="3" fontId="12" fillId="5" borderId="0" pivotButton="0" quotePrefix="0" xfId="0"/>
    <xf numFmtId="3" fontId="14" fillId="0" borderId="0" applyAlignment="1" pivotButton="0" quotePrefix="0" xfId="0">
      <alignment horizontal="right"/>
    </xf>
    <xf numFmtId="3" fontId="14" fillId="12" borderId="0" pivotButton="0" quotePrefix="0" xfId="0"/>
    <xf numFmtId="165" fontId="26" fillId="0" borderId="0" pivotButton="0" quotePrefix="0" xfId="0"/>
    <xf numFmtId="9" fontId="22" fillId="0" borderId="0" applyAlignment="1" pivotButton="0" quotePrefix="0" xfId="2">
      <alignment horizontal="right"/>
    </xf>
    <xf numFmtId="14" fontId="5" fillId="0" borderId="0" pivotButton="0" quotePrefix="0" xfId="0"/>
    <xf numFmtId="10" fontId="22" fillId="0" borderId="0" pivotButton="0" quotePrefix="0" xfId="2"/>
    <xf numFmtId="0" fontId="20" fillId="0" borderId="0" applyAlignment="1" pivotButton="0" quotePrefix="0" xfId="10">
      <alignment horizontal="left"/>
    </xf>
    <xf numFmtId="0" fontId="26" fillId="0" borderId="0" pivotButton="0" quotePrefix="0" xfId="0"/>
    <xf numFmtId="165" fontId="14" fillId="0" borderId="0" pivotButton="0" quotePrefix="0" xfId="0"/>
    <xf numFmtId="9" fontId="22" fillId="0" borderId="0" pivotButton="0" quotePrefix="0" xfId="2"/>
    <xf numFmtId="14" fontId="70" fillId="0" borderId="0" pivotButton="0" quotePrefix="0" xfId="0"/>
    <xf numFmtId="165" fontId="28" fillId="0" borderId="14" pivotButton="0" quotePrefix="0" xfId="0"/>
    <xf numFmtId="3" fontId="16" fillId="0" borderId="14" pivotButton="0" quotePrefix="0" xfId="11"/>
    <xf numFmtId="3" fontId="20" fillId="0" borderId="14" applyAlignment="1" pivotButton="0" quotePrefix="0" xfId="1">
      <alignment horizontal="right"/>
    </xf>
    <xf numFmtId="3" fontId="16" fillId="12" borderId="14" pivotButton="0" quotePrefix="0" xfId="0"/>
    <xf numFmtId="3" fontId="9" fillId="22" borderId="14" pivotButton="0" quotePrefix="0" xfId="0"/>
    <xf numFmtId="0" fontId="16" fillId="0" borderId="14" pivotButton="0" quotePrefix="0" xfId="0"/>
    <xf numFmtId="164" fontId="22" fillId="0" borderId="14" pivotButton="0" quotePrefix="0" xfId="0"/>
    <xf numFmtId="0" fontId="19" fillId="22" borderId="0" applyAlignment="1" pivotButton="0" quotePrefix="0" xfId="10">
      <alignment horizontal="right" vertical="center" wrapText="1"/>
    </xf>
    <xf numFmtId="14" fontId="19" fillId="22" borderId="0" applyAlignment="1" pivotButton="0" quotePrefix="0" xfId="10">
      <alignment horizontal="right" vertical="center"/>
    </xf>
    <xf numFmtId="14" fontId="19" fillId="22" borderId="14" applyAlignment="1" pivotButton="0" quotePrefix="0" xfId="10">
      <alignment horizontal="right" vertical="center"/>
    </xf>
    <xf numFmtId="14" fontId="19" fillId="22" borderId="0" applyAlignment="1" pivotButton="0" quotePrefix="0" xfId="10">
      <alignment horizontal="right" vertical="center" wrapText="1"/>
    </xf>
    <xf numFmtId="0" fontId="77" fillId="0" borderId="21" applyAlignment="1" pivotButton="0" quotePrefix="0" xfId="26">
      <alignment horizontal="center" vertical="center" textRotation="90"/>
    </xf>
    <xf numFmtId="0" fontId="77" fillId="0" borderId="24" applyAlignment="1" pivotButton="0" quotePrefix="0" xfId="26">
      <alignment horizontal="center" vertical="center" textRotation="90"/>
    </xf>
    <xf numFmtId="0" fontId="77" fillId="0" borderId="27" applyAlignment="1" pivotButton="0" quotePrefix="0" xfId="26">
      <alignment horizontal="center" vertical="center" textRotation="90"/>
    </xf>
    <xf numFmtId="0" fontId="81" fillId="22" borderId="54" applyAlignment="1" pivotButton="0" quotePrefix="0" xfId="16">
      <alignment horizontal="center" vertical="center"/>
    </xf>
    <xf numFmtId="0" fontId="81" fillId="22" borderId="55" applyAlignment="1" pivotButton="0" quotePrefix="0" xfId="16">
      <alignment horizontal="center" vertical="center"/>
    </xf>
    <xf numFmtId="175" fontId="71" fillId="13" borderId="4" applyAlignment="1" pivotButton="0" quotePrefix="1" xfId="26">
      <alignment horizontal="right"/>
    </xf>
    <xf numFmtId="175" fontId="71" fillId="13" borderId="0" applyAlignment="1" pivotButton="0" quotePrefix="1" xfId="26">
      <alignment horizontal="right"/>
    </xf>
    <xf numFmtId="171" fontId="71" fillId="0" borderId="0" pivotButton="0" quotePrefix="0" xfId="26"/>
    <xf numFmtId="0" fontId="0" fillId="0" borderId="24" pivotButton="0" quotePrefix="0" xfId="0"/>
    <xf numFmtId="171" fontId="71" fillId="0" borderId="0" applyAlignment="1" pivotButton="0" quotePrefix="0" xfId="26">
      <alignment horizontal="right"/>
    </xf>
    <xf numFmtId="171" fontId="71" fillId="5" borderId="0" pivotButton="0" quotePrefix="0" xfId="26"/>
    <xf numFmtId="0" fontId="77" fillId="0" borderId="28" applyAlignment="1" pivotButton="0" quotePrefix="0" xfId="26">
      <alignment horizontal="center" vertical="center" textRotation="90"/>
    </xf>
    <xf numFmtId="171" fontId="71" fillId="0" borderId="3" applyAlignment="1" pivotButton="0" quotePrefix="0" xfId="26">
      <alignment horizontal="right"/>
    </xf>
    <xf numFmtId="171" fontId="71" fillId="0" borderId="4" applyAlignment="1" pivotButton="0" quotePrefix="0" xfId="26">
      <alignment horizontal="right"/>
    </xf>
    <xf numFmtId="171" fontId="71" fillId="0" borderId="2" applyAlignment="1" pivotButton="0" quotePrefix="0" xfId="26">
      <alignment horizontal="right"/>
    </xf>
    <xf numFmtId="0" fontId="0" fillId="0" borderId="27" pivotButton="0" quotePrefix="0" xfId="0"/>
    <xf numFmtId="173" fontId="71" fillId="0" borderId="0" pivotButton="0" quotePrefix="0" xfId="26"/>
    <xf numFmtId="173" fontId="71" fillId="0" borderId="0" applyAlignment="1" pivotButton="0" quotePrefix="0" xfId="26">
      <alignment horizontal="right"/>
    </xf>
    <xf numFmtId="171" fontId="49" fillId="0" borderId="33" pivotButton="0" quotePrefix="0" xfId="13"/>
    <xf numFmtId="171" fontId="49" fillId="0" borderId="24" pivotButton="0" quotePrefix="0" xfId="13"/>
    <xf numFmtId="171" fontId="47" fillId="0" borderId="33" pivotButton="0" quotePrefix="0" xfId="13"/>
    <xf numFmtId="171" fontId="47" fillId="0" borderId="24" pivotButton="0" quotePrefix="0" xfId="13"/>
    <xf numFmtId="171" fontId="46" fillId="0" borderId="33" applyProtection="1" pivotButton="0" quotePrefix="0" xfId="13">
      <protection locked="0" hidden="0"/>
    </xf>
    <xf numFmtId="171" fontId="46" fillId="0" borderId="24" applyProtection="1" pivotButton="0" quotePrefix="0" xfId="13">
      <protection locked="0" hidden="0"/>
    </xf>
    <xf numFmtId="171" fontId="46" fillId="0" borderId="33" pivotButton="0" quotePrefix="0" xfId="13"/>
    <xf numFmtId="171" fontId="46" fillId="0" borderId="24" pivotButton="0" quotePrefix="0" xfId="13"/>
    <xf numFmtId="171" fontId="47" fillId="0" borderId="33" applyProtection="1" pivotButton="0" quotePrefix="0" xfId="13">
      <protection locked="0" hidden="0"/>
    </xf>
    <xf numFmtId="171" fontId="47" fillId="0" borderId="24" applyProtection="1" pivotButton="0" quotePrefix="0" xfId="13">
      <protection locked="0" hidden="0"/>
    </xf>
    <xf numFmtId="171" fontId="47" fillId="0" borderId="27" pivotButton="0" quotePrefix="0" xfId="13"/>
    <xf numFmtId="171" fontId="48" fillId="0" borderId="35" pivotButton="0" quotePrefix="0" xfId="13"/>
    <xf numFmtId="171" fontId="48" fillId="0" borderId="28" pivotButton="0" quotePrefix="0" xfId="13"/>
    <xf numFmtId="171" fontId="48" fillId="0" borderId="0" pivotButton="0" quotePrefix="0" xfId="13"/>
    <xf numFmtId="171" fontId="18" fillId="0" borderId="0" pivotButton="0" quotePrefix="0" xfId="13"/>
    <xf numFmtId="172" fontId="47" fillId="0" borderId="0" pivotButton="0" quotePrefix="0" xfId="17"/>
    <xf numFmtId="172" fontId="47" fillId="0" borderId="0" pivotButton="0" quotePrefix="0" xfId="13"/>
    <xf numFmtId="172" fontId="48" fillId="0" borderId="0" pivotButton="0" quotePrefix="0" xfId="13"/>
    <xf numFmtId="172" fontId="51" fillId="0" borderId="0" pivotButton="0" quotePrefix="0" xfId="17"/>
    <xf numFmtId="172" fontId="46" fillId="0" borderId="0" pivotButton="0" quotePrefix="0" xfId="17"/>
    <xf numFmtId="171" fontId="49" fillId="0" borderId="36" pivotButton="0" quotePrefix="0" xfId="13"/>
    <xf numFmtId="171" fontId="49" fillId="0" borderId="37" pivotButton="0" quotePrefix="0" xfId="13"/>
    <xf numFmtId="171" fontId="49" fillId="0" borderId="33" applyProtection="1" pivotButton="0" quotePrefix="0" xfId="13">
      <protection locked="0" hidden="0"/>
    </xf>
    <xf numFmtId="171" fontId="49" fillId="0" borderId="24" applyProtection="1" pivotButton="0" quotePrefix="0" xfId="13">
      <protection locked="0" hidden="0"/>
    </xf>
    <xf numFmtId="171" fontId="47" fillId="0" borderId="34" applyProtection="1" pivotButton="0" quotePrefix="0" xfId="13">
      <protection locked="0" hidden="0"/>
    </xf>
    <xf numFmtId="171" fontId="47" fillId="0" borderId="27" applyProtection="1" pivotButton="0" quotePrefix="0" xfId="13">
      <protection locked="0" hidden="0"/>
    </xf>
    <xf numFmtId="171" fontId="47" fillId="0" borderId="8" pivotButton="0" quotePrefix="0" xfId="13"/>
    <xf numFmtId="171" fontId="46" fillId="0" borderId="8" pivotButton="0" quotePrefix="0" xfId="13"/>
    <xf numFmtId="171" fontId="47" fillId="0" borderId="8" applyProtection="1" pivotButton="0" quotePrefix="0" xfId="13">
      <protection locked="0" hidden="0"/>
    </xf>
    <xf numFmtId="171" fontId="50" fillId="0" borderId="8" applyProtection="1" pivotButton="0" quotePrefix="0" xfId="13">
      <protection locked="0" hidden="0"/>
    </xf>
    <xf numFmtId="171" fontId="46" fillId="0" borderId="8" applyProtection="1" pivotButton="0" quotePrefix="0" xfId="13">
      <protection locked="0" hidden="0"/>
    </xf>
    <xf numFmtId="171" fontId="47" fillId="0" borderId="5" pivotButton="0" quotePrefix="0" xfId="13"/>
    <xf numFmtId="171" fontId="47" fillId="0" borderId="34" pivotButton="0" quotePrefix="0" xfId="13"/>
    <xf numFmtId="171" fontId="47" fillId="0" borderId="0" pivotButton="0" quotePrefix="0" xfId="13"/>
    <xf numFmtId="171" fontId="50" fillId="0" borderId="24" pivotButton="0" quotePrefix="0" xfId="13"/>
    <xf numFmtId="171" fontId="47" fillId="0" borderId="5" applyProtection="1" pivotButton="0" quotePrefix="0" xfId="13">
      <protection locked="0" hidden="0"/>
    </xf>
    <xf numFmtId="171" fontId="46" fillId="0" borderId="10" pivotButton="0" quotePrefix="0" xfId="13"/>
    <xf numFmtId="171" fontId="46" fillId="0" borderId="28" pivotButton="0" quotePrefix="0" xfId="13"/>
    <xf numFmtId="171" fontId="46" fillId="0" borderId="0" pivotButton="0" quotePrefix="0" xfId="13"/>
    <xf numFmtId="171" fontId="47" fillId="0" borderId="10" applyProtection="1" pivotButton="0" quotePrefix="0" xfId="13">
      <protection locked="0" hidden="0"/>
    </xf>
    <xf numFmtId="171" fontId="47" fillId="0" borderId="28" applyProtection="1" pivotButton="0" quotePrefix="0" xfId="13">
      <protection locked="0" hidden="0"/>
    </xf>
    <xf numFmtId="171" fontId="48" fillId="0" borderId="3" applyAlignment="1" applyProtection="1" pivotButton="0" quotePrefix="0" xfId="13">
      <alignment horizontal="right"/>
      <protection locked="0" hidden="0"/>
    </xf>
    <xf numFmtId="171" fontId="48" fillId="0" borderId="21" applyAlignment="1" applyProtection="1" pivotButton="0" quotePrefix="0" xfId="13">
      <alignment horizontal="right"/>
      <protection locked="0" hidden="0"/>
    </xf>
    <xf numFmtId="171" fontId="46" fillId="0" borderId="38" pivotButton="0" quotePrefix="0" xfId="13"/>
    <xf numFmtId="171" fontId="46" fillId="0" borderId="37" pivotButton="0" quotePrefix="0" xfId="13"/>
    <xf numFmtId="171" fontId="50" fillId="0" borderId="8" pivotButton="0" quotePrefix="0" xfId="13"/>
    <xf numFmtId="171" fontId="47" fillId="0" borderId="38" pivotButton="0" quotePrefix="0" xfId="13"/>
    <xf numFmtId="171" fontId="47" fillId="0" borderId="37" pivotButton="0" quotePrefix="0" xfId="13"/>
    <xf numFmtId="171" fontId="47" fillId="0" borderId="39" pivotButton="0" quotePrefix="0" xfId="13"/>
    <xf numFmtId="171" fontId="47" fillId="0" borderId="40" pivotButton="0" quotePrefix="0" xfId="13"/>
    <xf numFmtId="171" fontId="46" fillId="0" borderId="38" applyProtection="1" pivotButton="0" quotePrefix="0" xfId="13">
      <protection locked="0" hidden="0"/>
    </xf>
    <xf numFmtId="171" fontId="46" fillId="0" borderId="37" applyProtection="1" pivotButton="0" quotePrefix="0" xfId="13">
      <protection locked="0" hidden="0"/>
    </xf>
    <xf numFmtId="171" fontId="25" fillId="0" borderId="0" pivotButton="0" quotePrefix="0" xfId="13"/>
    <xf numFmtId="171" fontId="47" fillId="0" borderId="3" applyProtection="1" pivotButton="0" quotePrefix="0" xfId="13">
      <protection locked="0" hidden="0"/>
    </xf>
    <xf numFmtId="171" fontId="47" fillId="0" borderId="21" applyProtection="1" pivotButton="0" quotePrefix="0" xfId="13">
      <protection locked="0" hidden="0"/>
    </xf>
    <xf numFmtId="171" fontId="46" fillId="0" borderId="4" pivotButton="0" quotePrefix="0" xfId="13"/>
    <xf numFmtId="171" fontId="46" fillId="0" borderId="3" pivotButton="0" quotePrefix="0" xfId="13"/>
    <xf numFmtId="171" fontId="46" fillId="0" borderId="21" pivotButton="0" quotePrefix="0" xfId="13"/>
    <xf numFmtId="171" fontId="47" fillId="0" borderId="6" pivotButton="0" quotePrefix="0" xfId="13"/>
    <xf numFmtId="0" fontId="0" fillId="0" borderId="54" pivotButton="0" quotePrefix="0" xfId="0"/>
    <xf numFmtId="0" fontId="0" fillId="0" borderId="55" pivotButton="0" quotePrefix="0" xfId="0"/>
    <xf numFmtId="171" fontId="18" fillId="0" borderId="0" pivotButton="0" quotePrefix="0" xfId="19"/>
    <xf numFmtId="171" fontId="18" fillId="0" borderId="9" pivotButton="0" quotePrefix="0" xfId="19"/>
    <xf numFmtId="171" fontId="18" fillId="0" borderId="33" pivotButton="0" quotePrefix="0" xfId="16"/>
    <xf numFmtId="171" fontId="18" fillId="2" borderId="6" pivotButton="0" quotePrefix="0" xfId="19"/>
    <xf numFmtId="171" fontId="18" fillId="2" borderId="7" pivotButton="0" quotePrefix="0" xfId="19"/>
    <xf numFmtId="171" fontId="18" fillId="0" borderId="4" pivotButton="0" quotePrefix="0" xfId="16"/>
    <xf numFmtId="171" fontId="18" fillId="0" borderId="0" pivotButton="0" quotePrefix="0" xfId="16"/>
    <xf numFmtId="171" fontId="18" fillId="0" borderId="6" pivotButton="0" quotePrefix="0" xfId="16"/>
    <xf numFmtId="171" fontId="44" fillId="0" borderId="0" pivotButton="0" quotePrefix="0" xfId="16"/>
    <xf numFmtId="171" fontId="44" fillId="0" borderId="11" pivotButton="0" quotePrefix="0" xfId="16"/>
    <xf numFmtId="172" fontId="0" fillId="0" borderId="0" pivotButton="0" quotePrefix="0" xfId="17"/>
    <xf numFmtId="172" fontId="44" fillId="0" borderId="0" pivotButton="0" quotePrefix="0" xfId="16"/>
    <xf numFmtId="171" fontId="58" fillId="0" borderId="0" pivotButton="0" quotePrefix="0" xfId="16"/>
    <xf numFmtId="173" fontId="58" fillId="0" borderId="0" pivotButton="0" quotePrefix="0" xfId="16"/>
    <xf numFmtId="173" fontId="44" fillId="0" borderId="0" pivotButton="0" quotePrefix="0" xfId="16"/>
    <xf numFmtId="165" fontId="15" fillId="0" borderId="0" pivotButton="0" quotePrefix="0" xfId="0"/>
    <xf numFmtId="165" fontId="15" fillId="0" borderId="14" pivotButton="0" quotePrefix="0" xfId="0"/>
    <xf numFmtId="167" fontId="15" fillId="0" borderId="0" applyAlignment="1" pivotButton="0" quotePrefix="0" xfId="0">
      <alignment horizontal="right"/>
    </xf>
    <xf numFmtId="166" fontId="12" fillId="0" borderId="0" pivotButton="0" quotePrefix="0" xfId="0"/>
    <xf numFmtId="167" fontId="12" fillId="0" borderId="0" applyAlignment="1" pivotButton="0" quotePrefix="0" xfId="0">
      <alignment horizontal="right"/>
    </xf>
    <xf numFmtId="167" fontId="12" fillId="0" borderId="9" applyAlignment="1" pivotButton="0" quotePrefix="0" xfId="0">
      <alignment horizontal="right"/>
    </xf>
    <xf numFmtId="167" fontId="12" fillId="0" borderId="6" applyAlignment="1" pivotButton="0" quotePrefix="0" xfId="0">
      <alignment horizontal="right"/>
    </xf>
    <xf numFmtId="167" fontId="12" fillId="0" borderId="7" applyAlignment="1" pivotButton="0" quotePrefix="0" xfId="0">
      <alignment horizontal="right"/>
    </xf>
    <xf numFmtId="167" fontId="22" fillId="0" borderId="0" pivotButton="0" quotePrefix="0" xfId="0"/>
    <xf numFmtId="167" fontId="22" fillId="0" borderId="0" applyAlignment="1" pivotButton="0" quotePrefix="0" xfId="0">
      <alignment horizontal="right"/>
    </xf>
    <xf numFmtId="167" fontId="22" fillId="5" borderId="0" pivotButton="0" quotePrefix="0" xfId="0"/>
    <xf numFmtId="167" fontId="22" fillId="5" borderId="0" applyAlignment="1" pivotButton="0" quotePrefix="0" xfId="0">
      <alignment horizontal="right"/>
    </xf>
    <xf numFmtId="167" fontId="15" fillId="0" borderId="4" applyAlignment="1" pivotButton="0" quotePrefix="0" xfId="0">
      <alignment horizontal="right"/>
    </xf>
    <xf numFmtId="167" fontId="15" fillId="0" borderId="2" applyAlignment="1" pivotButton="0" quotePrefix="0" xfId="0">
      <alignment horizontal="right"/>
    </xf>
    <xf numFmtId="167" fontId="17" fillId="0" borderId="0" applyAlignment="1" pivotButton="0" quotePrefix="0" xfId="0">
      <alignment horizontal="right"/>
    </xf>
    <xf numFmtId="167" fontId="17" fillId="0" borderId="9" applyAlignment="1" pivotButton="0" quotePrefix="0" xfId="0">
      <alignment horizontal="right"/>
    </xf>
    <xf numFmtId="167" fontId="15" fillId="0" borderId="9" applyAlignment="1" pivotButton="0" quotePrefix="0" xfId="0">
      <alignment horizontal="right"/>
    </xf>
    <xf numFmtId="167" fontId="15" fillId="0" borderId="6" applyAlignment="1" pivotButton="0" quotePrefix="0" xfId="0">
      <alignment horizontal="right"/>
    </xf>
    <xf numFmtId="167" fontId="15" fillId="0" borderId="7" applyAlignment="1" pivotButton="0" quotePrefix="0" xfId="0">
      <alignment horizontal="right"/>
    </xf>
    <xf numFmtId="168" fontId="7" fillId="0" borderId="0" applyAlignment="1" pivotButton="0" quotePrefix="0" xfId="14">
      <alignment horizontal="right" vertical="center"/>
    </xf>
    <xf numFmtId="169" fontId="7" fillId="0" borderId="0" applyAlignment="1" pivotButton="0" quotePrefix="0" xfId="14">
      <alignment horizontal="right" vertical="center"/>
    </xf>
    <xf numFmtId="168" fontId="7" fillId="0" borderId="16" applyAlignment="1" pivotButton="0" quotePrefix="0" xfId="14">
      <alignment horizontal="right" vertical="center"/>
    </xf>
    <xf numFmtId="169" fontId="7" fillId="0" borderId="16" applyAlignment="1" pivotButton="0" quotePrefix="0" xfId="14">
      <alignment horizontal="right" vertical="center"/>
    </xf>
    <xf numFmtId="170" fontId="6" fillId="0" borderId="16" applyAlignment="1" pivotButton="0" quotePrefix="0" xfId="14">
      <alignment horizontal="left" vertical="center"/>
    </xf>
    <xf numFmtId="174" fontId="37" fillId="0" borderId="28" applyAlignment="1" pivotButton="0" quotePrefix="0" xfId="23">
      <alignment horizontal="center"/>
    </xf>
    <xf numFmtId="165" fontId="28" fillId="0" borderId="14" pivotButton="0" quotePrefix="0" xfId="0"/>
    <xf numFmtId="165" fontId="26" fillId="0" borderId="0" pivotButton="0" quotePrefix="0" xfId="0"/>
    <xf numFmtId="165" fontId="14" fillId="0" borderId="0" pivotButton="0" quotePrefix="0" xfId="0"/>
    <xf numFmtId="165" fontId="22" fillId="0" borderId="0" pivotButton="0" quotePrefix="0" xfId="0"/>
    <xf numFmtId="165" fontId="14" fillId="2" borderId="0" pivotButton="0" quotePrefix="0" xfId="0"/>
    <xf numFmtId="165" fontId="22" fillId="0" borderId="0" applyAlignment="1" pivotButton="0" quotePrefix="0" xfId="0">
      <alignment horizontal="right"/>
    </xf>
    <xf numFmtId="0" fontId="89" fillId="26" borderId="0" pivotButton="0" quotePrefix="0" xfId="0"/>
  </cellXfs>
  <cellStyles count="28">
    <cellStyle name="Standaard" xfId="0" builtinId="0"/>
    <cellStyle name="Komma" xfId="1" builtinId="3"/>
    <cellStyle name="Procent" xfId="2" builtinId="5"/>
    <cellStyle name="Kop 1" xfId="3" builtinId="16"/>
    <cellStyle name="Kop 4" xfId="4" builtinId="19"/>
    <cellStyle name="Normal 2" xfId="5"/>
    <cellStyle name="Comma 10" xfId="6"/>
    <cellStyle name="Percent 3" xfId="7"/>
    <cellStyle name="Percent 2" xfId="8"/>
    <cellStyle name="数字格式" xfId="9"/>
    <cellStyle name="Standaard 2" xfId="10"/>
    <cellStyle name="Komma 2" xfId="11"/>
    <cellStyle name="Standard_MBR S&amp;M D - MAY 2005 " xfId="12"/>
    <cellStyle name="Normal_OVPHIST" xfId="13"/>
    <cellStyle name="Normal 139" xfId="14"/>
    <cellStyle name="Standaard 3" xfId="15"/>
    <cellStyle name="Standaard 4" xfId="16"/>
    <cellStyle name="Komma 3" xfId="17"/>
    <cellStyle name="Normal_Historiek" xfId="18"/>
    <cellStyle name="Procent 2" xfId="19"/>
    <cellStyle name="Valuta 2" xfId="20"/>
    <cellStyle name="Hyperlink 2" xfId="21"/>
    <cellStyle name="Komma 4" xfId="22"/>
    <cellStyle name="Standaard 5" xfId="23"/>
    <cellStyle name="Hyperlink 3" xfId="24"/>
    <cellStyle name="Procent 3" xfId="25"/>
    <cellStyle name="Standaard 3 2" xfId="26"/>
    <cellStyle name="Komma 5" xfId="27"/>
  </cellStyles>
  <dxfs count="6"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b val="1"/>
        <color rgb="FFFF0000"/>
      </font>
    </dxf>
    <dxf>
      <font>
        <color rgb="FFFF0000"/>
      </font>
      <fill>
        <patternFill>
          <bgColor theme="9" tint="0.7999816888943144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externalLink" Target="/xl/externalLinks/externalLink1.xml" Id="rId28" /><Relationship Type="http://schemas.openxmlformats.org/officeDocument/2006/relationships/externalLink" Target="/xl/externalLinks/externalLink2.xml" Id="rId29" /><Relationship Type="http://schemas.openxmlformats.org/officeDocument/2006/relationships/externalLink" Target="/xl/externalLinks/externalLink3.xml" Id="rId30" /><Relationship Type="http://schemas.openxmlformats.org/officeDocument/2006/relationships/externalLink" Target="/xl/externalLinks/externalLink4.xml" Id="rId31" /><Relationship Type="http://schemas.openxmlformats.org/officeDocument/2006/relationships/externalLink" Target="/xl/externalLinks/externalLink5.xml" Id="rId32" /><Relationship Type="http://schemas.openxmlformats.org/officeDocument/2006/relationships/externalLink" Target="/xl/externalLinks/externalLink6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Omzet &amp; EBITDA evolutie</a:t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nl-BE"/>
        </a:p>
      </txPr>
    </title>
    <plotArea>
      <layout/>
      <barChart>
        <barDir val="col"/>
        <grouping val="clustered"/>
        <varyColors val="0"/>
        <ser>
          <idx val="3"/>
          <order val="0"/>
          <tx>
            <strRef>
              <f>'KPI grafiek'!$C$9</f>
              <strCache>
                <ptCount val="1"/>
                <pt idx="0">
                  <v>Niet-gekapitaliseerde EBITDA</v>
                </pt>
              </strCache>
            </strRef>
          </tx>
          <spPr>
            <a:solidFill>
              <a:srgbClr val="1E4B46"/>
            </a:solidFill>
            <a:ln>
              <a:noFill/>
              <a:prstDash val="solid"/>
            </a:ln>
          </spPr>
          <invertIfNegative val="0"/>
          <dPt>
            <idx val="0"/>
            <invertIfNegative val="0"/>
            <bubble3D val="0"/>
            <spPr>
              <a:solidFill>
                <a:srgbClr val="1E4B46"/>
              </a:solidFill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solidFill>
                <a:srgbClr val="1E4B46"/>
              </a:solidFill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solidFill>
                <a:srgbClr val="1E4B46"/>
              </a:solidFill>
              <a:ln>
                <a:noFill/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nl-B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'KPI grafiek'!$D$5:$J$5</f>
              <strCache>
                <ptCount val="7"/>
                <pt idx="0">
                  <v>FY21</v>
                </pt>
                <pt idx="1">
                  <v>FY22</v>
                </pt>
                <pt idx="2">
                  <v>FY23</v>
                </pt>
                <pt idx="3">
                  <v>FY24</v>
                </pt>
                <pt idx="4">
                  <v>FY25</v>
                </pt>
                <pt idx="5">
                  <v>FY26</v>
                </pt>
                <pt idx="6">
                  <v>FY27</v>
                </pt>
              </strCache>
            </strRef>
          </cat>
          <val>
            <numRef>
              <f>'KPI grafiek'!$D$9:$J$9</f>
              <numCache>
                <formatCode>#,##0</formatCode>
                <ptCount val="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761853455"/>
        <axId val="761850543"/>
      </barChart>
      <lineChart>
        <grouping val="standard"/>
        <varyColors val="0"/>
        <ser>
          <idx val="4"/>
          <order val="4"/>
          <tx>
            <strRef>
              <f>'KPI grafiek'!$C$6</f>
              <strCache>
                <ptCount val="1"/>
                <pt idx="0">
                  <v>Omzet</v>
                </pt>
              </strCache>
            </strRef>
          </tx>
          <spPr>
            <a:ln w="25400" cap="rnd">
              <a:solidFill>
                <a:srgbClr val="F08B38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dPt>
            <idx val="2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 w="25400" cap="rnd">
                <a:solidFill>
                  <a:srgbClr val="F08B38"/>
                </a:solidFill>
                <a:prstDash val="solid"/>
                <a:round/>
              </a:ln>
            </spPr>
          </dPt>
          <dPt>
            <idx val="3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 w="25400" cap="rnd">
                <a:solidFill>
                  <a:srgbClr val="F08B38"/>
                </a:solidFill>
                <a:prstDash val="dash"/>
                <a:round/>
              </a:ln>
            </spPr>
          </dPt>
          <dPt>
            <idx val="4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 w="25400" cap="rnd">
                <a:solidFill>
                  <a:srgbClr val="F08B38"/>
                </a:solidFill>
                <a:prstDash val="dash"/>
                <a:round/>
              </a:ln>
            </spPr>
          </dPt>
          <dPt>
            <idx val="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 w="25400" cap="rnd">
                <a:solidFill>
                  <a:srgbClr val="F08B38"/>
                </a:solidFill>
                <a:prstDash val="dash"/>
                <a:round/>
              </a:ln>
            </spPr>
          </dPt>
          <dPt>
            <idx val="6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 w="25400" cap="rnd">
                <a:solidFill>
                  <a:srgbClr val="F08B38"/>
                </a:solidFill>
                <a:prstDash val="dash"/>
                <a:round/>
              </a:ln>
            </spPr>
          </dPt>
          <dLbls>
            <dLbl>
              <idx val="5"/>
              <dLblPos val="r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nl-BE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'KPI grafiek'!$D$5:$J$5</f>
              <strCache>
                <ptCount val="7"/>
                <pt idx="0">
                  <v>FY21</v>
                </pt>
                <pt idx="1">
                  <v>FY22</v>
                </pt>
                <pt idx="2">
                  <v>FY23</v>
                </pt>
                <pt idx="3">
                  <v>FY24</v>
                </pt>
                <pt idx="4">
                  <v>FY25</v>
                </pt>
                <pt idx="5">
                  <v>FY26</v>
                </pt>
                <pt idx="6">
                  <v>FY27</v>
                </pt>
              </strCache>
            </strRef>
          </cat>
          <val>
            <numRef>
              <f>'KPI grafiek'!$D$6:$J$6</f>
              <numCache>
                <formatCode>#,##0</formatCode>
                <ptCount val="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761853455"/>
        <axId val="761850543"/>
      </lineChart>
      <catAx>
        <axId val="76185345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nl-BE"/>
          </a:p>
        </txPr>
        <crossAx val="761850543"/>
        <crosses val="autoZero"/>
        <auto val="1"/>
        <lblAlgn val="ctr"/>
        <lblOffset val="100"/>
        <noMultiLvlLbl val="0"/>
      </catAx>
      <valAx>
        <axId val="761850543"/>
        <scaling>
          <orientation val="minMax"/>
          <min val="-2500"/>
        </scaling>
        <delete val="0"/>
        <axPos val="l"/>
        <majorGridlines>
          <spPr>
            <a:ln w="9525" cap="flat" cmpd="sng" algn="ctr">
              <a:solidFill>
                <a:schemeClr val="bg1">
                  <a:lumMod val="95000"/>
                </a:schemeClr>
              </a:solidFill>
              <a:prstDash val="solid"/>
              <a:round/>
            </a:ln>
          </spPr>
        </majorGridlines>
        <numFmt formatCode="#,##0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nl-BE"/>
          </a:p>
        </txPr>
        <crossAx val="761853455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nl-BE"/>
        </a:p>
      </txPr>
    </legend>
    <plotVisOnly val="1"/>
    <dispBlanksAs val="gap"/>
  </chart>
  <spPr>
    <a:solidFill>
      <a:schemeClr val="bg1"/>
    </a:solidFill>
    <a:ln w="9525" cap="flat" cmpd="sng" algn="ctr">
      <a:noFill/>
      <a:prstDash val="solid"/>
      <a:round/>
    </a:ln>
  </spPr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Evolutie verkopen</a:t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nl-BE"/>
        </a:p>
      </txPr>
    </title>
    <plotArea>
      <layout/>
      <barChart>
        <barDir val="col"/>
        <grouping val="clustered"/>
        <varyColors val="0"/>
        <ser>
          <idx val="1"/>
          <order val="0"/>
          <tx>
            <strRef>
              <f>'Inkomsten - detail'!$C$22</f>
              <strCache>
                <ptCount val="1"/>
                <pt idx="0">
                  <v>Gecumuleerd # eenheden</v>
                </pt>
              </strCache>
            </strRef>
          </tx>
          <spPr>
            <a:solidFill>
              <a:srgbClr val="1E4B46"/>
            </a:solidFill>
            <a:ln>
              <a:noFill/>
              <a:prstDash val="solid"/>
            </a:ln>
          </spPr>
          <invertIfNegative val="0"/>
          <cat>
            <strRef>
              <f>'Inkomsten - detail'!$G$20:$BN$20</f>
              <strCache>
                <ptCount val="60"/>
                <pt idx="0">
                  <v>Jan'24</v>
                </pt>
                <pt idx="1">
                  <v>Feb'24</v>
                </pt>
                <pt idx="2">
                  <v>Mrt'24</v>
                </pt>
                <pt idx="3">
                  <v>Apr'24</v>
                </pt>
                <pt idx="4">
                  <v>Mei'24</v>
                </pt>
                <pt idx="5">
                  <v>Jun'24</v>
                </pt>
                <pt idx="6">
                  <v>Jul'24</v>
                </pt>
                <pt idx="7">
                  <v>Aug'24</v>
                </pt>
                <pt idx="8">
                  <v>Sep'24</v>
                </pt>
                <pt idx="9">
                  <v>Okt'24</v>
                </pt>
                <pt idx="10">
                  <v>Nov'24</v>
                </pt>
                <pt idx="11">
                  <v>Dec'24</v>
                </pt>
                <pt idx="12">
                  <v>Jan'25</v>
                </pt>
                <pt idx="13">
                  <v>Feb'25</v>
                </pt>
                <pt idx="14">
                  <v>Mrt'25</v>
                </pt>
                <pt idx="15">
                  <v>Apr'25</v>
                </pt>
                <pt idx="16">
                  <v>Mei'25</v>
                </pt>
                <pt idx="17">
                  <v>Jun'25</v>
                </pt>
                <pt idx="18">
                  <v>Jul'25</v>
                </pt>
                <pt idx="19">
                  <v>Aug'25</v>
                </pt>
                <pt idx="20">
                  <v>Sep'25</v>
                </pt>
                <pt idx="21">
                  <v>Okt'25</v>
                </pt>
                <pt idx="22">
                  <v>Nov'25</v>
                </pt>
                <pt idx="23">
                  <v>Dec'25</v>
                </pt>
                <pt idx="24">
                  <v>Jan'26</v>
                </pt>
                <pt idx="25">
                  <v>Feb'26</v>
                </pt>
                <pt idx="26">
                  <v>Mrt'26</v>
                </pt>
                <pt idx="27">
                  <v>Apr'26</v>
                </pt>
                <pt idx="28">
                  <v>Mei'26</v>
                </pt>
                <pt idx="29">
                  <v>Jun'26</v>
                </pt>
                <pt idx="30">
                  <v>Jul'26</v>
                </pt>
                <pt idx="31">
                  <v>Aug'26</v>
                </pt>
                <pt idx="32">
                  <v>Sep'26</v>
                </pt>
                <pt idx="33">
                  <v>Okt'26</v>
                </pt>
                <pt idx="34">
                  <v>Nov'26</v>
                </pt>
                <pt idx="35">
                  <v>Dec'26</v>
                </pt>
                <pt idx="36">
                  <v>Jan'27</v>
                </pt>
                <pt idx="37">
                  <v>Feb'27</v>
                </pt>
                <pt idx="38">
                  <v>Mrt'27</v>
                </pt>
                <pt idx="39">
                  <v>Apr'27</v>
                </pt>
                <pt idx="40">
                  <v>Mei'27</v>
                </pt>
                <pt idx="41">
                  <v>Jun'27</v>
                </pt>
                <pt idx="42">
                  <v>Jul'27</v>
                </pt>
                <pt idx="43">
                  <v>Aug'27</v>
                </pt>
                <pt idx="44">
                  <v>Sep'27</v>
                </pt>
                <pt idx="45">
                  <v>Okt'27</v>
                </pt>
                <pt idx="46">
                  <v>Nov'27</v>
                </pt>
                <pt idx="47">
                  <v>Dec'27</v>
                </pt>
                <pt idx="48">
                  <v>Jan'28</v>
                </pt>
                <pt idx="49">
                  <v>Feb'28</v>
                </pt>
                <pt idx="50">
                  <v>Mrt'28</v>
                </pt>
                <pt idx="51">
                  <v>Apr'28</v>
                </pt>
                <pt idx="52">
                  <v>Mei'28</v>
                </pt>
                <pt idx="53">
                  <v>Jun'28</v>
                </pt>
                <pt idx="54">
                  <v>Jul'28</v>
                </pt>
                <pt idx="55">
                  <v>Aug'28</v>
                </pt>
                <pt idx="56">
                  <v>Sep'28</v>
                </pt>
                <pt idx="57">
                  <v>Okt'28</v>
                </pt>
                <pt idx="58">
                  <v>Nov'28</v>
                </pt>
                <pt idx="59">
                  <v>Dec'28</v>
                </pt>
              </strCache>
            </strRef>
          </cat>
          <val>
            <numRef>
              <f>'Inkomsten - detail'!$G$22:$BN$22</f>
              <numCache>
                <formatCode>#,##0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axId val="1342694591"/>
        <axId val="1342699871"/>
      </barChart>
      <lineChart>
        <grouping val="standard"/>
        <varyColors val="0"/>
        <ser>
          <idx val="2"/>
          <order val="2"/>
          <tx>
            <strRef>
              <f>'Inkomsten - detail'!$C$21</f>
              <strCache>
                <ptCount val="1"/>
                <pt idx="0">
                  <v># eenheden</v>
                </pt>
              </strCache>
            </strRef>
          </tx>
          <spPr>
            <a:ln w="28575" cap="rnd">
              <a:solidFill>
                <a:srgbClr val="F08B38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'Inkomsten - detail'!$G$20:$BN$20</f>
              <strCache>
                <ptCount val="60"/>
                <pt idx="0">
                  <v>Jan'24</v>
                </pt>
                <pt idx="1">
                  <v>Feb'24</v>
                </pt>
                <pt idx="2">
                  <v>Mrt'24</v>
                </pt>
                <pt idx="3">
                  <v>Apr'24</v>
                </pt>
                <pt idx="4">
                  <v>Mei'24</v>
                </pt>
                <pt idx="5">
                  <v>Jun'24</v>
                </pt>
                <pt idx="6">
                  <v>Jul'24</v>
                </pt>
                <pt idx="7">
                  <v>Aug'24</v>
                </pt>
                <pt idx="8">
                  <v>Sep'24</v>
                </pt>
                <pt idx="9">
                  <v>Okt'24</v>
                </pt>
                <pt idx="10">
                  <v>Nov'24</v>
                </pt>
                <pt idx="11">
                  <v>Dec'24</v>
                </pt>
                <pt idx="12">
                  <v>Jan'25</v>
                </pt>
                <pt idx="13">
                  <v>Feb'25</v>
                </pt>
                <pt idx="14">
                  <v>Mrt'25</v>
                </pt>
                <pt idx="15">
                  <v>Apr'25</v>
                </pt>
                <pt idx="16">
                  <v>Mei'25</v>
                </pt>
                <pt idx="17">
                  <v>Jun'25</v>
                </pt>
                <pt idx="18">
                  <v>Jul'25</v>
                </pt>
                <pt idx="19">
                  <v>Aug'25</v>
                </pt>
                <pt idx="20">
                  <v>Sep'25</v>
                </pt>
                <pt idx="21">
                  <v>Okt'25</v>
                </pt>
                <pt idx="22">
                  <v>Nov'25</v>
                </pt>
                <pt idx="23">
                  <v>Dec'25</v>
                </pt>
                <pt idx="24">
                  <v>Jan'26</v>
                </pt>
                <pt idx="25">
                  <v>Feb'26</v>
                </pt>
                <pt idx="26">
                  <v>Mrt'26</v>
                </pt>
                <pt idx="27">
                  <v>Apr'26</v>
                </pt>
                <pt idx="28">
                  <v>Mei'26</v>
                </pt>
                <pt idx="29">
                  <v>Jun'26</v>
                </pt>
                <pt idx="30">
                  <v>Jul'26</v>
                </pt>
                <pt idx="31">
                  <v>Aug'26</v>
                </pt>
                <pt idx="32">
                  <v>Sep'26</v>
                </pt>
                <pt idx="33">
                  <v>Okt'26</v>
                </pt>
                <pt idx="34">
                  <v>Nov'26</v>
                </pt>
                <pt idx="35">
                  <v>Dec'26</v>
                </pt>
                <pt idx="36">
                  <v>Jan'27</v>
                </pt>
                <pt idx="37">
                  <v>Feb'27</v>
                </pt>
                <pt idx="38">
                  <v>Mrt'27</v>
                </pt>
                <pt idx="39">
                  <v>Apr'27</v>
                </pt>
                <pt idx="40">
                  <v>Mei'27</v>
                </pt>
                <pt idx="41">
                  <v>Jun'27</v>
                </pt>
                <pt idx="42">
                  <v>Jul'27</v>
                </pt>
                <pt idx="43">
                  <v>Aug'27</v>
                </pt>
                <pt idx="44">
                  <v>Sep'27</v>
                </pt>
                <pt idx="45">
                  <v>Okt'27</v>
                </pt>
                <pt idx="46">
                  <v>Nov'27</v>
                </pt>
                <pt idx="47">
                  <v>Dec'27</v>
                </pt>
                <pt idx="48">
                  <v>Jan'28</v>
                </pt>
                <pt idx="49">
                  <v>Feb'28</v>
                </pt>
                <pt idx="50">
                  <v>Mrt'28</v>
                </pt>
                <pt idx="51">
                  <v>Apr'28</v>
                </pt>
                <pt idx="52">
                  <v>Mei'28</v>
                </pt>
                <pt idx="53">
                  <v>Jun'28</v>
                </pt>
                <pt idx="54">
                  <v>Jul'28</v>
                </pt>
                <pt idx="55">
                  <v>Aug'28</v>
                </pt>
                <pt idx="56">
                  <v>Sep'28</v>
                </pt>
                <pt idx="57">
                  <v>Okt'28</v>
                </pt>
                <pt idx="58">
                  <v>Nov'28</v>
                </pt>
                <pt idx="59">
                  <v>Dec'28</v>
                </pt>
              </strCache>
            </strRef>
          </cat>
          <val>
            <numRef>
              <f>'Inkomsten - detail'!$G$21:$BN$21</f>
              <numCache>
                <formatCode>#,##0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2037093967"/>
        <axId val="2037095887"/>
      </lineChart>
      <catAx>
        <axId val="1342694591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1342699871"/>
        <crosses val="autoZero"/>
        <auto val="1"/>
        <lblAlgn val="ctr"/>
        <lblOffset val="100"/>
        <noMultiLvlLbl val="0"/>
      </catAx>
      <valAx>
        <axId val="1342699871"/>
        <scaling>
          <orientation val="minMax"/>
        </scaling>
        <delete val="0"/>
        <axPos val="r"/>
        <title>
          <tx>
            <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Gecumuleerd # eenheden (kolom)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632403465925327"/>
              <y val="0.07138376108856556"/>
            </manualLayout>
          </layout>
          <overlay val="0"/>
          <spPr>
            <a:noFill/>
            <a:ln>
              <a:noFill/>
              <a:prstDash val="solid"/>
            </a:ln>
          </spPr>
          <txPr>
            <a:bodyPr rot="-5400000" spcFirstLastPara="1" vertOverflow="ellipsis" vert="horz" wrap="square" anchor="ctr" anchorCtr="1"/>
            <a:lstStyle/>
            <a:p>
              <a:pPr>
                <a:defRPr sz="10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nl-BE"/>
            </a:p>
          </txPr>
        </title>
        <numFmt formatCode="#,##0" sourceLinked="1"/>
        <majorTickMark val="out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nl-BE"/>
          </a:p>
        </txPr>
        <crossAx val="1342694591"/>
        <crosses val="max"/>
        <crossBetween val="between"/>
      </valAx>
      <catAx>
        <axId val="203709396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nl-BE"/>
          </a:p>
        </txPr>
        <crossAx val="2037095887"/>
        <crosses val="autoZero"/>
        <auto val="1"/>
        <lblAlgn val="ctr"/>
        <lblOffset val="100"/>
        <noMultiLvlLbl val="0"/>
      </catAx>
      <valAx>
        <axId val="2037095887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bg1">
                  <a:lumMod val="95000"/>
                </a:schemeClr>
              </a:solidFill>
              <a:prstDash val="solid"/>
              <a:round/>
            </a:ln>
          </spPr>
        </majorGridlines>
        <title>
          <tx>
            <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Maandverkoop</a:t>
                </a:r>
                <a:r>
                  <a:rPr lang="nl-BE" baseline="0"/>
                  <a:t xml:space="preserve"> (lijn)</a:t>
                </a:r>
                <a:endParaRPr lang="nl-BE"/>
              </a:p>
            </rich>
          </tx>
          <overlay val="0"/>
          <spPr>
            <a:noFill/>
            <a:ln>
              <a:noFill/>
              <a:prstDash val="solid"/>
            </a:ln>
          </spPr>
          <txPr>
            <a:bodyPr rot="-5400000" spcFirstLastPara="1" vertOverflow="ellipsis" vert="horz" wrap="square" anchor="ctr" anchorCtr="1"/>
            <a:lstStyle/>
            <a:p>
              <a:pPr>
                <a:defRPr sz="10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nl-BE"/>
            </a:p>
          </txPr>
        </title>
        <numFmt formatCode="#,##0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nl-BE"/>
          </a:p>
        </txPr>
        <crossAx val="2037093967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nl-BE"/>
        </a:p>
      </txPr>
    </legend>
    <plotVisOnly val="1"/>
    <dispBlanksAs val="gap"/>
  </chart>
  <spPr>
    <a:solidFill>
      <a:schemeClr val="bg1"/>
    </a:solidFill>
    <a:ln w="9525" cap="flat" cmpd="sng" algn="ctr">
      <a:noFill/>
      <a:prstDash val="solid"/>
      <a:round/>
    </a:ln>
  </spPr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Evolutie #</a:t>
            </a:r>
            <a:r>
              <a:rPr lang="nl-BE" baseline="0"/>
              <a:t xml:space="preserve"> FTE's</a:t>
            </a:r>
            <a:endParaRPr lang="nl-BE"/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nl-BE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02246384947500266"/>
          <y val="0.1657250550498582"/>
          <w val="0.9648049103764437"/>
          <h val="0.595284184212368"/>
        </manualLayout>
      </layout>
      <barChart>
        <barDir val="col"/>
        <grouping val="stacked"/>
        <varyColors val="0"/>
        <ser>
          <idx val="0"/>
          <order val="0"/>
          <tx>
            <strRef>
              <f>'Bezoldigingen - detail'!$C$5</f>
              <strCache>
                <ptCount val="1"/>
                <pt idx="0">
                  <v>Management</v>
                </pt>
              </strCache>
            </strRef>
          </tx>
          <spPr>
            <a:solidFill>
              <a:srgbClr val="1E4B46"/>
            </a:solidFill>
            <a:ln>
              <a:noFill/>
              <a:prstDash val="solid"/>
            </a:ln>
          </spPr>
          <invertIfNegative val="0"/>
          <cat>
            <strRef>
              <f>'Bezoldigingen - detail'!$G$4:$BN$4</f>
              <strCache>
                <ptCount val="60"/>
                <pt idx="0">
                  <v>Jan'24</v>
                </pt>
                <pt idx="1">
                  <v>Feb'24</v>
                </pt>
                <pt idx="2">
                  <v>Mrt'24</v>
                </pt>
                <pt idx="3">
                  <v>Apr'24</v>
                </pt>
                <pt idx="4">
                  <v>Mei'24</v>
                </pt>
                <pt idx="5">
                  <v>Jun'24</v>
                </pt>
                <pt idx="6">
                  <v>Jul'24</v>
                </pt>
                <pt idx="7">
                  <v>Aug'24</v>
                </pt>
                <pt idx="8">
                  <v>Sep'24</v>
                </pt>
                <pt idx="9">
                  <v>Okt'24</v>
                </pt>
                <pt idx="10">
                  <v>Nov'24</v>
                </pt>
                <pt idx="11">
                  <v>Dec'24</v>
                </pt>
                <pt idx="12">
                  <v>Jan'25</v>
                </pt>
                <pt idx="13">
                  <v>Feb'25</v>
                </pt>
                <pt idx="14">
                  <v>Mrt'25</v>
                </pt>
                <pt idx="15">
                  <v>Apr'25</v>
                </pt>
                <pt idx="16">
                  <v>Mei'25</v>
                </pt>
                <pt idx="17">
                  <v>Jun'25</v>
                </pt>
                <pt idx="18">
                  <v>Jul'25</v>
                </pt>
                <pt idx="19">
                  <v>Aug'25</v>
                </pt>
                <pt idx="20">
                  <v>Sep'25</v>
                </pt>
                <pt idx="21">
                  <v>Okt'25</v>
                </pt>
                <pt idx="22">
                  <v>Nov'25</v>
                </pt>
                <pt idx="23">
                  <v>Dec'25</v>
                </pt>
                <pt idx="24">
                  <v>Jan'26</v>
                </pt>
                <pt idx="25">
                  <v>Feb'26</v>
                </pt>
                <pt idx="26">
                  <v>Mrt'26</v>
                </pt>
                <pt idx="27">
                  <v>Apr'26</v>
                </pt>
                <pt idx="28">
                  <v>Mei'26</v>
                </pt>
                <pt idx="29">
                  <v>Jun'26</v>
                </pt>
                <pt idx="30">
                  <v>Jul'26</v>
                </pt>
                <pt idx="31">
                  <v>Aug'26</v>
                </pt>
                <pt idx="32">
                  <v>Sep'26</v>
                </pt>
                <pt idx="33">
                  <v>Okt'26</v>
                </pt>
                <pt idx="34">
                  <v>Nov'26</v>
                </pt>
                <pt idx="35">
                  <v>Dec'26</v>
                </pt>
                <pt idx="36">
                  <v>Jan'27</v>
                </pt>
                <pt idx="37">
                  <v>Feb'27</v>
                </pt>
                <pt idx="38">
                  <v>Mrt'27</v>
                </pt>
                <pt idx="39">
                  <v>Apr'27</v>
                </pt>
                <pt idx="40">
                  <v>Mei'27</v>
                </pt>
                <pt idx="41">
                  <v>Jun'27</v>
                </pt>
                <pt idx="42">
                  <v>Jul'27</v>
                </pt>
                <pt idx="43">
                  <v>Aug'27</v>
                </pt>
                <pt idx="44">
                  <v>Sep'27</v>
                </pt>
                <pt idx="45">
                  <v>Okt'27</v>
                </pt>
                <pt idx="46">
                  <v>Nov'27</v>
                </pt>
                <pt idx="47">
                  <v>Dec'27</v>
                </pt>
                <pt idx="48">
                  <v>Jan'28</v>
                </pt>
                <pt idx="49">
                  <v>Feb'28</v>
                </pt>
                <pt idx="50">
                  <v>Mrt'28</v>
                </pt>
                <pt idx="51">
                  <v>Apr'28</v>
                </pt>
                <pt idx="52">
                  <v>Mei'28</v>
                </pt>
                <pt idx="53">
                  <v>Jun'28</v>
                </pt>
                <pt idx="54">
                  <v>Jul'28</v>
                </pt>
                <pt idx="55">
                  <v>Aug'28</v>
                </pt>
                <pt idx="56">
                  <v>Sep'28</v>
                </pt>
                <pt idx="57">
                  <v>Okt'28</v>
                </pt>
                <pt idx="58">
                  <v>Nov'28</v>
                </pt>
                <pt idx="59">
                  <v>Dec'28</v>
                </pt>
              </strCache>
            </strRef>
          </cat>
          <val>
            <numRef>
              <f>'Bezoldigingen - detail'!$G$5:$BN$5</f>
              <numCache>
                <formatCode>0</formatCode>
                <ptCount val="60"/>
              </numCache>
            </numRef>
          </val>
        </ser>
        <ser>
          <idx val="1"/>
          <order val="1"/>
          <tx>
            <strRef>
              <f>'Bezoldigingen - detail'!$C$6</f>
              <strCache>
                <ptCount val="1"/>
                <pt idx="0">
                  <v>Sales</v>
                </pt>
              </strCache>
            </strRef>
          </tx>
          <spPr>
            <a:solidFill>
              <a:srgbClr val="F08B38"/>
            </a:solidFill>
            <a:ln>
              <a:noFill/>
              <a:prstDash val="solid"/>
            </a:ln>
          </spPr>
          <invertIfNegative val="0"/>
          <cat>
            <strRef>
              <f>'Bezoldigingen - detail'!$G$4:$BN$4</f>
              <strCache>
                <ptCount val="60"/>
                <pt idx="0">
                  <v>Jan'24</v>
                </pt>
                <pt idx="1">
                  <v>Feb'24</v>
                </pt>
                <pt idx="2">
                  <v>Mrt'24</v>
                </pt>
                <pt idx="3">
                  <v>Apr'24</v>
                </pt>
                <pt idx="4">
                  <v>Mei'24</v>
                </pt>
                <pt idx="5">
                  <v>Jun'24</v>
                </pt>
                <pt idx="6">
                  <v>Jul'24</v>
                </pt>
                <pt idx="7">
                  <v>Aug'24</v>
                </pt>
                <pt idx="8">
                  <v>Sep'24</v>
                </pt>
                <pt idx="9">
                  <v>Okt'24</v>
                </pt>
                <pt idx="10">
                  <v>Nov'24</v>
                </pt>
                <pt idx="11">
                  <v>Dec'24</v>
                </pt>
                <pt idx="12">
                  <v>Jan'25</v>
                </pt>
                <pt idx="13">
                  <v>Feb'25</v>
                </pt>
                <pt idx="14">
                  <v>Mrt'25</v>
                </pt>
                <pt idx="15">
                  <v>Apr'25</v>
                </pt>
                <pt idx="16">
                  <v>Mei'25</v>
                </pt>
                <pt idx="17">
                  <v>Jun'25</v>
                </pt>
                <pt idx="18">
                  <v>Jul'25</v>
                </pt>
                <pt idx="19">
                  <v>Aug'25</v>
                </pt>
                <pt idx="20">
                  <v>Sep'25</v>
                </pt>
                <pt idx="21">
                  <v>Okt'25</v>
                </pt>
                <pt idx="22">
                  <v>Nov'25</v>
                </pt>
                <pt idx="23">
                  <v>Dec'25</v>
                </pt>
                <pt idx="24">
                  <v>Jan'26</v>
                </pt>
                <pt idx="25">
                  <v>Feb'26</v>
                </pt>
                <pt idx="26">
                  <v>Mrt'26</v>
                </pt>
                <pt idx="27">
                  <v>Apr'26</v>
                </pt>
                <pt idx="28">
                  <v>Mei'26</v>
                </pt>
                <pt idx="29">
                  <v>Jun'26</v>
                </pt>
                <pt idx="30">
                  <v>Jul'26</v>
                </pt>
                <pt idx="31">
                  <v>Aug'26</v>
                </pt>
                <pt idx="32">
                  <v>Sep'26</v>
                </pt>
                <pt idx="33">
                  <v>Okt'26</v>
                </pt>
                <pt idx="34">
                  <v>Nov'26</v>
                </pt>
                <pt idx="35">
                  <v>Dec'26</v>
                </pt>
                <pt idx="36">
                  <v>Jan'27</v>
                </pt>
                <pt idx="37">
                  <v>Feb'27</v>
                </pt>
                <pt idx="38">
                  <v>Mrt'27</v>
                </pt>
                <pt idx="39">
                  <v>Apr'27</v>
                </pt>
                <pt idx="40">
                  <v>Mei'27</v>
                </pt>
                <pt idx="41">
                  <v>Jun'27</v>
                </pt>
                <pt idx="42">
                  <v>Jul'27</v>
                </pt>
                <pt idx="43">
                  <v>Aug'27</v>
                </pt>
                <pt idx="44">
                  <v>Sep'27</v>
                </pt>
                <pt idx="45">
                  <v>Okt'27</v>
                </pt>
                <pt idx="46">
                  <v>Nov'27</v>
                </pt>
                <pt idx="47">
                  <v>Dec'27</v>
                </pt>
                <pt idx="48">
                  <v>Jan'28</v>
                </pt>
                <pt idx="49">
                  <v>Feb'28</v>
                </pt>
                <pt idx="50">
                  <v>Mrt'28</v>
                </pt>
                <pt idx="51">
                  <v>Apr'28</v>
                </pt>
                <pt idx="52">
                  <v>Mei'28</v>
                </pt>
                <pt idx="53">
                  <v>Jun'28</v>
                </pt>
                <pt idx="54">
                  <v>Jul'28</v>
                </pt>
                <pt idx="55">
                  <v>Aug'28</v>
                </pt>
                <pt idx="56">
                  <v>Sep'28</v>
                </pt>
                <pt idx="57">
                  <v>Okt'28</v>
                </pt>
                <pt idx="58">
                  <v>Nov'28</v>
                </pt>
                <pt idx="59">
                  <v>Dec'28</v>
                </pt>
              </strCache>
            </strRef>
          </cat>
          <val>
            <numRef>
              <f>'Bezoldigingen - detail'!$G$6:$BN$6</f>
              <numCache>
                <formatCode>0</formatCode>
                <ptCount val="60"/>
              </numCache>
            </numRef>
          </val>
        </ser>
        <ser>
          <idx val="2"/>
          <order val="2"/>
          <tx>
            <strRef>
              <f>'Bezoldigingen - detail'!$C$7</f>
              <strCache>
                <ptCount val="1"/>
                <pt idx="0">
                  <v>R&amp;D</v>
                </pt>
              </strCache>
            </strRef>
          </tx>
          <spPr>
            <a:solidFill>
              <a:srgbClr val="ABE1FA"/>
            </a:solidFill>
            <a:ln>
              <a:noFill/>
              <a:prstDash val="solid"/>
            </a:ln>
          </spPr>
          <invertIfNegative val="0"/>
          <cat>
            <strRef>
              <f>'Bezoldigingen - detail'!$G$4:$BN$4</f>
              <strCache>
                <ptCount val="60"/>
                <pt idx="0">
                  <v>Jan'24</v>
                </pt>
                <pt idx="1">
                  <v>Feb'24</v>
                </pt>
                <pt idx="2">
                  <v>Mrt'24</v>
                </pt>
                <pt idx="3">
                  <v>Apr'24</v>
                </pt>
                <pt idx="4">
                  <v>Mei'24</v>
                </pt>
                <pt idx="5">
                  <v>Jun'24</v>
                </pt>
                <pt idx="6">
                  <v>Jul'24</v>
                </pt>
                <pt idx="7">
                  <v>Aug'24</v>
                </pt>
                <pt idx="8">
                  <v>Sep'24</v>
                </pt>
                <pt idx="9">
                  <v>Okt'24</v>
                </pt>
                <pt idx="10">
                  <v>Nov'24</v>
                </pt>
                <pt idx="11">
                  <v>Dec'24</v>
                </pt>
                <pt idx="12">
                  <v>Jan'25</v>
                </pt>
                <pt idx="13">
                  <v>Feb'25</v>
                </pt>
                <pt idx="14">
                  <v>Mrt'25</v>
                </pt>
                <pt idx="15">
                  <v>Apr'25</v>
                </pt>
                <pt idx="16">
                  <v>Mei'25</v>
                </pt>
                <pt idx="17">
                  <v>Jun'25</v>
                </pt>
                <pt idx="18">
                  <v>Jul'25</v>
                </pt>
                <pt idx="19">
                  <v>Aug'25</v>
                </pt>
                <pt idx="20">
                  <v>Sep'25</v>
                </pt>
                <pt idx="21">
                  <v>Okt'25</v>
                </pt>
                <pt idx="22">
                  <v>Nov'25</v>
                </pt>
                <pt idx="23">
                  <v>Dec'25</v>
                </pt>
                <pt idx="24">
                  <v>Jan'26</v>
                </pt>
                <pt idx="25">
                  <v>Feb'26</v>
                </pt>
                <pt idx="26">
                  <v>Mrt'26</v>
                </pt>
                <pt idx="27">
                  <v>Apr'26</v>
                </pt>
                <pt idx="28">
                  <v>Mei'26</v>
                </pt>
                <pt idx="29">
                  <v>Jun'26</v>
                </pt>
                <pt idx="30">
                  <v>Jul'26</v>
                </pt>
                <pt idx="31">
                  <v>Aug'26</v>
                </pt>
                <pt idx="32">
                  <v>Sep'26</v>
                </pt>
                <pt idx="33">
                  <v>Okt'26</v>
                </pt>
                <pt idx="34">
                  <v>Nov'26</v>
                </pt>
                <pt idx="35">
                  <v>Dec'26</v>
                </pt>
                <pt idx="36">
                  <v>Jan'27</v>
                </pt>
                <pt idx="37">
                  <v>Feb'27</v>
                </pt>
                <pt idx="38">
                  <v>Mrt'27</v>
                </pt>
                <pt idx="39">
                  <v>Apr'27</v>
                </pt>
                <pt idx="40">
                  <v>Mei'27</v>
                </pt>
                <pt idx="41">
                  <v>Jun'27</v>
                </pt>
                <pt idx="42">
                  <v>Jul'27</v>
                </pt>
                <pt idx="43">
                  <v>Aug'27</v>
                </pt>
                <pt idx="44">
                  <v>Sep'27</v>
                </pt>
                <pt idx="45">
                  <v>Okt'27</v>
                </pt>
                <pt idx="46">
                  <v>Nov'27</v>
                </pt>
                <pt idx="47">
                  <v>Dec'27</v>
                </pt>
                <pt idx="48">
                  <v>Jan'28</v>
                </pt>
                <pt idx="49">
                  <v>Feb'28</v>
                </pt>
                <pt idx="50">
                  <v>Mrt'28</v>
                </pt>
                <pt idx="51">
                  <v>Apr'28</v>
                </pt>
                <pt idx="52">
                  <v>Mei'28</v>
                </pt>
                <pt idx="53">
                  <v>Jun'28</v>
                </pt>
                <pt idx="54">
                  <v>Jul'28</v>
                </pt>
                <pt idx="55">
                  <v>Aug'28</v>
                </pt>
                <pt idx="56">
                  <v>Sep'28</v>
                </pt>
                <pt idx="57">
                  <v>Okt'28</v>
                </pt>
                <pt idx="58">
                  <v>Nov'28</v>
                </pt>
                <pt idx="59">
                  <v>Dec'28</v>
                </pt>
              </strCache>
            </strRef>
          </cat>
          <val>
            <numRef>
              <f>'Bezoldigingen - detail'!$G$7:$BN$7</f>
              <numCache>
                <formatCode>0</formatCode>
                <ptCount val="60"/>
              </numCache>
            </numRef>
          </val>
        </ser>
        <ser>
          <idx val="3"/>
          <order val="3"/>
          <tx>
            <strRef>
              <f>'Bezoldigingen - detail'!$C$8</f>
              <strCache>
                <ptCount val="1"/>
                <pt idx="0">
                  <v>Finance</v>
                </pt>
              </strCache>
            </strRef>
          </tx>
          <spPr>
            <a:solidFill>
              <a:srgbClr val="00AC8C"/>
            </a:solidFill>
            <a:ln>
              <a:noFill/>
              <a:prstDash val="solid"/>
            </a:ln>
          </spPr>
          <invertIfNegative val="0"/>
          <cat>
            <strRef>
              <f>'Bezoldigingen - detail'!$G$4:$BN$4</f>
              <strCache>
                <ptCount val="60"/>
                <pt idx="0">
                  <v>Jan'24</v>
                </pt>
                <pt idx="1">
                  <v>Feb'24</v>
                </pt>
                <pt idx="2">
                  <v>Mrt'24</v>
                </pt>
                <pt idx="3">
                  <v>Apr'24</v>
                </pt>
                <pt idx="4">
                  <v>Mei'24</v>
                </pt>
                <pt idx="5">
                  <v>Jun'24</v>
                </pt>
                <pt idx="6">
                  <v>Jul'24</v>
                </pt>
                <pt idx="7">
                  <v>Aug'24</v>
                </pt>
                <pt idx="8">
                  <v>Sep'24</v>
                </pt>
                <pt idx="9">
                  <v>Okt'24</v>
                </pt>
                <pt idx="10">
                  <v>Nov'24</v>
                </pt>
                <pt idx="11">
                  <v>Dec'24</v>
                </pt>
                <pt idx="12">
                  <v>Jan'25</v>
                </pt>
                <pt idx="13">
                  <v>Feb'25</v>
                </pt>
                <pt idx="14">
                  <v>Mrt'25</v>
                </pt>
                <pt idx="15">
                  <v>Apr'25</v>
                </pt>
                <pt idx="16">
                  <v>Mei'25</v>
                </pt>
                <pt idx="17">
                  <v>Jun'25</v>
                </pt>
                <pt idx="18">
                  <v>Jul'25</v>
                </pt>
                <pt idx="19">
                  <v>Aug'25</v>
                </pt>
                <pt idx="20">
                  <v>Sep'25</v>
                </pt>
                <pt idx="21">
                  <v>Okt'25</v>
                </pt>
                <pt idx="22">
                  <v>Nov'25</v>
                </pt>
                <pt idx="23">
                  <v>Dec'25</v>
                </pt>
                <pt idx="24">
                  <v>Jan'26</v>
                </pt>
                <pt idx="25">
                  <v>Feb'26</v>
                </pt>
                <pt idx="26">
                  <v>Mrt'26</v>
                </pt>
                <pt idx="27">
                  <v>Apr'26</v>
                </pt>
                <pt idx="28">
                  <v>Mei'26</v>
                </pt>
                <pt idx="29">
                  <v>Jun'26</v>
                </pt>
                <pt idx="30">
                  <v>Jul'26</v>
                </pt>
                <pt idx="31">
                  <v>Aug'26</v>
                </pt>
                <pt idx="32">
                  <v>Sep'26</v>
                </pt>
                <pt idx="33">
                  <v>Okt'26</v>
                </pt>
                <pt idx="34">
                  <v>Nov'26</v>
                </pt>
                <pt idx="35">
                  <v>Dec'26</v>
                </pt>
                <pt idx="36">
                  <v>Jan'27</v>
                </pt>
                <pt idx="37">
                  <v>Feb'27</v>
                </pt>
                <pt idx="38">
                  <v>Mrt'27</v>
                </pt>
                <pt idx="39">
                  <v>Apr'27</v>
                </pt>
                <pt idx="40">
                  <v>Mei'27</v>
                </pt>
                <pt idx="41">
                  <v>Jun'27</v>
                </pt>
                <pt idx="42">
                  <v>Jul'27</v>
                </pt>
                <pt idx="43">
                  <v>Aug'27</v>
                </pt>
                <pt idx="44">
                  <v>Sep'27</v>
                </pt>
                <pt idx="45">
                  <v>Okt'27</v>
                </pt>
                <pt idx="46">
                  <v>Nov'27</v>
                </pt>
                <pt idx="47">
                  <v>Dec'27</v>
                </pt>
                <pt idx="48">
                  <v>Jan'28</v>
                </pt>
                <pt idx="49">
                  <v>Feb'28</v>
                </pt>
                <pt idx="50">
                  <v>Mrt'28</v>
                </pt>
                <pt idx="51">
                  <v>Apr'28</v>
                </pt>
                <pt idx="52">
                  <v>Mei'28</v>
                </pt>
                <pt idx="53">
                  <v>Jun'28</v>
                </pt>
                <pt idx="54">
                  <v>Jul'28</v>
                </pt>
                <pt idx="55">
                  <v>Aug'28</v>
                </pt>
                <pt idx="56">
                  <v>Sep'28</v>
                </pt>
                <pt idx="57">
                  <v>Okt'28</v>
                </pt>
                <pt idx="58">
                  <v>Nov'28</v>
                </pt>
                <pt idx="59">
                  <v>Dec'28</v>
                </pt>
              </strCache>
            </strRef>
          </cat>
          <val>
            <numRef>
              <f>'Bezoldigingen - detail'!$G$8:$BN$8</f>
              <numCache>
                <formatCode>0</formatCode>
                <ptCount val="60"/>
              </numCache>
            </numRef>
          </val>
        </ser>
        <ser>
          <idx val="4"/>
          <order val="4"/>
          <tx>
            <strRef>
              <f>'Bezoldigingen - detail'!$C$9</f>
              <strCache>
                <ptCount val="1"/>
                <pt idx="0">
                  <v>Admin</v>
                </pt>
              </strCache>
            </strRef>
          </tx>
          <spPr>
            <a:solidFill>
              <a:srgbClr val="F9D2B1"/>
            </a:solidFill>
            <a:ln>
              <a:noFill/>
              <a:prstDash val="solid"/>
            </a:ln>
          </spPr>
          <invertIfNegative val="0"/>
          <cat>
            <strRef>
              <f>'Bezoldigingen - detail'!$G$4:$BN$4</f>
              <strCache>
                <ptCount val="60"/>
                <pt idx="0">
                  <v>Jan'24</v>
                </pt>
                <pt idx="1">
                  <v>Feb'24</v>
                </pt>
                <pt idx="2">
                  <v>Mrt'24</v>
                </pt>
                <pt idx="3">
                  <v>Apr'24</v>
                </pt>
                <pt idx="4">
                  <v>Mei'24</v>
                </pt>
                <pt idx="5">
                  <v>Jun'24</v>
                </pt>
                <pt idx="6">
                  <v>Jul'24</v>
                </pt>
                <pt idx="7">
                  <v>Aug'24</v>
                </pt>
                <pt idx="8">
                  <v>Sep'24</v>
                </pt>
                <pt idx="9">
                  <v>Okt'24</v>
                </pt>
                <pt idx="10">
                  <v>Nov'24</v>
                </pt>
                <pt idx="11">
                  <v>Dec'24</v>
                </pt>
                <pt idx="12">
                  <v>Jan'25</v>
                </pt>
                <pt idx="13">
                  <v>Feb'25</v>
                </pt>
                <pt idx="14">
                  <v>Mrt'25</v>
                </pt>
                <pt idx="15">
                  <v>Apr'25</v>
                </pt>
                <pt idx="16">
                  <v>Mei'25</v>
                </pt>
                <pt idx="17">
                  <v>Jun'25</v>
                </pt>
                <pt idx="18">
                  <v>Jul'25</v>
                </pt>
                <pt idx="19">
                  <v>Aug'25</v>
                </pt>
                <pt idx="20">
                  <v>Sep'25</v>
                </pt>
                <pt idx="21">
                  <v>Okt'25</v>
                </pt>
                <pt idx="22">
                  <v>Nov'25</v>
                </pt>
                <pt idx="23">
                  <v>Dec'25</v>
                </pt>
                <pt idx="24">
                  <v>Jan'26</v>
                </pt>
                <pt idx="25">
                  <v>Feb'26</v>
                </pt>
                <pt idx="26">
                  <v>Mrt'26</v>
                </pt>
                <pt idx="27">
                  <v>Apr'26</v>
                </pt>
                <pt idx="28">
                  <v>Mei'26</v>
                </pt>
                <pt idx="29">
                  <v>Jun'26</v>
                </pt>
                <pt idx="30">
                  <v>Jul'26</v>
                </pt>
                <pt idx="31">
                  <v>Aug'26</v>
                </pt>
                <pt idx="32">
                  <v>Sep'26</v>
                </pt>
                <pt idx="33">
                  <v>Okt'26</v>
                </pt>
                <pt idx="34">
                  <v>Nov'26</v>
                </pt>
                <pt idx="35">
                  <v>Dec'26</v>
                </pt>
                <pt idx="36">
                  <v>Jan'27</v>
                </pt>
                <pt idx="37">
                  <v>Feb'27</v>
                </pt>
                <pt idx="38">
                  <v>Mrt'27</v>
                </pt>
                <pt idx="39">
                  <v>Apr'27</v>
                </pt>
                <pt idx="40">
                  <v>Mei'27</v>
                </pt>
                <pt idx="41">
                  <v>Jun'27</v>
                </pt>
                <pt idx="42">
                  <v>Jul'27</v>
                </pt>
                <pt idx="43">
                  <v>Aug'27</v>
                </pt>
                <pt idx="44">
                  <v>Sep'27</v>
                </pt>
                <pt idx="45">
                  <v>Okt'27</v>
                </pt>
                <pt idx="46">
                  <v>Nov'27</v>
                </pt>
                <pt idx="47">
                  <v>Dec'27</v>
                </pt>
                <pt idx="48">
                  <v>Jan'28</v>
                </pt>
                <pt idx="49">
                  <v>Feb'28</v>
                </pt>
                <pt idx="50">
                  <v>Mrt'28</v>
                </pt>
                <pt idx="51">
                  <v>Apr'28</v>
                </pt>
                <pt idx="52">
                  <v>Mei'28</v>
                </pt>
                <pt idx="53">
                  <v>Jun'28</v>
                </pt>
                <pt idx="54">
                  <v>Jul'28</v>
                </pt>
                <pt idx="55">
                  <v>Aug'28</v>
                </pt>
                <pt idx="56">
                  <v>Sep'28</v>
                </pt>
                <pt idx="57">
                  <v>Okt'28</v>
                </pt>
                <pt idx="58">
                  <v>Nov'28</v>
                </pt>
                <pt idx="59">
                  <v>Dec'28</v>
                </pt>
              </strCache>
            </strRef>
          </cat>
          <val>
            <numRef>
              <f>'Bezoldigingen - detail'!$G$9:$BN$9</f>
              <numCache>
                <formatCode>0</formatCode>
                <ptCount val="60"/>
              </numCache>
            </numRef>
          </val>
        </ser>
        <ser>
          <idx val="5"/>
          <order val="5"/>
          <tx>
            <strRef>
              <f>'Bezoldigingen - detail'!$C$10</f>
              <strCache>
                <ptCount val="1"/>
                <pt idx="0">
                  <v>Overige</v>
                </pt>
              </strCache>
            </strRef>
          </tx>
          <spPr>
            <a:solidFill>
              <a:srgbClr val="FFF685"/>
            </a:solidFill>
            <a:ln>
              <a:noFill/>
              <a:prstDash val="solid"/>
            </a:ln>
          </spPr>
          <invertIfNegative val="0"/>
          <dLbls>
            <dLbl>
              <idx val="0"/>
              <showLegendKey val="0"/>
              <showVal val="0"/>
              <showCatName val="1"/>
              <showSerName val="0"/>
              <showPercent val="0"/>
              <showBubbleSize val="0"/>
            </dLbl>
            <dLbl>
              <idx val="1"/>
            </dLbl>
            <dLbl>
              <idx val="2"/>
              <showLegendKey val="0"/>
              <showVal val="0"/>
              <showCatName val="1"/>
              <showSerName val="0"/>
              <showPercent val="0"/>
              <showBubbleSize val="0"/>
            </dLbl>
            <dLbl>
              <idx val="3"/>
            </dLbl>
            <dLbl>
              <idx val="4"/>
            </dLbl>
            <dLbl>
              <idx val="5"/>
              <showLegendKey val="0"/>
              <showVal val="0"/>
              <showCatName val="1"/>
              <showSerName val="0"/>
              <showPercent val="0"/>
              <showBubbleSize val="0"/>
            </dLbl>
            <dLbl>
              <idx val="6"/>
            </dLbl>
            <dLbl>
              <idx val="7"/>
            </dLbl>
            <dLbl>
              <idx val="8"/>
            </dLbl>
            <dLbl>
              <idx val="9"/>
            </dLbl>
            <dLbl>
              <idx val="10"/>
            </dLbl>
            <dLbl>
              <idx val="11"/>
            </dLbl>
            <dLbl>
              <idx val="12"/>
            </dLbl>
            <dLbl>
              <idx val="13"/>
            </dLbl>
            <dLbl>
              <idx val="14"/>
            </dLbl>
            <dLbl>
              <idx val="15"/>
              <showLegendKey val="0"/>
              <showVal val="0"/>
              <showCatName val="1"/>
              <showSerName val="0"/>
              <showPercent val="0"/>
              <showBubbleSize val="0"/>
            </dLbl>
            <dLbl>
              <idx val="16"/>
            </dLbl>
            <dLbl>
              <idx val="17"/>
            </dLbl>
            <dLbl>
              <idx val="18"/>
            </dLbl>
            <dLbl>
              <idx val="19"/>
            </dLbl>
            <dLbl>
              <idx val="20"/>
            </dLbl>
            <dLbl>
              <idx val="21"/>
            </dLbl>
            <dLbl>
              <idx val="22"/>
            </dLbl>
            <dLbl>
              <idx val="23"/>
            </dLbl>
            <dLbl>
              <idx val="24"/>
            </dLbl>
            <dLbl>
              <idx val="25"/>
              <showLegendKey val="0"/>
              <showVal val="0"/>
              <showCatName val="1"/>
              <showSerName val="0"/>
              <showPercent val="0"/>
              <showBubbleSize val="0"/>
            </dLbl>
            <dLbl>
              <idx val="26"/>
            </dLbl>
            <dLbl>
              <idx val="27"/>
            </dLbl>
            <dLbl>
              <idx val="28"/>
              <showLegendKey val="0"/>
              <showVal val="0"/>
              <showCatName val="1"/>
              <showSerName val="0"/>
              <showPercent val="0"/>
              <showBubbleSize val="0"/>
            </dLbl>
            <dLbl>
              <idx val="29"/>
            </dLbl>
            <dLbl>
              <idx val="30"/>
            </dLbl>
            <dLbl>
              <idx val="31"/>
            </dLbl>
            <dLbl>
              <idx val="32"/>
              <showLegendKey val="0"/>
              <showVal val="0"/>
              <showCatName val="1"/>
              <showSerName val="0"/>
              <showPercent val="0"/>
              <showBubbleSize val="0"/>
            </dLbl>
            <dLbl>
              <idx val="33"/>
            </dLbl>
            <dLbl>
              <idx val="34"/>
            </dLbl>
            <dLbl>
              <idx val="35"/>
            </dLbl>
            <dLbl>
              <idx val="36"/>
              <showLegendKey val="0"/>
              <showVal val="0"/>
              <showCatName val="1"/>
              <showSerName val="0"/>
              <showPercent val="0"/>
              <showBubbleSize val="0"/>
            </dLbl>
            <dLbl>
              <idx val="37"/>
              <showLegendKey val="0"/>
              <showVal val="0"/>
              <showCatName val="1"/>
              <showSerName val="0"/>
              <showPercent val="0"/>
              <showBubbleSize val="0"/>
            </dLbl>
            <dLbl>
              <idx val="38"/>
            </dLbl>
            <dLbl>
              <idx val="39"/>
            </dLbl>
            <dLbl>
              <idx val="40"/>
            </dLbl>
            <dLbl>
              <idx val="41"/>
            </dLbl>
            <dLbl>
              <idx val="42"/>
            </dLbl>
            <dLbl>
              <idx val="43"/>
            </dLbl>
            <dLbl>
              <idx val="44"/>
            </dLbl>
            <dLbl>
              <idx val="45"/>
            </dLbl>
            <dLbl>
              <idx val="46"/>
            </dLbl>
            <dLbl>
              <idx val="47"/>
            </dLbl>
            <dLbl>
              <idx val="48"/>
              <showLegendKey val="0"/>
              <showVal val="0"/>
              <showCatName val="0"/>
              <showSerName val="0"/>
              <showPercent val="0"/>
              <showBubbleSize val="0"/>
            </dLbl>
            <dLbl>
              <idx val="49"/>
              <showLegendKey val="0"/>
              <showVal val="0"/>
              <showCatName val="0"/>
              <showSerName val="0"/>
              <showPercent val="0"/>
              <showBubbleSize val="0"/>
            </dLbl>
            <dLbl>
              <idx val="50"/>
              <showLegendKey val="0"/>
              <showVal val="0"/>
              <showCatName val="0"/>
              <showSerName val="0"/>
              <showPercent val="0"/>
              <showBubbleSize val="0"/>
            </dLbl>
            <dLbl>
              <idx val="51"/>
              <showLegendKey val="0"/>
              <showVal val="0"/>
              <showCatName val="0"/>
              <showSerName val="0"/>
              <showPercent val="0"/>
              <showBubbleSize val="0"/>
            </dLbl>
            <dLbl>
              <idx val="52"/>
              <showLegendKey val="0"/>
              <showVal val="0"/>
              <showCatName val="0"/>
              <showSerName val="0"/>
              <showPercent val="0"/>
              <showBubbleSize val="0"/>
            </dLbl>
            <dLbl>
              <idx val="53"/>
              <showLegendKey val="0"/>
              <showVal val="0"/>
              <showCatName val="0"/>
              <showSerName val="0"/>
              <showPercent val="0"/>
              <showBubbleSize val="0"/>
            </dLbl>
            <dLbl>
              <idx val="54"/>
              <showLegendKey val="0"/>
              <showVal val="0"/>
              <showCatName val="0"/>
              <showSerName val="0"/>
              <showPercent val="0"/>
              <showBubbleSize val="0"/>
            </dLbl>
            <dLbl>
              <idx val="55"/>
              <showLegendKey val="0"/>
              <showVal val="0"/>
              <showCatName val="0"/>
              <showSerName val="0"/>
              <showPercent val="0"/>
              <showBubbleSize val="0"/>
            </dLbl>
            <dLbl>
              <idx val="56"/>
              <showLegendKey val="0"/>
              <showVal val="0"/>
              <showCatName val="0"/>
              <showSerName val="0"/>
              <showPercent val="0"/>
              <showBubbleSize val="0"/>
            </dLbl>
            <dLbl>
              <idx val="57"/>
              <showLegendKey val="0"/>
              <showVal val="0"/>
              <showCatName val="0"/>
              <showSerName val="0"/>
              <showPercent val="0"/>
              <showBubbleSize val="0"/>
            </dLbl>
            <dLbl>
              <idx val="58"/>
              <showLegendKey val="0"/>
              <showVal val="0"/>
              <showCatName val="0"/>
              <showSerName val="0"/>
              <showPercent val="0"/>
              <showBubbleSize val="0"/>
            </dLbl>
            <dLbl>
              <idx val="59"/>
              <showLegendKey val="0"/>
              <showVal val="0"/>
              <showCatName val="0"/>
              <showSerName val="0"/>
              <showPercent val="0"/>
              <showBubbleSize val="0"/>
            </dLbl>
            <spPr>
              <a:solidFill>
                <a:sysClr val="window" lastClr="FFFFFF"/>
              </a:solidFill>
              <a:ln>
                <a:solidFill>
                  <a:sysClr val="windowText" lastClr="000000">
                    <a:lumOff val="75000"/>
                    <a:lumMod val="25000"/>
                  </a:sysClr>
                </a:solidFill>
                <a:prstDash val="solid"/>
              </a:ln>
            </spPr>
            <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nl-BE"/>
              </a:p>
            </txPr>
            <showLegendKey val="0"/>
            <showVal val="0"/>
            <showCatName val="0"/>
            <showSerName val="0"/>
            <showPercent val="0"/>
            <showBubbleSize val="0"/>
            <showLeaderLines val="0"/>
          </dLbls>
          <cat>
            <strRef>
              <f>'Bezoldigingen - detail'!$G$4:$BN$4</f>
              <strCache>
                <ptCount val="60"/>
                <pt idx="0">
                  <v>Jan'24</v>
                </pt>
                <pt idx="1">
                  <v>Feb'24</v>
                </pt>
                <pt idx="2">
                  <v>Mrt'24</v>
                </pt>
                <pt idx="3">
                  <v>Apr'24</v>
                </pt>
                <pt idx="4">
                  <v>Mei'24</v>
                </pt>
                <pt idx="5">
                  <v>Jun'24</v>
                </pt>
                <pt idx="6">
                  <v>Jul'24</v>
                </pt>
                <pt idx="7">
                  <v>Aug'24</v>
                </pt>
                <pt idx="8">
                  <v>Sep'24</v>
                </pt>
                <pt idx="9">
                  <v>Okt'24</v>
                </pt>
                <pt idx="10">
                  <v>Nov'24</v>
                </pt>
                <pt idx="11">
                  <v>Dec'24</v>
                </pt>
                <pt idx="12">
                  <v>Jan'25</v>
                </pt>
                <pt idx="13">
                  <v>Feb'25</v>
                </pt>
                <pt idx="14">
                  <v>Mrt'25</v>
                </pt>
                <pt idx="15">
                  <v>Apr'25</v>
                </pt>
                <pt idx="16">
                  <v>Mei'25</v>
                </pt>
                <pt idx="17">
                  <v>Jun'25</v>
                </pt>
                <pt idx="18">
                  <v>Jul'25</v>
                </pt>
                <pt idx="19">
                  <v>Aug'25</v>
                </pt>
                <pt idx="20">
                  <v>Sep'25</v>
                </pt>
                <pt idx="21">
                  <v>Okt'25</v>
                </pt>
                <pt idx="22">
                  <v>Nov'25</v>
                </pt>
                <pt idx="23">
                  <v>Dec'25</v>
                </pt>
                <pt idx="24">
                  <v>Jan'26</v>
                </pt>
                <pt idx="25">
                  <v>Feb'26</v>
                </pt>
                <pt idx="26">
                  <v>Mrt'26</v>
                </pt>
                <pt idx="27">
                  <v>Apr'26</v>
                </pt>
                <pt idx="28">
                  <v>Mei'26</v>
                </pt>
                <pt idx="29">
                  <v>Jun'26</v>
                </pt>
                <pt idx="30">
                  <v>Jul'26</v>
                </pt>
                <pt idx="31">
                  <v>Aug'26</v>
                </pt>
                <pt idx="32">
                  <v>Sep'26</v>
                </pt>
                <pt idx="33">
                  <v>Okt'26</v>
                </pt>
                <pt idx="34">
                  <v>Nov'26</v>
                </pt>
                <pt idx="35">
                  <v>Dec'26</v>
                </pt>
                <pt idx="36">
                  <v>Jan'27</v>
                </pt>
                <pt idx="37">
                  <v>Feb'27</v>
                </pt>
                <pt idx="38">
                  <v>Mrt'27</v>
                </pt>
                <pt idx="39">
                  <v>Apr'27</v>
                </pt>
                <pt idx="40">
                  <v>Mei'27</v>
                </pt>
                <pt idx="41">
                  <v>Jun'27</v>
                </pt>
                <pt idx="42">
                  <v>Jul'27</v>
                </pt>
                <pt idx="43">
                  <v>Aug'27</v>
                </pt>
                <pt idx="44">
                  <v>Sep'27</v>
                </pt>
                <pt idx="45">
                  <v>Okt'27</v>
                </pt>
                <pt idx="46">
                  <v>Nov'27</v>
                </pt>
                <pt idx="47">
                  <v>Dec'27</v>
                </pt>
                <pt idx="48">
                  <v>Jan'28</v>
                </pt>
                <pt idx="49">
                  <v>Feb'28</v>
                </pt>
                <pt idx="50">
                  <v>Mrt'28</v>
                </pt>
                <pt idx="51">
                  <v>Apr'28</v>
                </pt>
                <pt idx="52">
                  <v>Mei'28</v>
                </pt>
                <pt idx="53">
                  <v>Jun'28</v>
                </pt>
                <pt idx="54">
                  <v>Jul'28</v>
                </pt>
                <pt idx="55">
                  <v>Aug'28</v>
                </pt>
                <pt idx="56">
                  <v>Sep'28</v>
                </pt>
                <pt idx="57">
                  <v>Okt'28</v>
                </pt>
                <pt idx="58">
                  <v>Nov'28</v>
                </pt>
                <pt idx="59">
                  <v>Dec'28</v>
                </pt>
              </strCache>
            </strRef>
          </cat>
          <val>
            <numRef>
              <f>'Bezoldigingen - detail'!$G$10:$BN$10</f>
              <numCache>
                <formatCode>0</formatCode>
                <ptCount val="60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overlap val="100"/>
        <axId val="1124074079"/>
        <axId val="1124085727"/>
      </barChart>
      <catAx>
        <axId val="1124074079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nl-BE"/>
          </a:p>
        </txPr>
        <crossAx val="1124085727"/>
        <crosses val="autoZero"/>
        <auto val="1"/>
        <lblAlgn val="ctr"/>
        <lblOffset val="100"/>
        <noMultiLvlLbl val="0"/>
      </catAx>
      <valAx>
        <axId val="1124085727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bg1">
                  <a:lumMod val="95000"/>
                </a:schemeClr>
              </a:solidFill>
              <a:prstDash val="solid"/>
              <a:round/>
            </a:ln>
          </spPr>
        </majorGridlines>
        <numFmt formatCode="0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nl-BE"/>
          </a:p>
        </txPr>
        <crossAx val="1124074079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nl-BE"/>
        </a:p>
      </txPr>
    </legend>
    <plotVisOnly val="1"/>
    <dispBlanksAs val="gap"/>
  </chart>
  <spPr>
    <a:solidFill>
      <a:schemeClr val="bg1"/>
    </a:solidFill>
    <a:ln w="9525" cap="flat" cmpd="sng" algn="ctr">
      <a:noFill/>
      <a:prstDash val="solid"/>
      <a:round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 xml:space="preserve">Vergelijking </a:t>
            </a:r>
            <a:r>
              <a:rPr lang="nl-BE" baseline="0"/>
              <a:t>omzetevolutie in k€</a:t>
            </a:r>
            <a:endParaRPr lang="nl-BE"/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nl-BE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'Vergelijking BPs'!$B$6</f>
              <strCache>
                <ptCount val="1"/>
                <pt idx="0">
                  <v>Omzet 2019</v>
                </pt>
              </strCache>
            </strRef>
          </tx>
          <spPr>
            <a:ln w="28575" cap="rnd">
              <a:solidFill>
                <a:srgbClr val="F9D2B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'Vergelijking BPs'!$C$4:$L$4</f>
              <strCache>
                <ptCount val="10"/>
                <pt idx="0">
                  <v>FY19</v>
                </pt>
                <pt idx="1">
                  <v>FY20</v>
                </pt>
                <pt idx="2">
                  <v>FY21</v>
                </pt>
                <pt idx="3">
                  <v>FY22</v>
                </pt>
                <pt idx="4">
                  <v>FY23</v>
                </pt>
                <pt idx="5">
                  <v>FY24</v>
                </pt>
                <pt idx="6">
                  <v>FY25</v>
                </pt>
                <pt idx="7">
                  <v>FY26</v>
                </pt>
                <pt idx="8">
                  <v>FY27</v>
                </pt>
                <pt idx="9">
                  <v>FY28</v>
                </pt>
              </strCache>
            </strRef>
          </cat>
          <val>
            <numRef>
              <f>'Vergelijking BPs'!$C$6:$L$6</f>
              <numCache>
                <formatCode>#,##0</formatCode>
                <ptCount val="10"/>
              </numCache>
            </numRef>
          </val>
          <smooth val="0"/>
        </ser>
        <ser>
          <idx val="2"/>
          <order val="1"/>
          <tx>
            <strRef>
              <f>'Vergelijking BPs'!$B$7</f>
              <strCache>
                <ptCount val="1"/>
                <pt idx="0">
                  <v>Omzet 2020</v>
                </pt>
              </strCache>
            </strRef>
          </tx>
          <spPr>
            <a:ln w="28575" cap="rnd">
              <a:solidFill>
                <a:srgbClr val="00AC8C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'Vergelijking BPs'!$C$4:$L$4</f>
              <strCache>
                <ptCount val="10"/>
                <pt idx="0">
                  <v>FY19</v>
                </pt>
                <pt idx="1">
                  <v>FY20</v>
                </pt>
                <pt idx="2">
                  <v>FY21</v>
                </pt>
                <pt idx="3">
                  <v>FY22</v>
                </pt>
                <pt idx="4">
                  <v>FY23</v>
                </pt>
                <pt idx="5">
                  <v>FY24</v>
                </pt>
                <pt idx="6">
                  <v>FY25</v>
                </pt>
                <pt idx="7">
                  <v>FY26</v>
                </pt>
                <pt idx="8">
                  <v>FY27</v>
                </pt>
                <pt idx="9">
                  <v>FY28</v>
                </pt>
              </strCache>
            </strRef>
          </cat>
          <val>
            <numRef>
              <f>'Vergelijking BPs'!$C$7:$L$7</f>
              <numCache>
                <formatCode>#,##0</formatCode>
                <ptCount val="10"/>
              </numCache>
            </numRef>
          </val>
          <smooth val="0"/>
        </ser>
        <ser>
          <idx val="3"/>
          <order val="2"/>
          <tx>
            <strRef>
              <f>'Vergelijking BPs'!$B$8</f>
              <strCache>
                <ptCount val="1"/>
                <pt idx="0">
                  <v>Omzet 2021</v>
                </pt>
              </strCache>
            </strRef>
          </tx>
          <spPr>
            <a:ln w="28575" cap="rnd">
              <a:solidFill>
                <a:srgbClr val="ABE1FA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'Vergelijking BPs'!$C$4:$L$4</f>
              <strCache>
                <ptCount val="10"/>
                <pt idx="0">
                  <v>FY19</v>
                </pt>
                <pt idx="1">
                  <v>FY20</v>
                </pt>
                <pt idx="2">
                  <v>FY21</v>
                </pt>
                <pt idx="3">
                  <v>FY22</v>
                </pt>
                <pt idx="4">
                  <v>FY23</v>
                </pt>
                <pt idx="5">
                  <v>FY24</v>
                </pt>
                <pt idx="6">
                  <v>FY25</v>
                </pt>
                <pt idx="7">
                  <v>FY26</v>
                </pt>
                <pt idx="8">
                  <v>FY27</v>
                </pt>
                <pt idx="9">
                  <v>FY28</v>
                </pt>
              </strCache>
            </strRef>
          </cat>
          <val>
            <numRef>
              <f>'Vergelijking BPs'!$C$8:$L$8</f>
              <numCache>
                <formatCode>#,##0</formatCode>
                <ptCount val="10"/>
              </numCache>
            </numRef>
          </val>
          <smooth val="0"/>
        </ser>
        <ser>
          <idx val="4"/>
          <order val="3"/>
          <tx>
            <strRef>
              <f>'Vergelijking BPs'!$B$9</f>
              <strCache>
                <ptCount val="1"/>
                <pt idx="0">
                  <v>Omzet 2022</v>
                </pt>
              </strCache>
            </strRef>
          </tx>
          <spPr>
            <a:ln w="28575" cap="rnd">
              <a:solidFill>
                <a:srgbClr val="F08B38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'Vergelijking BPs'!$C$4:$L$4</f>
              <strCache>
                <ptCount val="10"/>
                <pt idx="0">
                  <v>FY19</v>
                </pt>
                <pt idx="1">
                  <v>FY20</v>
                </pt>
                <pt idx="2">
                  <v>FY21</v>
                </pt>
                <pt idx="3">
                  <v>FY22</v>
                </pt>
                <pt idx="4">
                  <v>FY23</v>
                </pt>
                <pt idx="5">
                  <v>FY24</v>
                </pt>
                <pt idx="6">
                  <v>FY25</v>
                </pt>
                <pt idx="7">
                  <v>FY26</v>
                </pt>
                <pt idx="8">
                  <v>FY27</v>
                </pt>
                <pt idx="9">
                  <v>FY28</v>
                </pt>
              </strCache>
            </strRef>
          </cat>
          <val>
            <numRef>
              <f>'Vergelijking BPs'!$C$9:$L$9</f>
              <numCache>
                <formatCode>#,##0</formatCode>
                <ptCount val="10"/>
              </numCache>
            </numRef>
          </val>
          <smooth val="0"/>
        </ser>
        <ser>
          <idx val="5"/>
          <order val="4"/>
          <tx>
            <strRef>
              <f>'Vergelijking BPs'!$B$10</f>
              <strCache>
                <ptCount val="1"/>
                <pt idx="0">
                  <v>Omzet 2023</v>
                </pt>
              </strCache>
            </strRef>
          </tx>
          <spPr>
            <a:ln w="28575" cap="rnd">
              <a:solidFill>
                <a:srgbClr val="1E4B46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'Vergelijking BPs'!$C$4:$L$4</f>
              <strCache>
                <ptCount val="10"/>
                <pt idx="0">
                  <v>FY19</v>
                </pt>
                <pt idx="1">
                  <v>FY20</v>
                </pt>
                <pt idx="2">
                  <v>FY21</v>
                </pt>
                <pt idx="3">
                  <v>FY22</v>
                </pt>
                <pt idx="4">
                  <v>FY23</v>
                </pt>
                <pt idx="5">
                  <v>FY24</v>
                </pt>
                <pt idx="6">
                  <v>FY25</v>
                </pt>
                <pt idx="7">
                  <v>FY26</v>
                </pt>
                <pt idx="8">
                  <v>FY27</v>
                </pt>
                <pt idx="9">
                  <v>FY28</v>
                </pt>
              </strCache>
            </strRef>
          </cat>
          <val>
            <numRef>
              <f>'Vergelijking BPs'!$C$10:$L$10</f>
              <numCache>
                <formatCode>#,##0</formatCode>
                <ptCount val="10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124145487"/>
        <axId val="1124133839"/>
      </lineChart>
      <catAx>
        <axId val="112414548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nl-BE"/>
          </a:p>
        </txPr>
        <crossAx val="1124133839"/>
        <crosses val="autoZero"/>
        <auto val="1"/>
        <lblAlgn val="ctr"/>
        <lblOffset val="100"/>
        <noMultiLvlLbl val="0"/>
      </catAx>
      <valAx>
        <axId val="1124133839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,##0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nl-BE"/>
          </a:p>
        </txPr>
        <crossAx val="1124145487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nl-BE"/>
        </a:p>
      </txPr>
    </legend>
    <plotVisOnly val="1"/>
    <dispBlanksAs val="gap"/>
  </chart>
  <spPr>
    <a:solidFill>
      <a:schemeClr val="bg1"/>
    </a:solidFill>
    <a:ln w="9525" cap="flat" cmpd="sng" algn="ctr">
      <a:noFill/>
      <a:prstDash val="solid"/>
      <a:round/>
    </a:ln>
  </spPr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 xml:space="preserve">Vergelijking </a:t>
            </a:r>
            <a:r>
              <a:rPr lang="nl-BE" baseline="0"/>
              <a:t>EBITDA evolutie in k€</a:t>
            </a:r>
            <a:endParaRPr lang="nl-BE"/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nl-BE"/>
        </a:p>
      </txPr>
    </title>
    <plotArea>
      <layout/>
      <lineChart>
        <grouping val="standard"/>
        <varyColors val="0"/>
        <ser>
          <idx val="0"/>
          <order val="0"/>
          <tx>
            <strRef>
              <f>'Vergelijking BPs'!$B$25</f>
              <strCache>
                <ptCount val="1"/>
                <pt idx="0">
                  <v>EBITDA 2019</v>
                </pt>
              </strCache>
            </strRef>
          </tx>
          <spPr>
            <a:ln w="28575" cap="rnd">
              <a:solidFill>
                <a:srgbClr val="F9D2B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'Vergelijking BPs'!$C$4:$L$4</f>
              <strCache>
                <ptCount val="10"/>
                <pt idx="0">
                  <v>FY19</v>
                </pt>
                <pt idx="1">
                  <v>FY20</v>
                </pt>
                <pt idx="2">
                  <v>FY21</v>
                </pt>
                <pt idx="3">
                  <v>FY22</v>
                </pt>
                <pt idx="4">
                  <v>FY23</v>
                </pt>
                <pt idx="5">
                  <v>FY24</v>
                </pt>
                <pt idx="6">
                  <v>FY25</v>
                </pt>
                <pt idx="7">
                  <v>FY26</v>
                </pt>
                <pt idx="8">
                  <v>FY27</v>
                </pt>
                <pt idx="9">
                  <v>FY28</v>
                </pt>
              </strCache>
            </strRef>
          </cat>
          <val>
            <numRef>
              <f>'Vergelijking BPs'!$C$25:$L$25</f>
              <numCache>
                <formatCode>#,##0</formatCode>
                <ptCount val="10"/>
              </numCache>
            </numRef>
          </val>
          <smooth val="0"/>
        </ser>
        <ser>
          <idx val="1"/>
          <order val="1"/>
          <tx>
            <strRef>
              <f>'Vergelijking BPs'!$B$27</f>
              <strCache>
                <ptCount val="1"/>
                <pt idx="0">
                  <v>EBITDA 2020</v>
                </pt>
              </strCache>
            </strRef>
          </tx>
          <spPr>
            <a:ln w="28575" cap="rnd">
              <a:solidFill>
                <a:srgbClr val="00AC8C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'Vergelijking BPs'!$C$4:$L$4</f>
              <strCache>
                <ptCount val="10"/>
                <pt idx="0">
                  <v>FY19</v>
                </pt>
                <pt idx="1">
                  <v>FY20</v>
                </pt>
                <pt idx="2">
                  <v>FY21</v>
                </pt>
                <pt idx="3">
                  <v>FY22</v>
                </pt>
                <pt idx="4">
                  <v>FY23</v>
                </pt>
                <pt idx="5">
                  <v>FY24</v>
                </pt>
                <pt idx="6">
                  <v>FY25</v>
                </pt>
                <pt idx="7">
                  <v>FY26</v>
                </pt>
                <pt idx="8">
                  <v>FY27</v>
                </pt>
                <pt idx="9">
                  <v>FY28</v>
                </pt>
              </strCache>
            </strRef>
          </cat>
          <val>
            <numRef>
              <f>'Vergelijking BPs'!$C$27:$L$27</f>
              <numCache>
                <formatCode>#,##0</formatCode>
                <ptCount val="10"/>
              </numCache>
            </numRef>
          </val>
          <smooth val="0"/>
        </ser>
        <ser>
          <idx val="2"/>
          <order val="2"/>
          <tx>
            <strRef>
              <f>'Vergelijking BPs'!$B$29</f>
              <strCache>
                <ptCount val="1"/>
                <pt idx="0">
                  <v>EBITDA 2021</v>
                </pt>
              </strCache>
            </strRef>
          </tx>
          <spPr>
            <a:ln w="28575" cap="rnd">
              <a:solidFill>
                <a:srgbClr val="ABE1FA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'Vergelijking BPs'!$C$4:$L$4</f>
              <strCache>
                <ptCount val="10"/>
                <pt idx="0">
                  <v>FY19</v>
                </pt>
                <pt idx="1">
                  <v>FY20</v>
                </pt>
                <pt idx="2">
                  <v>FY21</v>
                </pt>
                <pt idx="3">
                  <v>FY22</v>
                </pt>
                <pt idx="4">
                  <v>FY23</v>
                </pt>
                <pt idx="5">
                  <v>FY24</v>
                </pt>
                <pt idx="6">
                  <v>FY25</v>
                </pt>
                <pt idx="7">
                  <v>FY26</v>
                </pt>
                <pt idx="8">
                  <v>FY27</v>
                </pt>
                <pt idx="9">
                  <v>FY28</v>
                </pt>
              </strCache>
            </strRef>
          </cat>
          <val>
            <numRef>
              <f>'Vergelijking BPs'!$C$29:$L$29</f>
              <numCache>
                <formatCode>#,##0</formatCode>
                <ptCount val="10"/>
              </numCache>
            </numRef>
          </val>
          <smooth val="0"/>
        </ser>
        <ser>
          <idx val="3"/>
          <order val="3"/>
          <tx>
            <strRef>
              <f>'Vergelijking BPs'!$B$31</f>
              <strCache>
                <ptCount val="1"/>
                <pt idx="0">
                  <v>EBITDA 2022</v>
                </pt>
              </strCache>
            </strRef>
          </tx>
          <spPr>
            <a:ln w="28575" cap="rnd">
              <a:solidFill>
                <a:srgbClr val="F08B38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'Vergelijking BPs'!$C$4:$L$4</f>
              <strCache>
                <ptCount val="10"/>
                <pt idx="0">
                  <v>FY19</v>
                </pt>
                <pt idx="1">
                  <v>FY20</v>
                </pt>
                <pt idx="2">
                  <v>FY21</v>
                </pt>
                <pt idx="3">
                  <v>FY22</v>
                </pt>
                <pt idx="4">
                  <v>FY23</v>
                </pt>
                <pt idx="5">
                  <v>FY24</v>
                </pt>
                <pt idx="6">
                  <v>FY25</v>
                </pt>
                <pt idx="7">
                  <v>FY26</v>
                </pt>
                <pt idx="8">
                  <v>FY27</v>
                </pt>
                <pt idx="9">
                  <v>FY28</v>
                </pt>
              </strCache>
            </strRef>
          </cat>
          <val>
            <numRef>
              <f>'Vergelijking BPs'!$C$31:$L$31</f>
              <numCache>
                <formatCode>#,##0</formatCode>
                <ptCount val="10"/>
              </numCache>
            </numRef>
          </val>
          <smooth val="0"/>
        </ser>
        <ser>
          <idx val="4"/>
          <order val="4"/>
          <tx>
            <strRef>
              <f>'Vergelijking BPs'!$B$33</f>
              <strCache>
                <ptCount val="1"/>
                <pt idx="0">
                  <v>EBITDA 2023</v>
                </pt>
              </strCache>
            </strRef>
          </tx>
          <spPr>
            <a:ln w="28575" cap="rnd">
              <a:solidFill>
                <a:srgbClr val="1E4B46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'Vergelijking BPs'!$C$4:$L$4</f>
              <strCache>
                <ptCount val="10"/>
                <pt idx="0">
                  <v>FY19</v>
                </pt>
                <pt idx="1">
                  <v>FY20</v>
                </pt>
                <pt idx="2">
                  <v>FY21</v>
                </pt>
                <pt idx="3">
                  <v>FY22</v>
                </pt>
                <pt idx="4">
                  <v>FY23</v>
                </pt>
                <pt idx="5">
                  <v>FY24</v>
                </pt>
                <pt idx="6">
                  <v>FY25</v>
                </pt>
                <pt idx="7">
                  <v>FY26</v>
                </pt>
                <pt idx="8">
                  <v>FY27</v>
                </pt>
                <pt idx="9">
                  <v>FY28</v>
                </pt>
              </strCache>
            </strRef>
          </cat>
          <val>
            <numRef>
              <f>'Vergelijking BPs'!$C$33:$L$33</f>
              <numCache>
                <formatCode>#,##0</formatCode>
                <ptCount val="10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124145487"/>
        <axId val="1124133839"/>
      </lineChart>
      <catAx>
        <axId val="112414548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nl-BE"/>
          </a:p>
        </txPr>
        <crossAx val="1124133839"/>
        <crosses val="autoZero"/>
        <auto val="1"/>
        <lblAlgn val="ctr"/>
        <lblOffset val="100"/>
        <noMultiLvlLbl val="0"/>
      </catAx>
      <valAx>
        <axId val="1124133839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,##0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nl-BE"/>
          </a:p>
        </txPr>
        <crossAx val="1124145487"/>
        <crosses val="autoZero"/>
        <crossBetween val="between"/>
      </valAx>
    </plotArea>
    <legend>
      <legendPos val="b"/>
      <layout>
        <manualLayout>
          <xMode val="edge"/>
          <yMode val="edge"/>
          <wMode val="factor"/>
          <hMode val="factor"/>
          <x val="0.05"/>
          <y val="0.9033559346748323"/>
          <w val="0.9024877515310585"/>
          <h val="0.09664398431677522"/>
        </manualLayout>
      </layout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nl-BE"/>
        </a:p>
      </txPr>
    </legend>
    <plotVisOnly val="1"/>
    <dispBlanksAs val="gap"/>
  </chart>
  <spPr>
    <a:solidFill>
      <a:schemeClr val="bg1"/>
    </a:solidFill>
    <a:ln w="9525" cap="flat" cmpd="sng" algn="ctr">
      <a:noFill/>
      <a:prstDash val="solid"/>
      <a:round/>
    </a:ln>
  </spPr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Waarderingsranges</a:t>
            </a:r>
            <a:r>
              <a:rPr lang="nl-BE" baseline="0"/>
              <a:t xml:space="preserve"> - Enterprise Value</a:t>
            </a:r>
            <a:endParaRPr lang="nl-BE"/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nl-BE"/>
        </a:p>
      </txPr>
    </title>
    <plotArea>
      <layout/>
      <barChart>
        <barDir val="bar"/>
        <grouping val="stacked"/>
        <varyColors val="0"/>
        <ser>
          <idx val="0"/>
          <order val="0"/>
          <tx>
            <strRef>
              <f>'Waardering summary'!$H$3</f>
              <strCache>
                <ptCount val="1"/>
                <pt idx="0">
                  <v>Min</v>
                </pt>
              </strCache>
            </strRef>
          </tx>
          <spPr>
            <a:noFill/>
            <a:ln>
              <a:noFill/>
              <a:prstDash val="solid"/>
            </a:ln>
          </spPr>
          <invertIfNegative val="0"/>
          <dLbls>
            <dLbl>
              <idx val="0"/>
              <showLegendKey val="0"/>
              <showVal val="0"/>
              <showCatName val="0"/>
              <showSerName val="0"/>
              <showPercent val="0"/>
              <showBubbleSize val="0"/>
            </dLbl>
            <dLbl>
              <idx val="1"/>
              <showLegendKey val="0"/>
              <showVal val="0"/>
              <showCatName val="0"/>
              <showSerName val="0"/>
              <showPercent val="0"/>
              <showBubbleSize val="0"/>
            </dLbl>
            <dLbl>
              <idx val="2"/>
              <showLegendKey val="0"/>
              <showVal val="0"/>
              <showCatName val="0"/>
              <showSerName val="0"/>
              <showPercent val="0"/>
              <showBubbleSize val="0"/>
            </dLbl>
            <spPr>
              <a:noFill/>
              <a:ln>
                <a:noFill/>
                <a:prstDash val="solid"/>
              </a:ln>
            </spPr>
            <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nl-BE"/>
              </a:p>
            </txPr>
            <showLegendKey val="0"/>
            <showVal val="0"/>
            <showCatName val="0"/>
            <showSerName val="0"/>
            <showPercent val="0"/>
            <showBubbleSize val="0"/>
            <showLeaderLines val="0"/>
          </dLbls>
          <cat>
            <strRef>
              <f>'Waardering summary'!$B$4:$B$6</f>
              <strCache>
                <ptCount val="3"/>
                <pt idx="0">
                  <v>TM</v>
                </pt>
                <pt idx="1">
                  <v>MM</v>
                </pt>
                <pt idx="2">
                  <v>DCF</v>
                </pt>
              </strCache>
            </strRef>
          </cat>
          <val>
            <numRef>
              <f>'Waardering summary'!$H$4:$H$6</f>
              <numCache>
                <formatCode>#,##0</formatCode>
                <ptCount val="3"/>
                <pt idx="0">
                  <v>0</v>
                </pt>
                <pt idx="1">
                  <v>0</v>
                </pt>
                <pt idx="2">
                  <v>0</v>
                </pt>
              </numCache>
            </numRef>
          </val>
        </ser>
        <ser>
          <idx val="1"/>
          <order val="1"/>
          <tx>
            <strRef>
              <f>'Waardering summary'!$I$3</f>
              <strCache>
                <ptCount val="1"/>
                <pt idx="0">
                  <v>Mid</v>
                </pt>
              </strCache>
            </strRef>
          </tx>
          <spPr>
            <a:solidFill>
              <a:srgbClr val="00AC8C"/>
            </a:solidFill>
            <a:ln>
              <a:solidFill>
                <a:schemeClr val="bg1"/>
              </a:solidFill>
              <a:prstDash val="solid"/>
            </a:ln>
          </spPr>
          <invertIfNegative val="0"/>
          <dLbls>
            <dLbl>
              <idx val="0"/>
              <showLegendKey val="0"/>
              <showVal val="0"/>
              <showCatName val="0"/>
              <showSerName val="0"/>
              <showPercent val="0"/>
              <showBubbleSize val="0"/>
            </dLbl>
            <dLbl>
              <idx val="1"/>
              <showLegendKey val="0"/>
              <showVal val="0"/>
              <showCatName val="0"/>
              <showSerName val="0"/>
              <showPercent val="0"/>
              <showBubbleSize val="0"/>
            </dLbl>
            <dLbl>
              <idx val="2"/>
              <showLegendKey val="0"/>
              <showVal val="0"/>
              <showCatName val="0"/>
              <showSerName val="0"/>
              <showPercent val="0"/>
              <showBubbleSize val="0"/>
            </dLbl>
            <spPr>
              <a:noFill/>
              <a:ln w="6350">
                <a:noFill/>
                <a:prstDash val="solid"/>
              </a:ln>
            </spPr>
            <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nl-BE"/>
              </a:p>
            </txPr>
            <showLegendKey val="0"/>
            <showVal val="0"/>
            <showCatName val="0"/>
            <showSerName val="0"/>
            <showPercent val="0"/>
            <showBubbleSize val="0"/>
            <showLeaderLines val="0"/>
          </dLbls>
          <cat>
            <strRef>
              <f>'Waardering summary'!$B$4:$B$6</f>
              <strCache>
                <ptCount val="3"/>
                <pt idx="0">
                  <v>TM</v>
                </pt>
                <pt idx="1">
                  <v>MM</v>
                </pt>
                <pt idx="2">
                  <v>DCF</v>
                </pt>
              </strCache>
            </strRef>
          </cat>
          <val>
            <numRef>
              <f>'Waardering summary'!$I$4:$I$6</f>
              <numCache>
                <formatCode>#,##0</formatCode>
                <ptCount val="3"/>
                <pt idx="0">
                  <v>0</v>
                </pt>
                <pt idx="1">
                  <v>0</v>
                </pt>
                <pt idx="2">
                  <v>0</v>
                </pt>
              </numCache>
            </numRef>
          </val>
        </ser>
        <ser>
          <idx val="2"/>
          <order val="2"/>
          <tx>
            <strRef>
              <f>'Waardering summary'!$J$3</f>
              <strCache>
                <ptCount val="1"/>
                <pt idx="0">
                  <v>Max</v>
                </pt>
              </strCache>
            </strRef>
          </tx>
          <spPr>
            <a:solidFill>
              <a:srgbClr val="00AC8C"/>
            </a:solidFill>
            <a:ln>
              <a:solidFill>
                <a:schemeClr val="bg1"/>
              </a:solidFill>
              <a:prstDash val="solid"/>
            </a:ln>
          </spPr>
          <invertIfNegative val="0"/>
          <dLbls>
            <dLbl>
              <idx val="0"/>
              <showLegendKey val="0"/>
              <showVal val="0"/>
              <showCatName val="0"/>
              <showSerName val="0"/>
              <showPercent val="0"/>
              <showBubbleSize val="0"/>
            </dLbl>
            <dLbl>
              <idx val="1"/>
              <showLegendKey val="0"/>
              <showVal val="0"/>
              <showCatName val="0"/>
              <showSerName val="0"/>
              <showPercent val="0"/>
              <showBubbleSize val="0"/>
            </dLbl>
            <dLbl>
              <idx val="2"/>
              <showLegendKey val="0"/>
              <showVal val="0"/>
              <showCatName val="0"/>
              <showSerName val="0"/>
              <showPercent val="0"/>
              <showBubbleSize val="0"/>
            </dLbl>
            <spPr>
              <a:noFill/>
              <a:ln>
                <a:noFill/>
                <a:prstDash val="solid"/>
              </a:ln>
            </spPr>
            <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nl-BE"/>
              </a:p>
            </txPr>
            <showLegendKey val="0"/>
            <showVal val="0"/>
            <showCatName val="0"/>
            <showSerName val="0"/>
            <showPercent val="0"/>
            <showBubbleSize val="0"/>
            <showLeaderLines val="0"/>
          </dLbls>
          <cat>
            <strRef>
              <f>'Waardering summary'!$B$4:$B$6</f>
              <strCache>
                <ptCount val="3"/>
                <pt idx="0">
                  <v>TM</v>
                </pt>
                <pt idx="1">
                  <v>MM</v>
                </pt>
                <pt idx="2">
                  <v>DCF</v>
                </pt>
              </strCache>
            </strRef>
          </cat>
          <val>
            <numRef>
              <f>'Waardering summary'!$J$4:$J$6</f>
              <numCache>
                <formatCode>#,##0</formatCode>
                <ptCount val="3"/>
                <pt idx="0">
                  <v>0</v>
                </pt>
                <pt idx="1">
                  <v>0</v>
                </pt>
                <pt idx="2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overlap val="100"/>
        <axId val="94603280"/>
        <axId val="94600880"/>
      </barChart>
      <catAx>
        <axId val="94603280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nl-BE"/>
          </a:p>
        </txPr>
        <crossAx val="94600880"/>
        <crosses val="autoZero"/>
        <auto val="1"/>
        <lblAlgn val="ctr"/>
        <lblOffset val="100"/>
        <noMultiLvlLbl val="0"/>
      </catAx>
      <valAx>
        <axId val="94600880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bg1">
                  <a:lumMod val="95000"/>
                </a:schemeClr>
              </a:solidFill>
              <a:prstDash val="solid"/>
              <a:round/>
            </a:ln>
          </spPr>
        </majorGridlines>
        <numFmt formatCode="#,##0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nl-BE"/>
          </a:p>
        </txPr>
        <crossAx val="94603280"/>
        <crosses val="autoZero"/>
        <crossBetween val="between"/>
      </valAx>
    </plotArea>
    <plotVisOnly val="1"/>
    <dispBlanksAs val="gap"/>
  </chart>
  <spPr>
    <a:solidFill>
      <a:schemeClr val="bg1"/>
    </a:solidFill>
    <a:ln w="9525" cap="flat" cmpd="sng" algn="ctr">
      <a:noFill/>
      <a:prstDash val="solid"/>
      <a:round/>
    </a:ln>
  </spPr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Waarderingsranges</a:t>
            </a:r>
            <a:r>
              <a:rPr lang="nl-BE" baseline="0"/>
              <a:t xml:space="preserve"> - Equity Value</a:t>
            </a:r>
            <a:endParaRPr lang="nl-BE"/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nl-BE"/>
        </a:p>
      </txPr>
    </title>
    <plotArea>
      <layout/>
      <barChart>
        <barDir val="bar"/>
        <grouping val="stacked"/>
        <varyColors val="0"/>
        <ser>
          <idx val="0"/>
          <order val="0"/>
          <tx>
            <strRef>
              <f>'Waardering summary'!$T$3</f>
              <strCache>
                <ptCount val="1"/>
                <pt idx="0">
                  <v>Min</v>
                </pt>
              </strCache>
            </strRef>
          </tx>
          <spPr>
            <a:noFill/>
            <a:ln>
              <a:noFill/>
              <a:prstDash val="solid"/>
            </a:ln>
          </spPr>
          <invertIfNegative val="0"/>
          <dLbls>
            <dLbl>
              <idx val="0"/>
              <showLegendKey val="0"/>
              <showVal val="0"/>
              <showCatName val="0"/>
              <showSerName val="0"/>
              <showPercent val="0"/>
              <showBubbleSize val="0"/>
            </dLbl>
            <dLbl>
              <idx val="1"/>
              <showLegendKey val="0"/>
              <showVal val="0"/>
              <showCatName val="0"/>
              <showSerName val="0"/>
              <showPercent val="0"/>
              <showBubbleSize val="0"/>
            </dLbl>
            <dLbl>
              <idx val="2"/>
              <showLegendKey val="0"/>
              <showVal val="0"/>
              <showCatName val="0"/>
              <showSerName val="0"/>
              <showPercent val="0"/>
              <showBubbleSize val="0"/>
            </dLbl>
            <spPr>
              <a:noFill/>
              <a:ln>
                <a:noFill/>
                <a:prstDash val="solid"/>
              </a:ln>
            </spPr>
            <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nl-BE"/>
              </a:p>
            </txPr>
            <showLegendKey val="0"/>
            <showVal val="0"/>
            <showCatName val="0"/>
            <showSerName val="0"/>
            <showPercent val="0"/>
            <showBubbleSize val="0"/>
            <showLeaderLines val="0"/>
          </dLbls>
          <cat>
            <strRef>
              <f>'Waardering summary'!$B$4:$B$6</f>
              <strCache>
                <ptCount val="3"/>
                <pt idx="0">
                  <v>TM</v>
                </pt>
                <pt idx="1">
                  <v>MM</v>
                </pt>
                <pt idx="2">
                  <v>DCF</v>
                </pt>
              </strCache>
            </strRef>
          </cat>
          <val>
            <numRef>
              <f>'Waardering summary'!$T$4:$T$6</f>
              <numCache>
                <formatCode>#,##0</formatCode>
                <ptCount val="3"/>
                <pt idx="0">
                  <v>0</v>
                </pt>
                <pt idx="1">
                  <v>0</v>
                </pt>
                <pt idx="2">
                  <v>0</v>
                </pt>
              </numCache>
            </numRef>
          </val>
        </ser>
        <ser>
          <idx val="1"/>
          <order val="1"/>
          <tx>
            <strRef>
              <f>'Waardering summary'!$U$3</f>
              <strCache>
                <ptCount val="1"/>
                <pt idx="0">
                  <v>Mid</v>
                </pt>
              </strCache>
            </strRef>
          </tx>
          <spPr>
            <a:solidFill>
              <a:srgbClr val="00AC8C"/>
            </a:solidFill>
            <a:ln>
              <a:solidFill>
                <a:schemeClr val="bg1"/>
              </a:solidFill>
              <a:prstDash val="solid"/>
            </a:ln>
          </spPr>
          <invertIfNegative val="0"/>
          <dLbls>
            <dLbl>
              <idx val="0"/>
              <showLegendKey val="0"/>
              <showVal val="0"/>
              <showCatName val="0"/>
              <showSerName val="0"/>
              <showPercent val="0"/>
              <showBubbleSize val="0"/>
            </dLbl>
            <dLbl>
              <idx val="1"/>
              <showLegendKey val="0"/>
              <showVal val="0"/>
              <showCatName val="0"/>
              <showSerName val="0"/>
              <showPercent val="0"/>
              <showBubbleSize val="0"/>
            </dLbl>
            <dLbl>
              <idx val="2"/>
              <showLegendKey val="0"/>
              <showVal val="0"/>
              <showCatName val="0"/>
              <showSerName val="0"/>
              <showPercent val="0"/>
              <showBubbleSize val="0"/>
            </dLbl>
            <spPr>
              <a:noFill/>
              <a:ln>
                <a:noFill/>
                <a:prstDash val="solid"/>
              </a:ln>
            </spPr>
            <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nl-BE"/>
              </a:p>
            </txPr>
            <showLegendKey val="0"/>
            <showVal val="0"/>
            <showCatName val="0"/>
            <showSerName val="0"/>
            <showPercent val="0"/>
            <showBubbleSize val="0"/>
            <showLeaderLines val="0"/>
          </dLbls>
          <cat>
            <strRef>
              <f>'Waardering summary'!$B$4:$B$6</f>
              <strCache>
                <ptCount val="3"/>
                <pt idx="0">
                  <v>TM</v>
                </pt>
                <pt idx="1">
                  <v>MM</v>
                </pt>
                <pt idx="2">
                  <v>DCF</v>
                </pt>
              </strCache>
            </strRef>
          </cat>
          <val>
            <numRef>
              <f>'Waardering summary'!$U$4:$U$6</f>
              <numCache>
                <formatCode>#,##0</formatCode>
                <ptCount val="3"/>
                <pt idx="0">
                  <v>0</v>
                </pt>
                <pt idx="1">
                  <v>0</v>
                </pt>
                <pt idx="2">
                  <v>0</v>
                </pt>
              </numCache>
            </numRef>
          </val>
        </ser>
        <ser>
          <idx val="2"/>
          <order val="2"/>
          <tx>
            <strRef>
              <f>'Waardering summary'!$V$3</f>
              <strCache>
                <ptCount val="1"/>
                <pt idx="0">
                  <v>Max</v>
                </pt>
              </strCache>
            </strRef>
          </tx>
          <spPr>
            <a:solidFill>
              <a:srgbClr val="00AC8C"/>
            </a:solidFill>
            <a:ln>
              <a:solidFill>
                <a:schemeClr val="bg1"/>
              </a:solidFill>
              <a:prstDash val="solid"/>
            </a:ln>
          </spPr>
          <invertIfNegative val="0"/>
          <dLbls>
            <dLbl>
              <idx val="0"/>
              <showLegendKey val="0"/>
              <showVal val="0"/>
              <showCatName val="0"/>
              <showSerName val="0"/>
              <showPercent val="0"/>
              <showBubbleSize val="0"/>
            </dLbl>
            <dLbl>
              <idx val="1"/>
              <showLegendKey val="0"/>
              <showVal val="0"/>
              <showCatName val="0"/>
              <showSerName val="0"/>
              <showPercent val="0"/>
              <showBubbleSize val="0"/>
            </dLbl>
            <dLbl>
              <idx val="2"/>
              <showLegendKey val="0"/>
              <showVal val="0"/>
              <showCatName val="0"/>
              <showSerName val="0"/>
              <showPercent val="0"/>
              <showBubbleSize val="0"/>
            </dLbl>
            <spPr>
              <a:noFill/>
              <a:ln>
                <a:noFill/>
                <a:prstDash val="solid"/>
              </a:ln>
            </spPr>
            <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nl-BE"/>
              </a:p>
            </txPr>
            <showLegendKey val="0"/>
            <showVal val="0"/>
            <showCatName val="0"/>
            <showSerName val="0"/>
            <showPercent val="0"/>
            <showBubbleSize val="0"/>
            <showLeaderLines val="0"/>
          </dLbls>
          <cat>
            <strRef>
              <f>'Waardering summary'!$B$4:$B$6</f>
              <strCache>
                <ptCount val="3"/>
                <pt idx="0">
                  <v>TM</v>
                </pt>
                <pt idx="1">
                  <v>MM</v>
                </pt>
                <pt idx="2">
                  <v>DCF</v>
                </pt>
              </strCache>
            </strRef>
          </cat>
          <val>
            <numRef>
              <f>'Waardering summary'!$V$4:$V$6</f>
              <numCache>
                <formatCode>#,##0</formatCode>
                <ptCount val="3"/>
                <pt idx="0">
                  <v>0</v>
                </pt>
                <pt idx="1">
                  <v>0</v>
                </pt>
                <pt idx="2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overlap val="100"/>
        <axId val="94603280"/>
        <axId val="94600880"/>
      </barChart>
      <catAx>
        <axId val="94603280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nl-BE"/>
          </a:p>
        </txPr>
        <crossAx val="94600880"/>
        <crosses val="autoZero"/>
        <auto val="1"/>
        <lblAlgn val="ctr"/>
        <lblOffset val="100"/>
        <noMultiLvlLbl val="0"/>
      </catAx>
      <valAx>
        <axId val="94600880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bg1">
                  <a:lumMod val="95000"/>
                </a:schemeClr>
              </a:solidFill>
              <a:prstDash val="solid"/>
              <a:round/>
            </a:ln>
          </spPr>
        </majorGridlines>
        <numFmt formatCode="#,##0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nl-BE"/>
          </a:p>
        </txPr>
        <crossAx val="94603280"/>
        <crosses val="autoZero"/>
        <crossBetween val="between"/>
      </valAx>
    </plotArea>
    <plotVisOnly val="1"/>
    <dispBlanksAs val="gap"/>
  </chart>
  <spPr>
    <a:solidFill>
      <a:schemeClr val="bg1"/>
    </a:solidFill>
    <a:ln w="9525" cap="flat" cmpd="sng" algn="ctr">
      <a:noFill/>
      <a:prstDash val="solid"/>
      <a:round/>
    </a:ln>
  </spPr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Waarderingsranges</a:t>
            </a:r>
            <a:r>
              <a:rPr lang="nl-BE" baseline="0"/>
              <a:t xml:space="preserve"> - Implied multiples</a:t>
            </a:r>
            <a:endParaRPr lang="nl-BE"/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nl-BE"/>
        </a:p>
      </txPr>
    </title>
    <plotArea>
      <layout/>
      <barChart>
        <barDir val="bar"/>
        <grouping val="stacked"/>
        <varyColors val="0"/>
        <ser>
          <idx val="0"/>
          <order val="0"/>
          <tx>
            <strRef>
              <f>'Waardering summary'!$H$9</f>
              <strCache>
                <ptCount val="1"/>
                <pt idx="0">
                  <v>Min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Pt>
            <idx val="0"/>
            <invertIfNegative val="0"/>
            <bubble3D val="0"/>
            <spPr>
              <a:noFill/>
              <a:ln>
                <a:noFill/>
                <a:prstDash val="solid"/>
              </a:ln>
            </spPr>
          </dPt>
          <dPt>
            <idx val="1"/>
            <invertIfNegative val="0"/>
            <bubble3D val="0"/>
            <spPr>
              <a:noFill/>
              <a:ln>
                <a:noFill/>
                <a:prstDash val="solid"/>
              </a:ln>
            </spPr>
          </dPt>
          <dPt>
            <idx val="2"/>
            <invertIfNegative val="0"/>
            <bubble3D val="0"/>
            <spPr>
              <a:noFill/>
              <a:ln>
                <a:noFill/>
                <a:prstDash val="solid"/>
              </a:ln>
            </spPr>
          </dPt>
          <dLbls>
            <dLbl>
              <idx val="0"/>
              <showLegendKey val="0"/>
              <showVal val="0"/>
              <showCatName val="0"/>
              <showSerName val="0"/>
              <showPercent val="0"/>
              <showBubbleSize val="0"/>
            </dLbl>
            <dLbl>
              <idx val="1"/>
              <showLegendKey val="0"/>
              <showVal val="0"/>
              <showCatName val="0"/>
              <showSerName val="0"/>
              <showPercent val="0"/>
              <showBubbleSize val="0"/>
            </dLbl>
            <dLbl>
              <idx val="2"/>
              <showLegendKey val="0"/>
              <showVal val="0"/>
              <showCatName val="0"/>
              <showSerName val="0"/>
              <showPercent val="0"/>
              <showBubbleSize val="0"/>
            </dLbl>
            <spPr>
              <a:noFill/>
              <a:ln>
                <a:noFill/>
                <a:prstDash val="solid"/>
              </a:ln>
            </spPr>
            <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nl-BE"/>
              </a:p>
            </txPr>
            <showLegendKey val="0"/>
            <showVal val="0"/>
            <showCatName val="0"/>
            <showSerName val="0"/>
            <showPercent val="0"/>
            <showBubbleSize val="0"/>
            <showLeaderLines val="0"/>
          </dLbls>
          <cat>
            <strRef>
              <f>'Waardering summary'!$B$10:$B$12</f>
              <strCache>
                <ptCount val="3"/>
                <pt idx="0">
                  <v>TM</v>
                </pt>
                <pt idx="1">
                  <v>MM</v>
                </pt>
                <pt idx="2">
                  <v>DCF</v>
                </pt>
              </strCache>
            </strRef>
          </cat>
          <val>
            <numRef>
              <f>'Waardering summary'!$H$10:$H$12</f>
              <numCache>
                <formatCode>0.0\x</formatCode>
                <ptCount val="3"/>
                <pt idx="0">
                  <v>0</v>
                </pt>
                <pt idx="1">
                  <v>0</v>
                </pt>
                <pt idx="2">
                  <v>0</v>
                </pt>
              </numCache>
            </numRef>
          </val>
        </ser>
        <ser>
          <idx val="1"/>
          <order val="1"/>
          <tx>
            <strRef>
              <f>'Waardering summary'!$I$9</f>
              <strCache>
                <ptCount val="1"/>
                <pt idx="0">
                  <v>Mid</v>
                </pt>
              </strCache>
            </strRef>
          </tx>
          <spPr>
            <a:solidFill>
              <a:srgbClr val="00AC8C"/>
            </a:solidFill>
            <a:ln>
              <a:solidFill>
                <a:schemeClr val="bg1"/>
              </a:solidFill>
              <a:prstDash val="solid"/>
            </a:ln>
          </spPr>
          <invertIfNegative val="0"/>
          <dLbls>
            <dLbl>
              <idx val="0"/>
              <showLegendKey val="0"/>
              <showVal val="0"/>
              <showCatName val="0"/>
              <showSerName val="0"/>
              <showPercent val="0"/>
              <showBubbleSize val="0"/>
            </dLbl>
            <dLbl>
              <idx val="1"/>
              <showLegendKey val="0"/>
              <showVal val="0"/>
              <showCatName val="0"/>
              <showSerName val="0"/>
              <showPercent val="0"/>
              <showBubbleSize val="0"/>
            </dLbl>
            <dLbl>
              <idx val="2"/>
              <showLegendKey val="0"/>
              <showVal val="0"/>
              <showCatName val="0"/>
              <showSerName val="0"/>
              <showPercent val="0"/>
              <showBubbleSize val="0"/>
            </dLbl>
            <spPr>
              <a:noFill/>
              <a:ln>
                <a:noFill/>
                <a:prstDash val="solid"/>
              </a:ln>
            </spPr>
            <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nl-BE"/>
              </a:p>
            </txPr>
            <showLegendKey val="0"/>
            <showVal val="0"/>
            <showCatName val="0"/>
            <showSerName val="0"/>
            <showPercent val="0"/>
            <showBubbleSize val="0"/>
            <showLeaderLines val="0"/>
          </dLbls>
          <cat>
            <strRef>
              <f>'Waardering summary'!$B$10:$B$12</f>
              <strCache>
                <ptCount val="3"/>
                <pt idx="0">
                  <v>TM</v>
                </pt>
                <pt idx="1">
                  <v>MM</v>
                </pt>
                <pt idx="2">
                  <v>DCF</v>
                </pt>
              </strCache>
            </strRef>
          </cat>
          <val>
            <numRef>
              <f>'Waardering summary'!$I$10:$I$12</f>
              <numCache>
                <formatCode>0.0\x</formatCode>
                <ptCount val="3"/>
                <pt idx="0">
                  <v>0</v>
                </pt>
                <pt idx="1">
                  <v>0</v>
                </pt>
                <pt idx="2">
                  <v>0</v>
                </pt>
              </numCache>
            </numRef>
          </val>
        </ser>
        <ser>
          <idx val="2"/>
          <order val="2"/>
          <tx>
            <strRef>
              <f>'Waardering summary'!$J$9</f>
              <strCache>
                <ptCount val="1"/>
                <pt idx="0">
                  <v>Max</v>
                </pt>
              </strCache>
            </strRef>
          </tx>
          <spPr>
            <a:solidFill>
              <a:srgbClr val="00AC8C"/>
            </a:solidFill>
            <a:ln>
              <a:solidFill>
                <a:schemeClr val="bg1"/>
              </a:solidFill>
              <a:prstDash val="solid"/>
            </a:ln>
          </spPr>
          <invertIfNegative val="0"/>
          <dLbls>
            <dLbl>
              <idx val="0"/>
              <showLegendKey val="0"/>
              <showVal val="0"/>
              <showCatName val="0"/>
              <showSerName val="0"/>
              <showPercent val="0"/>
              <showBubbleSize val="0"/>
            </dLbl>
            <dLbl>
              <idx val="1"/>
              <showLegendKey val="0"/>
              <showVal val="0"/>
              <showCatName val="0"/>
              <showSerName val="0"/>
              <showPercent val="0"/>
              <showBubbleSize val="0"/>
            </dLbl>
            <dLbl>
              <idx val="2"/>
              <showLegendKey val="0"/>
              <showVal val="0"/>
              <showCatName val="0"/>
              <showSerName val="0"/>
              <showPercent val="0"/>
              <showBubbleSize val="0"/>
            </dLbl>
            <spPr>
              <a:noFill/>
              <a:ln w="6350">
                <a:noFill/>
                <a:prstDash val="solid"/>
              </a:ln>
            </spPr>
            <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nl-BE"/>
              </a:p>
            </txPr>
            <showLegendKey val="0"/>
            <showVal val="0"/>
            <showCatName val="0"/>
            <showSerName val="0"/>
            <showPercent val="0"/>
            <showBubbleSize val="0"/>
            <showLeaderLines val="0"/>
          </dLbls>
          <cat>
            <strRef>
              <f>'Waardering summary'!$B$10:$B$12</f>
              <strCache>
                <ptCount val="3"/>
                <pt idx="0">
                  <v>TM</v>
                </pt>
                <pt idx="1">
                  <v>MM</v>
                </pt>
                <pt idx="2">
                  <v>DCF</v>
                </pt>
              </strCache>
            </strRef>
          </cat>
          <val>
            <numRef>
              <f>'Waardering summary'!$J$10:$J$12</f>
              <numCache>
                <formatCode>0.0\x</formatCode>
                <ptCount val="3"/>
                <pt idx="0">
                  <v>0</v>
                </pt>
                <pt idx="1">
                  <v>0</v>
                </pt>
                <pt idx="2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overlap val="100"/>
        <axId val="94603280"/>
        <axId val="94600880"/>
      </barChart>
      <catAx>
        <axId val="94603280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nl-BE"/>
          </a:p>
        </txPr>
        <crossAx val="94600880"/>
        <crosses val="autoZero"/>
        <auto val="1"/>
        <lblAlgn val="ctr"/>
        <lblOffset val="100"/>
        <noMultiLvlLbl val="0"/>
      </catAx>
      <valAx>
        <axId val="94600880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bg1">
                  <a:lumMod val="95000"/>
                </a:schemeClr>
              </a:solidFill>
              <a:prstDash val="solid"/>
              <a:round/>
            </a:ln>
          </spPr>
        </majorGridlines>
        <numFmt formatCode="0.0\x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nl-BE"/>
          </a:p>
        </txPr>
        <crossAx val="94603280"/>
        <crosses val="autoZero"/>
        <crossBetween val="between"/>
      </valAx>
    </plotArea>
    <plotVisOnly val="1"/>
    <dispBlanksAs val="gap"/>
  </chart>
  <spPr>
    <a:solidFill>
      <a:schemeClr val="bg1"/>
    </a:solidFill>
    <a:ln w="9525" cap="flat" cmpd="sng" algn="ctr">
      <a:noFill/>
      <a:prstDash val="solid"/>
      <a:round/>
    </a:ln>
  </spPr>
</chartSpace>
</file>

<file path=xl/comments/comment1.xml><?xml version="1.0" encoding="utf-8"?>
<comments xmlns="http://schemas.openxmlformats.org/spreadsheetml/2006/main">
  <authors>
    <author>Yves Neven</author>
  </authors>
  <commentList>
    <comment ref="D27" authorId="0" shapeId="0">
      <text>
        <t xml:space="preserve">Yves Neven:
Enkel aan te passen indien kasstromen niet evenredig doorheen het jaar vallen. Alternatief is end-of-year of start-of-year. 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 /><Relationship Type="http://schemas.openxmlformats.org/officeDocument/2006/relationships/chart" Target="/xl/charts/chart5.xml" Id="rId2" /></Relationships>
</file>

<file path=xl/drawings/_rels/drawing5.xml.rels><Relationships xmlns="http://schemas.openxmlformats.org/package/2006/relationships"><Relationship Type="http://schemas.openxmlformats.org/officeDocument/2006/relationships/chart" Target="/xl/charts/chart6.xml" Id="rId1" /><Relationship Type="http://schemas.openxmlformats.org/officeDocument/2006/relationships/chart" Target="/xl/charts/chart7.xml" Id="rId2" /><Relationship Type="http://schemas.openxmlformats.org/officeDocument/2006/relationships/chart" Target="/xl/charts/chart8.xml" Id="rId3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3</col>
      <colOff>0</colOff>
      <row>12</row>
      <rowOff>142875</rowOff>
    </from>
    <to>
      <col>11</col>
      <colOff>114299</colOff>
      <row>35</row>
      <rowOff>76200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566736</colOff>
      <row>31</row>
      <rowOff>90487</rowOff>
    </from>
    <to>
      <col>13</col>
      <colOff>238124</colOff>
      <row>45</row>
      <rowOff>19050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529050</colOff>
      <row>13</row>
      <rowOff>105189</rowOff>
    </from>
    <to>
      <col>17</col>
      <colOff>567358</colOff>
      <row>32</row>
      <rowOff>100829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13</col>
      <colOff>290512</colOff>
      <row>2</row>
      <rowOff>19050</rowOff>
    </from>
    <to>
      <col>22</col>
      <colOff>61912</colOff>
      <row>20</row>
      <rowOff>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13</col>
      <colOff>285750</colOff>
      <row>22</row>
      <rowOff>161925</rowOff>
    </from>
    <to>
      <col>22</col>
      <colOff>57150</colOff>
      <row>41</row>
      <rowOff>142875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133350</colOff>
      <row>15</row>
      <rowOff>80962</rowOff>
    </from>
    <to>
      <col>7</col>
      <colOff>485775</colOff>
      <row>30</row>
      <rowOff>109537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8</col>
      <colOff>381000</colOff>
      <row>15</row>
      <rowOff>66675</rowOff>
    </from>
    <to>
      <col>15</col>
      <colOff>581025</colOff>
      <row>30</row>
      <rowOff>95250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16</col>
      <colOff>552450</colOff>
      <row>15</row>
      <rowOff>57150</rowOff>
    </from>
    <to>
      <col>24</col>
      <colOff>276225</colOff>
      <row>30</row>
      <rowOff>85725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U:\Documenten\corda%20incubator\RvB%20LRM%20okt%2014\20141016%20Corda%20Incubator%20kapverhoging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https://d.docs.live.net/Users/mr/AppData/Local/Microsoft/Windows/INetCache/Content.Outlook/1PSRT23M/PL-CF%2020160906.xlsm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https://trlrm.sharepoint.com/Platformen/BackOffice/Modellen/Budget%202016%20Sept%20Mid%20Term%20modified%20mg.xlsm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https://d.docs.live.net/Users/Ives/Downloads/NIEUWE%20CASHFLOW%20%2020160601.xlsx" TargetMode="External" Id="rId1" /></Relationships>
</file>

<file path=xl/externalLinks/_rels/externalLink5.xml.rels><Relationships xmlns="http://schemas.openxmlformats.org/package/2006/relationships"><Relationship Type="http://schemas.microsoft.com/office/2006/relationships/xlExternalLinkPath/xlPathMissing" Target="Developing%20Store" TargetMode="External" Id="rId1" 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https://trlrm.sharepoint.com/Corda%20Incubator/Financile%20opvolging/20150815%20Q2%202015%20Corda%20Inc%20kwartaalrapportering%20bis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Blad1"/>
      <sheetName val="(input) Basisgegevens"/>
      <sheetName val="investeringsbehoefte"/>
      <sheetName val="Investeringsanal projectbasis"/>
      <sheetName val="Balans overzicht"/>
      <sheetName val="Resultaten overzicht"/>
      <sheetName val="CF"/>
      <sheetName val="(input) Verhuur m²"/>
      <sheetName val="(input) Verhuur €"/>
      <sheetName val="bezetting voorkeurscenario "/>
      <sheetName val="bezetting kleine verhuis"/>
      <sheetName val="bezetting blijven scenario "/>
      <sheetName val="opp"/>
      <sheetName val="uitrusting DC"/>
      <sheetName val="(input) Algemene Kosten"/>
      <sheetName val="werkingssubsidies"/>
      <sheetName val="Balansoverzicht MVA"/>
      <sheetName val="(input) Investeringen MVA"/>
      <sheetName val="(input) Afschrijvingen MVA"/>
      <sheetName val="(input) Subsidietabel MVA"/>
      <sheetName val="(input) Financieringen"/>
      <sheetName val="(input) Recht van Opstal"/>
      <sheetName val="Balansoverzicht gronden"/>
      <sheetName val="Kostenposten input grondaankoop"/>
      <sheetName val="(input) Grondaankopen € (1)"/>
      <sheetName val="(input) Grondaankopen m² (1)"/>
      <sheetName val="(input) Verkopen € (1)"/>
      <sheetName val="(input) Grondaankopen € (2)"/>
      <sheetName val="(input) Grondaankopen m² (2)"/>
      <sheetName val="(input) Verkopen € (2)"/>
      <sheetName val="(input) Grondaankopen € (3)"/>
      <sheetName val="(input) Grondaankopen m² (3)"/>
      <sheetName val="(input) Verkopen € (3)"/>
      <sheetName val="(input) Grondaankopen € (4)"/>
      <sheetName val="(input) Grondaankopen m² (4)"/>
      <sheetName val="(input) Verkopen € (4)"/>
      <sheetName val="(input) Grondaankopen € (5)"/>
      <sheetName val="(input) Grondaankopen m² (5)"/>
      <sheetName val="(input) Verkopen € (5)"/>
      <sheetName val="(input) Grondaankopen € (6)"/>
      <sheetName val="(input) Grondaankopen m² (6)"/>
      <sheetName val="(input) Verkopen € (6)"/>
      <sheetName val="(input) Grondaankopen € (7)"/>
      <sheetName val="(input) Grondaankopen m² (7)"/>
      <sheetName val="(input) Verkopen € (7)"/>
      <sheetName val="Waardering"/>
      <sheetName val="Waardering Visueel"/>
      <sheetName val="Projectie"/>
      <sheetName val="(input) Openingsbalans"/>
      <sheetName val="Balansoverzicht OPR"/>
      <sheetName val="(input) Afschrijvingen OPR"/>
    </sheetNames>
    <sheetDataSet>
      <sheetData sheetId="0" refreshError="1"/>
      <sheetData sheetId="1" refreshError="1">
        <row r="3">
          <cell r="B3">
            <v>2014</v>
          </cell>
        </row>
        <row r="4">
          <cell r="B4">
            <v>42004</v>
          </cell>
        </row>
        <row r="6">
          <cell r="B6">
            <v>1E-3</v>
          </cell>
        </row>
        <row r="8">
          <cell r="B8">
            <v>0.33989999999999998</v>
          </cell>
        </row>
        <row r="9">
          <cell r="B9">
            <v>0.02</v>
          </cell>
        </row>
        <row r="12">
          <cell r="B12">
            <v>0.21</v>
          </cell>
        </row>
        <row r="14">
          <cell r="B14">
            <v>1.4999999999999999E-2</v>
          </cell>
        </row>
        <row r="15">
          <cell r="B15">
            <v>1</v>
          </cell>
        </row>
        <row r="16">
          <cell r="B16">
            <v>0.02</v>
          </cell>
        </row>
        <row r="20">
          <cell r="B20">
            <v>3540</v>
          </cell>
        </row>
        <row r="24">
          <cell r="B24">
            <v>25</v>
          </cell>
        </row>
        <row r="28">
          <cell r="B28">
            <v>1140.8</v>
          </cell>
        </row>
        <row r="29">
          <cell r="B29">
            <v>1021.43</v>
          </cell>
        </row>
        <row r="30">
          <cell r="B30">
            <v>697.42</v>
          </cell>
        </row>
        <row r="31">
          <cell r="B31">
            <v>42</v>
          </cell>
        </row>
        <row r="32">
          <cell r="B32">
            <v>10</v>
          </cell>
        </row>
        <row r="34">
          <cell r="B34">
            <v>95</v>
          </cell>
        </row>
        <row r="35">
          <cell r="B35">
            <v>20</v>
          </cell>
        </row>
        <row r="54">
          <cell r="B54">
            <v>0</v>
          </cell>
        </row>
        <row r="56">
          <cell r="B56">
            <v>0</v>
          </cell>
        </row>
        <row r="57">
          <cell r="B57">
            <v>0.06</v>
          </cell>
        </row>
        <row r="58">
          <cell r="B58">
            <v>0.8</v>
          </cell>
        </row>
        <row r="59">
          <cell r="B59">
            <v>0</v>
          </cell>
        </row>
        <row r="61">
          <cell r="B61">
            <v>4.6404000000000001E-2</v>
          </cell>
        </row>
        <row r="62">
          <cell r="B62">
            <v>0.03</v>
          </cell>
        </row>
        <row r="64">
          <cell r="B64">
            <v>0.1</v>
          </cell>
        </row>
        <row r="65">
          <cell r="B65">
            <v>0.05</v>
          </cell>
        </row>
        <row r="66">
          <cell r="B66">
            <v>0.19999999999999996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P&amp;L"/>
      <sheetName val="CASHFLOW2"/>
      <sheetName val="CashFlow"/>
      <sheetName val="Profit &amp; Loss"/>
      <sheetName val="Aankoop"/>
      <sheetName val="Verkoop"/>
      <sheetName val="Onkosten"/>
      <sheetName val="KBC rek"/>
      <sheetName val="Dropboxen"/>
      <sheetName val="btw"/>
      <sheetName val="MP"/>
      <sheetName val="MP detail"/>
      <sheetName val="zoho"/>
      <sheetName val="Geplande Aankoop"/>
      <sheetName val="recurring kosten"/>
      <sheetName val="BackOffice"/>
      <sheetName val="BackOfficeHidden"/>
    </sheetNames>
    <sheetDataSet>
      <sheetData sheetId="0"/>
      <sheetData sheetId="1"/>
      <sheetData sheetId="2">
        <row r="1">
          <cell r="F1">
            <v>2016</v>
          </cell>
        </row>
      </sheetData>
      <sheetData sheetId="3"/>
      <sheetData sheetId="4"/>
      <sheetData sheetId="5"/>
      <sheetData sheetId="6"/>
      <sheetData sheetId="7"/>
      <sheetData sheetId="8">
        <row r="3">
          <cell r="A3" t="str">
            <v>jaar</v>
          </cell>
        </row>
        <row r="4">
          <cell r="A4" t="str">
            <v>3 maand</v>
          </cell>
        </row>
        <row r="5">
          <cell r="A5" t="str">
            <v>maand</v>
          </cell>
        </row>
        <row r="6">
          <cell r="A6" t="str">
            <v>15 dagen</v>
          </cell>
        </row>
        <row r="7">
          <cell r="A7" t="str">
            <v>1 maal</v>
          </cell>
        </row>
        <row r="8">
          <cell r="A8" t="str">
            <v>meermaals</v>
          </cell>
        </row>
        <row r="9">
          <cell r="A9" t="str">
            <v>ongekend</v>
          </cell>
        </row>
        <row r="11">
          <cell r="A11" t="str">
            <v>pdf</v>
          </cell>
        </row>
        <row r="12">
          <cell r="A12" t="str">
            <v>papier</v>
          </cell>
        </row>
        <row r="13">
          <cell r="A13" t="str">
            <v>inbox</v>
          </cell>
        </row>
        <row r="14">
          <cell r="A14" t="str">
            <v>bon</v>
          </cell>
        </row>
        <row r="15">
          <cell r="A15" t="str">
            <v>basware</v>
          </cell>
        </row>
        <row r="17">
          <cell r="A17" t="str">
            <v>arkite Nv</v>
          </cell>
        </row>
        <row r="18">
          <cell r="A18" t="str">
            <v>event</v>
          </cell>
        </row>
        <row r="19">
          <cell r="A19" t="str">
            <v>P41</v>
          </cell>
        </row>
        <row r="20">
          <cell r="A20" t="str">
            <v>HIM</v>
          </cell>
        </row>
        <row r="21">
          <cell r="A21" t="str">
            <v>klant</v>
          </cell>
        </row>
        <row r="22">
          <cell r="A22" t="str">
            <v>stock</v>
          </cell>
        </row>
        <row r="24">
          <cell r="A24" t="str">
            <v>KBC on-line</v>
          </cell>
        </row>
        <row r="25">
          <cell r="A25" t="str">
            <v>Domic</v>
          </cell>
        </row>
        <row r="26">
          <cell r="A26" t="str">
            <v>visa KRU 0258</v>
          </cell>
        </row>
        <row r="27">
          <cell r="A27" t="str">
            <v>visa LvdG 3102</v>
          </cell>
        </row>
        <row r="28">
          <cell r="A28" t="str">
            <v>visa IDS 8285</v>
          </cell>
        </row>
        <row r="29">
          <cell r="A29" t="str">
            <v>visa JSM 9513</v>
          </cell>
        </row>
        <row r="30">
          <cell r="A30" t="str">
            <v>onkosten</v>
          </cell>
        </row>
        <row r="31">
          <cell r="A31" t="str">
            <v>derden</v>
          </cell>
        </row>
        <row r="32">
          <cell r="A32" t="str">
            <v>recurring</v>
          </cell>
        </row>
        <row r="33">
          <cell r="A33" t="str">
            <v>bankkaart</v>
          </cell>
        </row>
        <row r="40">
          <cell r="A40" t="str">
            <v>bank</v>
          </cell>
        </row>
        <row r="41">
          <cell r="A41" t="str">
            <v>aankoop</v>
          </cell>
        </row>
        <row r="42">
          <cell r="A42" t="str">
            <v>verkoop</v>
          </cell>
        </row>
        <row r="43">
          <cell r="A43" t="str">
            <v>onkosten</v>
          </cell>
        </row>
        <row r="44">
          <cell r="A44" t="str">
            <v>funding</v>
          </cell>
        </row>
        <row r="45">
          <cell r="A45" t="str">
            <v>recurring</v>
          </cell>
        </row>
        <row r="55">
          <cell r="A55" t="str">
            <v>Personel</v>
          </cell>
        </row>
        <row r="56">
          <cell r="A56" t="str">
            <v>T&amp;L</v>
          </cell>
        </row>
        <row r="57">
          <cell r="A57" t="str">
            <v>Sales expenses</v>
          </cell>
        </row>
        <row r="58">
          <cell r="A58" t="str">
            <v>Services to Arkite</v>
          </cell>
        </row>
        <row r="59">
          <cell r="A59" t="str">
            <v>Building</v>
          </cell>
        </row>
        <row r="61">
          <cell r="A61" t="str">
            <v>Accent</v>
          </cell>
        </row>
        <row r="62">
          <cell r="A62" t="str">
            <v>Ackermans (autobanden)</v>
          </cell>
        </row>
        <row r="63">
          <cell r="A63" t="str">
            <v>Advokaat Hilde Meulders</v>
          </cell>
        </row>
        <row r="64">
          <cell r="A64" t="str">
            <v>Adyen Client Management Foundation,NL</v>
          </cell>
        </row>
        <row r="65">
          <cell r="A65" t="str">
            <v>Agentschap Vlaamse Belastingsdienst</v>
          </cell>
        </row>
        <row r="66">
          <cell r="A66" t="str">
            <v>Agile Innovative ltd</v>
          </cell>
        </row>
        <row r="67">
          <cell r="A67" t="str">
            <v>Agoria</v>
          </cell>
        </row>
        <row r="68">
          <cell r="A68" t="str">
            <v>Aldi</v>
          </cell>
        </row>
        <row r="69">
          <cell r="A69" t="str">
            <v>Allekabels NL</v>
          </cell>
        </row>
        <row r="70">
          <cell r="A70" t="str">
            <v>Amazon.com</v>
          </cell>
        </row>
        <row r="71">
          <cell r="A71" t="str">
            <v>Amplicon benelux</v>
          </cell>
        </row>
        <row r="72">
          <cell r="A72" t="str">
            <v>ARSPBE22 WKEPC 16103</v>
          </cell>
        </row>
        <row r="73">
          <cell r="A73" t="str">
            <v>AS Adventure</v>
          </cell>
        </row>
        <row r="74">
          <cell r="A74" t="str">
            <v>Autoverhuur Limburg</v>
          </cell>
        </row>
        <row r="75">
          <cell r="A75" t="str">
            <v>AQM</v>
          </cell>
        </row>
        <row r="76">
          <cell r="A76" t="str">
            <v>AVA NV papier</v>
          </cell>
        </row>
        <row r="77">
          <cell r="A77" t="str">
            <v>AVG</v>
          </cell>
        </row>
        <row r="78">
          <cell r="A78" t="str">
            <v>AWW</v>
          </cell>
        </row>
        <row r="79">
          <cell r="A79" t="str">
            <v>Belasting</v>
          </cell>
        </row>
        <row r="80">
          <cell r="A80" t="str">
            <v>Belfius autolease</v>
          </cell>
        </row>
        <row r="81">
          <cell r="A81" t="str">
            <v>Belgacom</v>
          </cell>
        </row>
        <row r="82">
          <cell r="A82" t="str">
            <v>Belgian Shell tankkaart</v>
          </cell>
        </row>
        <row r="83">
          <cell r="A83" t="str">
            <v>Belgian fuel card</v>
          </cell>
        </row>
        <row r="84">
          <cell r="A84" t="str">
            <v>BGEMC (more&amp;mere RE bvba</v>
          </cell>
        </row>
        <row r="85">
          <cell r="A85" t="str">
            <v>Bpost</v>
          </cell>
        </row>
        <row r="86">
          <cell r="A86" t="str">
            <v>Brico</v>
          </cell>
        </row>
        <row r="87">
          <cell r="A87" t="str">
            <v>Bol.com</v>
          </cell>
        </row>
        <row r="88">
          <cell r="A88" t="str">
            <v>Bruneau</v>
          </cell>
        </row>
        <row r="89">
          <cell r="A89" t="str">
            <v>Bureau Veritas ISO</v>
          </cell>
        </row>
        <row r="90">
          <cell r="A90" t="str">
            <v>Buffer USA</v>
          </cell>
        </row>
        <row r="91">
          <cell r="A91" t="str">
            <v>BVQI</v>
          </cell>
        </row>
        <row r="92">
          <cell r="A92" t="str">
            <v>C&amp;N</v>
          </cell>
        </row>
        <row r="93">
          <cell r="A93" t="str">
            <v>Camille</v>
          </cell>
        </row>
        <row r="94">
          <cell r="A94" t="str">
            <v>Carglass</v>
          </cell>
        </row>
        <row r="95">
          <cell r="A95" t="str">
            <v>Central point</v>
          </cell>
        </row>
        <row r="96">
          <cell r="A96" t="str">
            <v>CityCall</v>
          </cell>
        </row>
        <row r="97">
          <cell r="A97" t="str">
            <v>CLD distribution SA</v>
          </cell>
        </row>
        <row r="98">
          <cell r="A98" t="str">
            <v>C-mine</v>
          </cell>
        </row>
        <row r="99">
          <cell r="A99" t="str">
            <v>Codima</v>
          </cell>
        </row>
        <row r="100">
          <cell r="A100" t="str">
            <v>Conrad NL</v>
          </cell>
        </row>
        <row r="101">
          <cell r="A101" t="str">
            <v>ConTeyor</v>
          </cell>
        </row>
        <row r="102">
          <cell r="A102" t="str">
            <v>Coolblue</v>
          </cell>
        </row>
        <row r="103">
          <cell r="A103" t="str">
            <v>Creax</v>
          </cell>
        </row>
        <row r="104">
          <cell r="A104" t="str">
            <v>3D Solution</v>
          </cell>
        </row>
        <row r="105">
          <cell r="A105" t="str">
            <v>Deflem drukkerij-copycenter</v>
          </cell>
        </row>
        <row r="106">
          <cell r="A106" t="str">
            <v>Dexia bank</v>
          </cell>
        </row>
        <row r="107">
          <cell r="A107" t="str">
            <v>Dexia Lease</v>
          </cell>
        </row>
        <row r="108">
          <cell r="A108" t="str">
            <v>Dexia verzekeringen</v>
          </cell>
        </row>
        <row r="109">
          <cell r="A109" t="str">
            <v>D'Ieteren Lease</v>
          </cell>
        </row>
        <row r="110">
          <cell r="A110" t="str">
            <v>Ditronic</v>
          </cell>
        </row>
        <row r="111">
          <cell r="A111" t="str">
            <v>Dominique Delanghe ,Gemba</v>
          </cell>
        </row>
        <row r="112">
          <cell r="A112" t="str">
            <v>Drukkerij Lamine bvba</v>
          </cell>
        </row>
        <row r="113">
          <cell r="A113" t="str">
            <v>DVO de vlaamse ondernemer</v>
          </cell>
        </row>
        <row r="114">
          <cell r="A114" t="str">
            <v>DZCC</v>
          </cell>
        </row>
        <row r="115">
          <cell r="A115" t="str">
            <v>EI&amp;C BV (Nederland)</v>
          </cell>
        </row>
        <row r="116">
          <cell r="A116" t="str">
            <v>Edenred</v>
          </cell>
        </row>
        <row r="117">
          <cell r="A117" t="str">
            <v>Eleshop NL</v>
          </cell>
        </row>
        <row r="118">
          <cell r="A118" t="str">
            <v>Eni</v>
          </cell>
        </row>
        <row r="119">
          <cell r="A119" t="str">
            <v>ER-M bvba</v>
          </cell>
        </row>
        <row r="120">
          <cell r="A120" t="str">
            <v>Ettinger</v>
          </cell>
        </row>
        <row r="121">
          <cell r="A121" t="str">
            <v>Europcar</v>
          </cell>
        </row>
        <row r="122">
          <cell r="A122" t="str">
            <v>Fabory centres NV</v>
          </cell>
        </row>
        <row r="123">
          <cell r="A123" t="str">
            <v>Febiac (huis automobiel)</v>
          </cell>
        </row>
        <row r="124">
          <cell r="A124" t="str">
            <v>FedEx express</v>
          </cell>
        </row>
        <row r="125">
          <cell r="A125" t="str">
            <v>Filosofie NL</v>
          </cell>
        </row>
        <row r="126">
          <cell r="A126" t="str">
            <v>Flanders Make vzw</v>
          </cell>
        </row>
        <row r="127">
          <cell r="A127" t="str">
            <v>Flanders Investment&amp;Trade</v>
          </cell>
        </row>
        <row r="128">
          <cell r="A128" t="str">
            <v>Fnac</v>
          </cell>
        </row>
        <row r="129">
          <cell r="A129" t="str">
            <v>FOJ Belgisch staatsblad</v>
          </cell>
        </row>
        <row r="130">
          <cell r="A130" t="str">
            <v>Follens-De Saeger</v>
          </cell>
        </row>
        <row r="131">
          <cell r="A131" t="str">
            <v>Fortiga IT solutions (BLA)</v>
          </cell>
        </row>
        <row r="132">
          <cell r="A132" t="str">
            <v>FotoJans.nl</v>
          </cell>
        </row>
        <row r="133">
          <cell r="A133" t="str">
            <v>Game Mania</v>
          </cell>
        </row>
        <row r="134">
          <cell r="A134" t="str">
            <v>Garage Vanhoe &amp; Zonen bvba</v>
          </cell>
        </row>
        <row r="135">
          <cell r="A135" t="str">
            <v>Gemini bvba</v>
          </cell>
        </row>
        <row r="136">
          <cell r="A136" t="str">
            <v>Gerstacker NL</v>
          </cell>
        </row>
        <row r="137">
          <cell r="A137" t="str">
            <v>Gotron</v>
          </cell>
        </row>
        <row r="138">
          <cell r="A138" t="str">
            <v>Grensland autogroep bvba</v>
          </cell>
        </row>
        <row r="139">
          <cell r="A139" t="str">
            <v>Greetz</v>
          </cell>
        </row>
        <row r="140">
          <cell r="A140" t="str">
            <v>Griffo / imschoot</v>
          </cell>
        </row>
        <row r="141">
          <cell r="A141" t="str">
            <v>Habitat</v>
          </cell>
        </row>
        <row r="142">
          <cell r="A142" t="str">
            <v>Hotel</v>
          </cell>
        </row>
        <row r="143">
          <cell r="A143" t="str">
            <v>Huis van automobiel</v>
          </cell>
        </row>
        <row r="144">
          <cell r="A144" t="str">
            <v>Ideation Internation</v>
          </cell>
        </row>
        <row r="145">
          <cell r="A145" t="str">
            <v>Ifori</v>
          </cell>
        </row>
        <row r="146">
          <cell r="A146" t="str">
            <v>IKEA</v>
          </cell>
        </row>
        <row r="147">
          <cell r="A147" t="str">
            <v>Inktweb.be</v>
          </cell>
        </row>
        <row r="148">
          <cell r="A148" t="str">
            <v>Interhost solutions</v>
          </cell>
        </row>
        <row r="149">
          <cell r="A149" t="str">
            <v>IP Hills</v>
          </cell>
        </row>
        <row r="150">
          <cell r="A150" t="str">
            <v>Jan Lagast bvba</v>
          </cell>
        </row>
        <row r="151">
          <cell r="A151" t="str">
            <v>Jaquar</v>
          </cell>
        </row>
        <row r="152">
          <cell r="A152" t="str">
            <v>Jarefin</v>
          </cell>
        </row>
        <row r="153">
          <cell r="A153" t="str">
            <v>Jarefin NBVB</v>
          </cell>
        </row>
        <row r="154">
          <cell r="A154" t="str">
            <v>Joli bvba</v>
          </cell>
        </row>
        <row r="155">
          <cell r="A155" t="str">
            <v>Jos Corstjens</v>
          </cell>
        </row>
        <row r="156">
          <cell r="A156" t="str">
            <v>Kaasmeester Van Tricht Michel</v>
          </cell>
        </row>
        <row r="157">
          <cell r="A157" t="str">
            <v>Karel de Grote Hogeschool</v>
          </cell>
        </row>
        <row r="158">
          <cell r="A158" t="str">
            <v>KBC</v>
          </cell>
        </row>
        <row r="159">
          <cell r="A159" t="str">
            <v>KBC Autolease</v>
          </cell>
        </row>
        <row r="160">
          <cell r="A160" t="str">
            <v>KBC huur kantoor</v>
          </cell>
        </row>
        <row r="161">
          <cell r="A161" t="str">
            <v>KBC SD-Worx</v>
          </cell>
        </row>
        <row r="162">
          <cell r="A162" t="str">
            <v>KBC Verzekeringen</v>
          </cell>
        </row>
        <row r="163">
          <cell r="A163" t="str">
            <v>KBC Verzekeringen auto</v>
          </cell>
        </row>
        <row r="164">
          <cell r="A164" t="str">
            <v>Koning&amp;Hartman</v>
          </cell>
        </row>
        <row r="165">
          <cell r="A165" t="str">
            <v>Kromhout electronics NL</v>
          </cell>
        </row>
        <row r="166">
          <cell r="A166" t="str">
            <v>Kim Rutten</v>
          </cell>
        </row>
        <row r="167">
          <cell r="A167" t="str">
            <v>Kupmet (Hungary)</v>
          </cell>
        </row>
        <row r="168">
          <cell r="A168" t="str">
            <v>KVIV</v>
          </cell>
        </row>
        <row r="169">
          <cell r="A169" t="str">
            <v>Kwadraat</v>
          </cell>
        </row>
        <row r="170">
          <cell r="A170" t="str">
            <v>Lamine (drukker)</v>
          </cell>
        </row>
        <row r="171">
          <cell r="A171" t="str">
            <v>Linkedin</v>
          </cell>
        </row>
        <row r="172">
          <cell r="A172" t="str">
            <v>Luc Dierickx</v>
          </cell>
        </row>
        <row r="173">
          <cell r="A173" t="str">
            <v>Management Solutions 5P bvba</v>
          </cell>
        </row>
        <row r="174">
          <cell r="A174" t="str">
            <v>Manutan</v>
          </cell>
        </row>
        <row r="175">
          <cell r="A175" t="str">
            <v>Media Markt</v>
          </cell>
        </row>
        <row r="176">
          <cell r="A176" t="str">
            <v>Medi-concept</v>
          </cell>
        </row>
        <row r="177">
          <cell r="A177" t="str">
            <v>Mensura</v>
          </cell>
        </row>
        <row r="178">
          <cell r="A178" t="str">
            <v>Mentrix</v>
          </cell>
        </row>
        <row r="179">
          <cell r="A179" t="str">
            <v>Microsoft Lux</v>
          </cell>
        </row>
        <row r="180">
          <cell r="A180" t="str">
            <v>Mimios (AB supplies)</v>
          </cell>
        </row>
        <row r="181">
          <cell r="A181" t="str">
            <v>Mouser electronics</v>
          </cell>
        </row>
        <row r="182">
          <cell r="A182" t="str">
            <v>MTM Association Benelux</v>
          </cell>
        </row>
        <row r="183">
          <cell r="A183" t="str">
            <v>Multy copy</v>
          </cell>
        </row>
        <row r="184">
          <cell r="A184" t="str">
            <v>MyXLshop Mollie NL</v>
          </cell>
        </row>
        <row r="185">
          <cell r="A185" t="str">
            <v>Norsu bvba (PBE)</v>
          </cell>
        </row>
        <row r="186">
          <cell r="A186" t="str">
            <v>Notaris Ludo Gielen</v>
          </cell>
        </row>
        <row r="187">
          <cell r="A187" t="str">
            <v>Nuon</v>
          </cell>
        </row>
        <row r="188">
          <cell r="A188" t="str">
            <v>OffiCenter</v>
          </cell>
        </row>
        <row r="189">
          <cell r="A189" t="str">
            <v>Office Consulting</v>
          </cell>
        </row>
        <row r="190">
          <cell r="A190" t="str">
            <v>Omnibouw bvba</v>
          </cell>
        </row>
        <row r="191">
          <cell r="A191" t="str">
            <v>One.com</v>
          </cell>
        </row>
        <row r="192">
          <cell r="A192" t="str">
            <v>Open Grafix</v>
          </cell>
        </row>
        <row r="193">
          <cell r="A193" t="str">
            <v>P0</v>
          </cell>
        </row>
        <row r="194">
          <cell r="A194" t="str">
            <v>Particle</v>
          </cell>
        </row>
        <row r="195">
          <cell r="A195" t="str">
            <v>PD Consult (Peter Druyts)</v>
          </cell>
        </row>
        <row r="196">
          <cell r="A196" t="str">
            <v>Perry De Loor</v>
          </cell>
        </row>
        <row r="197">
          <cell r="A197" t="str">
            <v>PlastiService group</v>
          </cell>
        </row>
        <row r="198">
          <cell r="A198" t="str">
            <v>Plot-It</v>
          </cell>
        </row>
        <row r="199">
          <cell r="A199" t="str">
            <v>Provincie Antwerpen</v>
          </cell>
        </row>
        <row r="200">
          <cell r="A200" t="str">
            <v>Proximus Internet</v>
          </cell>
        </row>
        <row r="201">
          <cell r="A201" t="str">
            <v>Proximus GSM</v>
          </cell>
        </row>
        <row r="202">
          <cell r="A202" t="str">
            <v>Rajapack</v>
          </cell>
        </row>
        <row r="203">
          <cell r="A203" t="str">
            <v>RESA vastgoed</v>
          </cell>
        </row>
        <row r="204">
          <cell r="A204" t="str">
            <v>Ritmo Art</v>
          </cell>
        </row>
        <row r="205">
          <cell r="A205" t="str">
            <v>Sabadille systems limited</v>
          </cell>
        </row>
        <row r="206">
          <cell r="A206" t="str">
            <v>Sandity drukkerij</v>
          </cell>
        </row>
        <row r="207">
          <cell r="A207" t="str">
            <v>SB Commerce</v>
          </cell>
        </row>
        <row r="208">
          <cell r="A208" t="str">
            <v>SD Worx</v>
          </cell>
        </row>
        <row r="209">
          <cell r="A209" t="str">
            <v>Sealevel</v>
          </cell>
        </row>
        <row r="210">
          <cell r="A210" t="str">
            <v>Selexion</v>
          </cell>
        </row>
        <row r="211">
          <cell r="A211" t="str">
            <v xml:space="preserve">Shell Belgian </v>
          </cell>
        </row>
        <row r="212">
          <cell r="A212" t="str">
            <v>Showtex</v>
          </cell>
        </row>
        <row r="213">
          <cell r="A213" t="str">
            <v>Shutterstock</v>
          </cell>
        </row>
        <row r="214">
          <cell r="A214" t="str">
            <v>Softkinetic International NV</v>
          </cell>
        </row>
        <row r="215">
          <cell r="A215" t="str">
            <v>Standaard Boekhandel</v>
          </cell>
        </row>
        <row r="216">
          <cell r="A216" t="str">
            <v>SVMB</v>
          </cell>
        </row>
        <row r="217">
          <cell r="A217" t="str">
            <v>Tapeconcurent NL</v>
          </cell>
        </row>
        <row r="218">
          <cell r="A218" t="str">
            <v>Teamviewer</v>
          </cell>
        </row>
        <row r="219">
          <cell r="A219" t="str">
            <v>Telenet</v>
          </cell>
        </row>
        <row r="220">
          <cell r="A220" t="str">
            <v>Telerex</v>
          </cell>
        </row>
        <row r="221">
          <cell r="A221" t="str">
            <v>Thomann Duitsland</v>
          </cell>
        </row>
        <row r="222">
          <cell r="A222" t="str">
            <v>Trilogiq</v>
          </cell>
        </row>
        <row r="223">
          <cell r="A223" t="str">
            <v>Total Belgium</v>
          </cell>
        </row>
        <row r="224">
          <cell r="A224" t="str">
            <v>Universiteit Antwerpen</v>
          </cell>
        </row>
        <row r="225">
          <cell r="A225" t="str">
            <v>Van Helden relatiegeschenken</v>
          </cell>
        </row>
        <row r="226">
          <cell r="A226" t="str">
            <v>Vanerum projector</v>
          </cell>
        </row>
        <row r="227">
          <cell r="A227" t="str">
            <v>VEV</v>
          </cell>
        </row>
        <row r="228">
          <cell r="A228" t="str">
            <v>Vincotte</v>
          </cell>
        </row>
        <row r="229">
          <cell r="A229" t="str">
            <v>VIK ie-net</v>
          </cell>
        </row>
        <row r="230">
          <cell r="A230" t="str">
            <v>Vikingco NV</v>
          </cell>
        </row>
        <row r="231">
          <cell r="A231" t="str">
            <v>Vlaams Centrum voor Kwaliteitszorg</v>
          </cell>
        </row>
        <row r="232">
          <cell r="A232" t="str">
            <v>Verkeersbelasting</v>
          </cell>
        </row>
        <row r="233">
          <cell r="A233" t="str">
            <v>Vranckaert gebr</v>
          </cell>
        </row>
        <row r="234">
          <cell r="A234" t="str">
            <v>Voicebooking NL</v>
          </cell>
        </row>
        <row r="235">
          <cell r="A235" t="str">
            <v>VOKA</v>
          </cell>
        </row>
        <row r="236">
          <cell r="A236" t="str">
            <v>VOM</v>
          </cell>
        </row>
        <row r="237">
          <cell r="A237" t="str">
            <v>Wkepc</v>
          </cell>
        </row>
        <row r="238">
          <cell r="A238" t="str">
            <v>WTCM</v>
          </cell>
        </row>
        <row r="239">
          <cell r="A239" t="str">
            <v>Xerius</v>
          </cell>
        </row>
        <row r="240">
          <cell r="A240" t="str">
            <v>Yools</v>
          </cell>
        </row>
        <row r="241">
          <cell r="A241" t="str">
            <v xml:space="preserve">Y&amp;N Claessens </v>
          </cell>
        </row>
        <row r="242">
          <cell r="A242" t="str">
            <v>Zinid</v>
          </cell>
        </row>
        <row r="243">
          <cell r="A243" t="str">
            <v xml:space="preserve">Zinito </v>
          </cell>
        </row>
        <row r="244">
          <cell r="A244" t="str">
            <v>ZOHO</v>
          </cell>
        </row>
      </sheetData>
      <sheetData sheetId="9"/>
      <sheetData sheetId="10"/>
      <sheetData sheetId="11"/>
      <sheetData sheetId="12"/>
      <sheetData sheetId="13"/>
      <sheetData sheetId="14"/>
      <sheetData sheetId="15">
        <row r="2">
          <cell r="A2" t="str">
            <v>km eigen wagen</v>
          </cell>
          <cell r="R2" t="str">
            <v>SALES</v>
          </cell>
          <cell r="Z2" t="str">
            <v>Ives De Saeger</v>
          </cell>
          <cell r="AA2" t="str">
            <v>IDS</v>
          </cell>
          <cell r="AF2" t="str">
            <v>P41</v>
          </cell>
          <cell r="AI2" t="str">
            <v>SALES</v>
          </cell>
          <cell r="AK2" t="str">
            <v>T&amp;L</v>
          </cell>
        </row>
        <row r="3">
          <cell r="A3" t="str">
            <v>tanken huurwagen</v>
          </cell>
          <cell r="R3" t="str">
            <v>R&amp;D</v>
          </cell>
          <cell r="Z3" t="str">
            <v>Johan Smeyers</v>
          </cell>
          <cell r="AA3" t="str">
            <v>JSM</v>
          </cell>
          <cell r="AF3" t="str">
            <v>Arkite</v>
          </cell>
          <cell r="AI3" t="str">
            <v>R&amp;D</v>
          </cell>
          <cell r="AK3" t="str">
            <v>Sales expenses</v>
          </cell>
        </row>
        <row r="4">
          <cell r="A4" t="str">
            <v>km eigen wagen</v>
          </cell>
          <cell r="R4" t="str">
            <v>MAR</v>
          </cell>
          <cell r="Z4" t="str">
            <v>Kim Rutten</v>
          </cell>
          <cell r="AA4" t="str">
            <v>KRU</v>
          </cell>
          <cell r="AF4" t="str">
            <v>HIM</v>
          </cell>
          <cell r="AI4" t="str">
            <v>MAR</v>
          </cell>
          <cell r="AK4" t="str">
            <v>Services to Arkite</v>
          </cell>
        </row>
        <row r="5">
          <cell r="A5" t="str">
            <v>visa</v>
          </cell>
          <cell r="R5" t="str">
            <v>GA</v>
          </cell>
          <cell r="Z5" t="str">
            <v>Linda van de Graaf</v>
          </cell>
          <cell r="AA5" t="str">
            <v>LVDG</v>
          </cell>
          <cell r="AF5">
            <v>0</v>
          </cell>
          <cell r="AI5" t="str">
            <v>GA</v>
          </cell>
          <cell r="AK5" t="str">
            <v>Building</v>
          </cell>
        </row>
        <row r="6">
          <cell r="A6" t="str">
            <v>niet gedefinieerd</v>
          </cell>
          <cell r="R6">
            <v>0</v>
          </cell>
          <cell r="Z6" t="str">
            <v>Paul Bertels</v>
          </cell>
          <cell r="AA6" t="str">
            <v>PBE</v>
          </cell>
          <cell r="AF6">
            <v>0</v>
          </cell>
          <cell r="AI6" t="str">
            <v>PERSO</v>
          </cell>
          <cell r="AK6" t="str">
            <v>Personel</v>
          </cell>
        </row>
        <row r="7">
          <cell r="A7">
            <v>0</v>
          </cell>
          <cell r="R7">
            <v>0</v>
          </cell>
          <cell r="Z7" t="str">
            <v>Bart Lamberigts</v>
          </cell>
          <cell r="AA7" t="str">
            <v>BLA</v>
          </cell>
          <cell r="AI7" t="str">
            <v>MIX</v>
          </cell>
          <cell r="AK7" t="str">
            <v>//////////////</v>
          </cell>
        </row>
        <row r="8">
          <cell r="A8">
            <v>0</v>
          </cell>
          <cell r="R8">
            <v>0</v>
          </cell>
          <cell r="Z8" t="str">
            <v>Senne Vanoppen</v>
          </cell>
          <cell r="AA8" t="str">
            <v>SVA</v>
          </cell>
          <cell r="AI8">
            <v>0</v>
          </cell>
          <cell r="AK8" t="str">
            <v>Materiaal HIM</v>
          </cell>
        </row>
        <row r="9">
          <cell r="A9">
            <v>0</v>
          </cell>
          <cell r="R9">
            <v>0</v>
          </cell>
          <cell r="Z9" t="str">
            <v>Bart Suelze</v>
          </cell>
          <cell r="AA9" t="str">
            <v>BSU</v>
          </cell>
          <cell r="AI9" t="str">
            <v>Fee Kader</v>
          </cell>
          <cell r="AK9" t="str">
            <v>Fee Kader</v>
          </cell>
        </row>
        <row r="10">
          <cell r="A10">
            <v>0</v>
          </cell>
          <cell r="R10">
            <v>0</v>
          </cell>
          <cell r="Z10" t="str">
            <v>Senior Software Engineer</v>
          </cell>
          <cell r="AA10">
            <v>0</v>
          </cell>
          <cell r="AI10">
            <v>0</v>
          </cell>
          <cell r="AK10">
            <v>0</v>
          </cell>
        </row>
        <row r="11">
          <cell r="A11">
            <v>0</v>
          </cell>
          <cell r="R11">
            <v>0</v>
          </cell>
          <cell r="Z11" t="str">
            <v>Senior Software Engineer</v>
          </cell>
          <cell r="AA11">
            <v>0</v>
          </cell>
          <cell r="AI11">
            <v>0</v>
          </cell>
          <cell r="AK11">
            <v>0</v>
          </cell>
        </row>
        <row r="12">
          <cell r="A12">
            <v>0</v>
          </cell>
          <cell r="Z12" t="str">
            <v>Software Engineer - Implementatie</v>
          </cell>
          <cell r="AA12">
            <v>0</v>
          </cell>
        </row>
        <row r="13">
          <cell r="A13">
            <v>0</v>
          </cell>
          <cell r="Z13" t="str">
            <v>Software Engineer - R&amp;D</v>
          </cell>
          <cell r="AA13">
            <v>0</v>
          </cell>
        </row>
        <row r="14">
          <cell r="A14">
            <v>0</v>
          </cell>
          <cell r="Z14" t="str">
            <v>Software Engineer</v>
          </cell>
          <cell r="AA14">
            <v>0</v>
          </cell>
        </row>
        <row r="15">
          <cell r="A15">
            <v>0</v>
          </cell>
          <cell r="Z15" t="str">
            <v>Sales Engineer</v>
          </cell>
          <cell r="AA15">
            <v>0</v>
          </cell>
        </row>
        <row r="16">
          <cell r="A16">
            <v>0</v>
          </cell>
          <cell r="Z16" t="str">
            <v>Sales Engineer</v>
          </cell>
          <cell r="AA16">
            <v>0</v>
          </cell>
        </row>
        <row r="17">
          <cell r="A17">
            <v>0</v>
          </cell>
          <cell r="Z17" t="str">
            <v>Sales Engineer</v>
          </cell>
          <cell r="AA17">
            <v>0</v>
          </cell>
        </row>
        <row r="18">
          <cell r="A18">
            <v>0</v>
          </cell>
          <cell r="Z18" t="str">
            <v>Sales Engineer</v>
          </cell>
          <cell r="AA18">
            <v>0</v>
          </cell>
        </row>
        <row r="19">
          <cell r="A19">
            <v>0</v>
          </cell>
          <cell r="Z19" t="str">
            <v>Support Engineer</v>
          </cell>
          <cell r="AA19">
            <v>0</v>
          </cell>
        </row>
        <row r="20">
          <cell r="A20">
            <v>0</v>
          </cell>
          <cell r="Z20" t="str">
            <v>Sales Engineer</v>
          </cell>
          <cell r="AA20">
            <v>0</v>
          </cell>
        </row>
        <row r="21">
          <cell r="A21">
            <v>0</v>
          </cell>
          <cell r="Z21" t="str">
            <v>Support Engineer</v>
          </cell>
          <cell r="AA21">
            <v>0</v>
          </cell>
        </row>
      </sheetData>
      <sheetData sheetId="16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Investments"/>
      <sheetName val="P&amp;L-BS-CF"/>
      <sheetName val="BP2016"/>
      <sheetName val="Projects"/>
      <sheetName val="Costs"/>
      <sheetName val="dec2015"/>
      <sheetName val="jan2016"/>
      <sheetName val="feb2016"/>
      <sheetName val="mar2016"/>
      <sheetName val="apr2016"/>
      <sheetName val="may2016"/>
      <sheetName val="jun2016"/>
      <sheetName val="jul2016"/>
      <sheetName val="aug2016"/>
      <sheetName val="sep2016"/>
      <sheetName val="oct2016"/>
      <sheetName val="nov2016"/>
      <sheetName val="dec2016"/>
      <sheetName val="YtDeval"/>
    </sheetNames>
    <sheetDataSet>
      <sheetData sheetId="0"/>
      <sheetData sheetId="1"/>
      <sheetData sheetId="2"/>
      <sheetData sheetId="3"/>
      <sheetData sheetId="4">
        <row r="32">
          <cell r="B32">
            <v>0.03</v>
          </cell>
        </row>
        <row r="33">
          <cell r="B33">
            <v>1</v>
          </cell>
        </row>
        <row r="34">
          <cell r="B34">
            <v>2</v>
          </cell>
        </row>
        <row r="35">
          <cell r="B35">
            <v>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BuPlan Akte"/>
      <sheetName val="klassen"/>
      <sheetName val="P&amp;L"/>
      <sheetName val="CASHFLOW"/>
      <sheetName val="MP"/>
      <sheetName val="Uitgaande facturen"/>
      <sheetName val="Voorspelde Verkoop"/>
      <sheetName val="Inkomende facturen"/>
      <sheetName val="KBC"/>
      <sheetName val="Geplande aankoop"/>
      <sheetName val="Onkosten"/>
      <sheetName val="Dropbox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A3" t="str">
            <v>jaar</v>
          </cell>
        </row>
        <row r="4">
          <cell r="A4" t="str">
            <v>3 maand</v>
          </cell>
        </row>
        <row r="5">
          <cell r="A5" t="str">
            <v>maand</v>
          </cell>
        </row>
        <row r="6">
          <cell r="A6" t="str">
            <v>15 dagen</v>
          </cell>
        </row>
        <row r="7">
          <cell r="A7" t="str">
            <v>1 maal</v>
          </cell>
        </row>
        <row r="8">
          <cell r="A8" t="str">
            <v>meermaals</v>
          </cell>
        </row>
        <row r="9">
          <cell r="A9" t="str">
            <v>ongekend</v>
          </cell>
        </row>
        <row r="24">
          <cell r="A24" t="str">
            <v>KBC on-line</v>
          </cell>
        </row>
        <row r="25">
          <cell r="A25" t="str">
            <v>Domic</v>
          </cell>
        </row>
        <row r="26">
          <cell r="A26" t="str">
            <v>visa KRU 0258</v>
          </cell>
        </row>
        <row r="27">
          <cell r="A27" t="str">
            <v>visa LvdG 3102</v>
          </cell>
        </row>
        <row r="28">
          <cell r="A28" t="str">
            <v>visa IDS 8285</v>
          </cell>
        </row>
        <row r="29">
          <cell r="A29" t="str">
            <v>visa JSM 9513</v>
          </cell>
        </row>
        <row r="30">
          <cell r="A30" t="str">
            <v>onkosten</v>
          </cell>
        </row>
        <row r="31">
          <cell r="A31" t="str">
            <v>derden</v>
          </cell>
        </row>
        <row r="32">
          <cell r="A32" t="str">
            <v>recurring</v>
          </cell>
        </row>
        <row r="33">
          <cell r="A33" t="str">
            <v>bankkaart</v>
          </cell>
        </row>
        <row r="53">
          <cell r="A53" t="str">
            <v>Personel</v>
          </cell>
        </row>
        <row r="54">
          <cell r="A54" t="str">
            <v>T&amp;L</v>
          </cell>
        </row>
        <row r="55">
          <cell r="A55" t="str">
            <v>Sales expenses</v>
          </cell>
        </row>
        <row r="56">
          <cell r="A56" t="str">
            <v>Services to Arkite</v>
          </cell>
        </row>
        <row r="57">
          <cell r="A57" t="str">
            <v>Building</v>
          </cell>
        </row>
        <row r="59">
          <cell r="A59" t="str">
            <v>Accent</v>
          </cell>
        </row>
        <row r="60">
          <cell r="A60" t="str">
            <v>Ackermans (autobanden)</v>
          </cell>
        </row>
        <row r="61">
          <cell r="A61" t="str">
            <v>Advokaat Hilde Meulders</v>
          </cell>
        </row>
        <row r="62">
          <cell r="A62" t="str">
            <v>Adyen Client Management Foundation,NL</v>
          </cell>
        </row>
        <row r="63">
          <cell r="A63" t="str">
            <v>Agentschap Vlaamse Belastingsdienst</v>
          </cell>
        </row>
        <row r="64">
          <cell r="A64" t="str">
            <v>Agile Innovative ltd</v>
          </cell>
        </row>
        <row r="65">
          <cell r="A65" t="str">
            <v>Agoria</v>
          </cell>
        </row>
        <row r="66">
          <cell r="A66" t="str">
            <v>Allekabels</v>
          </cell>
        </row>
        <row r="67">
          <cell r="A67" t="str">
            <v>Amazon.com</v>
          </cell>
        </row>
        <row r="68">
          <cell r="A68" t="str">
            <v>Amplicon benelux</v>
          </cell>
        </row>
        <row r="69">
          <cell r="A69" t="str">
            <v>ARSPBE22 WKEPC 16103</v>
          </cell>
        </row>
        <row r="70">
          <cell r="A70" t="str">
            <v>Autoverhuur Limburg</v>
          </cell>
        </row>
        <row r="71">
          <cell r="A71" t="str">
            <v>AQM</v>
          </cell>
        </row>
        <row r="72">
          <cell r="A72" t="str">
            <v>AVA NV papier</v>
          </cell>
        </row>
        <row r="73">
          <cell r="A73" t="str">
            <v>AWW</v>
          </cell>
        </row>
        <row r="74">
          <cell r="A74" t="str">
            <v>Belasting</v>
          </cell>
        </row>
        <row r="75">
          <cell r="A75" t="str">
            <v>Belgacom</v>
          </cell>
        </row>
        <row r="76">
          <cell r="A76" t="str">
            <v>BGEMC (more&amp;mere RE bvba</v>
          </cell>
        </row>
        <row r="77">
          <cell r="A77" t="str">
            <v>Bpost</v>
          </cell>
        </row>
        <row r="78">
          <cell r="A78" t="str">
            <v>Brico</v>
          </cell>
        </row>
        <row r="79">
          <cell r="A79" t="str">
            <v>Bol.com</v>
          </cell>
        </row>
        <row r="80">
          <cell r="A80" t="str">
            <v>Bruneau</v>
          </cell>
        </row>
        <row r="81">
          <cell r="A81" t="str">
            <v>BVQI</v>
          </cell>
        </row>
        <row r="82">
          <cell r="A82" t="str">
            <v>C&amp;N</v>
          </cell>
        </row>
        <row r="83">
          <cell r="A83" t="str">
            <v>Camille</v>
          </cell>
        </row>
        <row r="84">
          <cell r="A84" t="str">
            <v>Carglass</v>
          </cell>
        </row>
        <row r="85">
          <cell r="A85" t="str">
            <v>Central point</v>
          </cell>
        </row>
        <row r="86">
          <cell r="A86" t="str">
            <v>CityCall</v>
          </cell>
        </row>
        <row r="87">
          <cell r="A87" t="str">
            <v>CLD distribution SA</v>
          </cell>
        </row>
        <row r="88">
          <cell r="A88" t="str">
            <v>C-mine</v>
          </cell>
        </row>
        <row r="89">
          <cell r="A89" t="str">
            <v>Codima</v>
          </cell>
        </row>
        <row r="90">
          <cell r="A90" t="str">
            <v>Conrad</v>
          </cell>
        </row>
        <row r="91">
          <cell r="A91" t="str">
            <v>ConTeyor</v>
          </cell>
        </row>
        <row r="92">
          <cell r="A92" t="str">
            <v>Coolblue</v>
          </cell>
        </row>
        <row r="93">
          <cell r="A93" t="str">
            <v>Creax</v>
          </cell>
        </row>
        <row r="94">
          <cell r="A94" t="str">
            <v>3D Solution</v>
          </cell>
        </row>
        <row r="95">
          <cell r="A95" t="str">
            <v>Deflem drukkerij-copycenter</v>
          </cell>
        </row>
        <row r="96">
          <cell r="A96" t="str">
            <v>Dexia bank</v>
          </cell>
        </row>
        <row r="97">
          <cell r="A97" t="str">
            <v>Dexia Lease</v>
          </cell>
        </row>
        <row r="98">
          <cell r="A98" t="str">
            <v>Dexia verzekeringen</v>
          </cell>
        </row>
        <row r="99">
          <cell r="A99" t="str">
            <v>D'Ieteren Lease</v>
          </cell>
        </row>
        <row r="100">
          <cell r="A100" t="str">
            <v>Ditronic</v>
          </cell>
        </row>
        <row r="101">
          <cell r="A101" t="str">
            <v>Dominique Delanghe ,Gemba</v>
          </cell>
        </row>
        <row r="102">
          <cell r="A102" t="str">
            <v>Drukkerij Lamine bvba</v>
          </cell>
        </row>
        <row r="103">
          <cell r="A103" t="str">
            <v>DVO de vlaamse ondernemer</v>
          </cell>
        </row>
        <row r="104">
          <cell r="A104" t="str">
            <v>DZCC</v>
          </cell>
        </row>
        <row r="105">
          <cell r="A105" t="str">
            <v>EI&amp;C BV (Nederland)</v>
          </cell>
        </row>
        <row r="106">
          <cell r="A106" t="str">
            <v>Edenred</v>
          </cell>
        </row>
        <row r="107">
          <cell r="A107" t="str">
            <v>Eni</v>
          </cell>
        </row>
        <row r="108">
          <cell r="A108" t="str">
            <v>ER-M bvba</v>
          </cell>
        </row>
        <row r="109">
          <cell r="A109" t="str">
            <v>Ettinger</v>
          </cell>
        </row>
        <row r="110">
          <cell r="A110" t="str">
            <v>Europcar</v>
          </cell>
        </row>
        <row r="111">
          <cell r="A111" t="str">
            <v>Fabory centres NV</v>
          </cell>
        </row>
        <row r="112">
          <cell r="A112" t="str">
            <v>FedEx express</v>
          </cell>
        </row>
        <row r="113">
          <cell r="A113" t="str">
            <v>Flanders Make vzw</v>
          </cell>
        </row>
        <row r="114">
          <cell r="A114" t="str">
            <v>Fnac</v>
          </cell>
        </row>
        <row r="115">
          <cell r="A115" t="str">
            <v>FOJ Belgisch staatsblad</v>
          </cell>
        </row>
        <row r="116">
          <cell r="A116" t="str">
            <v>Follens-De Saeger</v>
          </cell>
        </row>
        <row r="117">
          <cell r="A117" t="str">
            <v>Fortiga IT solutions (BLA)</v>
          </cell>
        </row>
        <row r="118">
          <cell r="A118" t="str">
            <v>FotoJans.nl</v>
          </cell>
        </row>
        <row r="119">
          <cell r="A119" t="str">
            <v>Game Mania</v>
          </cell>
        </row>
        <row r="120">
          <cell r="A120" t="str">
            <v>Garage Vanhoe &amp; Zonen bvba</v>
          </cell>
        </row>
        <row r="121">
          <cell r="A121" t="str">
            <v>Gemini bvba</v>
          </cell>
        </row>
        <row r="122">
          <cell r="A122" t="str">
            <v>Gerstacker NL</v>
          </cell>
        </row>
        <row r="123">
          <cell r="A123" t="str">
            <v>Gotron</v>
          </cell>
        </row>
        <row r="124">
          <cell r="A124" t="str">
            <v>Grensland autogroep bvba</v>
          </cell>
        </row>
        <row r="125">
          <cell r="A125" t="str">
            <v>Griffo / imschoot</v>
          </cell>
        </row>
        <row r="126">
          <cell r="A126" t="str">
            <v>Hotel</v>
          </cell>
        </row>
        <row r="127">
          <cell r="A127" t="str">
            <v>Huis van automobiel</v>
          </cell>
        </row>
        <row r="128">
          <cell r="A128" t="str">
            <v>Ideation Internation</v>
          </cell>
        </row>
        <row r="129">
          <cell r="A129" t="str">
            <v>Ifori</v>
          </cell>
        </row>
        <row r="130">
          <cell r="A130" t="str">
            <v>IKEA</v>
          </cell>
        </row>
        <row r="131">
          <cell r="A131" t="str">
            <v>Inktweb.be</v>
          </cell>
        </row>
        <row r="132">
          <cell r="A132" t="str">
            <v>Interhost solutions</v>
          </cell>
        </row>
        <row r="133">
          <cell r="A133" t="str">
            <v>Jan Lagast bvba</v>
          </cell>
        </row>
        <row r="134">
          <cell r="A134" t="str">
            <v>Jarefin</v>
          </cell>
        </row>
        <row r="135">
          <cell r="A135" t="str">
            <v>Jarefin NBVB</v>
          </cell>
        </row>
        <row r="136">
          <cell r="A136" t="str">
            <v>Joli bvba</v>
          </cell>
        </row>
        <row r="137">
          <cell r="A137" t="str">
            <v>Jos Corstjens</v>
          </cell>
        </row>
        <row r="138">
          <cell r="A138" t="str">
            <v>Kaasmeester Van Tricht Michel</v>
          </cell>
        </row>
        <row r="139">
          <cell r="A139" t="str">
            <v>Karel de Grote Hogeschool</v>
          </cell>
        </row>
        <row r="140">
          <cell r="A140" t="str">
            <v>KBC</v>
          </cell>
        </row>
        <row r="141">
          <cell r="A141" t="str">
            <v>KBC LEASE BELGIUM</v>
          </cell>
        </row>
        <row r="142">
          <cell r="A142" t="str">
            <v>KBC VERZEKERINGEN</v>
          </cell>
        </row>
        <row r="143">
          <cell r="A143" t="str">
            <v>Koning&amp;Hartman</v>
          </cell>
        </row>
        <row r="144">
          <cell r="A144" t="str">
            <v>Kromhout electronics</v>
          </cell>
        </row>
        <row r="145">
          <cell r="A145" t="str">
            <v>Kim Rutten</v>
          </cell>
        </row>
        <row r="146">
          <cell r="A146" t="str">
            <v>Kupmet (Turkey)</v>
          </cell>
        </row>
        <row r="147">
          <cell r="A147" t="str">
            <v>KVIV</v>
          </cell>
        </row>
        <row r="148">
          <cell r="A148" t="str">
            <v>Kwadraat</v>
          </cell>
        </row>
        <row r="149">
          <cell r="A149" t="str">
            <v>Lamine (drukker)</v>
          </cell>
        </row>
        <row r="150">
          <cell r="A150" t="str">
            <v>Linkedin</v>
          </cell>
        </row>
        <row r="151">
          <cell r="A151" t="str">
            <v>Luc Dierickx</v>
          </cell>
        </row>
        <row r="152">
          <cell r="A152" t="str">
            <v>Management Solutions 5P bvba</v>
          </cell>
        </row>
        <row r="153">
          <cell r="A153" t="str">
            <v>Manutan</v>
          </cell>
        </row>
        <row r="154">
          <cell r="A154" t="str">
            <v>Media Markt</v>
          </cell>
        </row>
        <row r="155">
          <cell r="A155" t="str">
            <v>Medi-concept</v>
          </cell>
        </row>
        <row r="156">
          <cell r="A156" t="str">
            <v>Mensura</v>
          </cell>
        </row>
        <row r="157">
          <cell r="A157" t="str">
            <v>Mentrix</v>
          </cell>
        </row>
        <row r="158">
          <cell r="A158" t="str">
            <v>Microsoft Lux</v>
          </cell>
        </row>
        <row r="159">
          <cell r="A159" t="str">
            <v>Mimios (AB supplies)</v>
          </cell>
        </row>
        <row r="160">
          <cell r="A160" t="str">
            <v>Mouser electronics</v>
          </cell>
        </row>
        <row r="161">
          <cell r="A161" t="str">
            <v>MTM Association Benelux</v>
          </cell>
        </row>
        <row r="162">
          <cell r="A162" t="str">
            <v>Multy copy</v>
          </cell>
        </row>
        <row r="163">
          <cell r="A163" t="str">
            <v>MyXLshop Mollie NL</v>
          </cell>
        </row>
        <row r="164">
          <cell r="A164" t="str">
            <v>Norsu bvba (PBE)</v>
          </cell>
        </row>
        <row r="165">
          <cell r="A165" t="str">
            <v>Notaris Ludo Gielen</v>
          </cell>
        </row>
        <row r="166">
          <cell r="A166" t="str">
            <v>Nuon</v>
          </cell>
        </row>
        <row r="167">
          <cell r="A167" t="str">
            <v>Office Center</v>
          </cell>
        </row>
        <row r="168">
          <cell r="A168" t="str">
            <v>Office Consulting</v>
          </cell>
        </row>
        <row r="169">
          <cell r="A169" t="str">
            <v>Omnibouw bvba</v>
          </cell>
        </row>
        <row r="170">
          <cell r="A170" t="str">
            <v>One.com</v>
          </cell>
        </row>
        <row r="171">
          <cell r="A171" t="str">
            <v>Open Grafix</v>
          </cell>
        </row>
        <row r="172">
          <cell r="A172" t="str">
            <v>P0</v>
          </cell>
        </row>
        <row r="173">
          <cell r="A173" t="str">
            <v>Particle</v>
          </cell>
        </row>
        <row r="174">
          <cell r="A174" t="str">
            <v>PD Consult (Peter Druyts)</v>
          </cell>
        </row>
        <row r="175">
          <cell r="A175" t="str">
            <v>Perry De Loor</v>
          </cell>
        </row>
        <row r="176">
          <cell r="A176" t="str">
            <v>PlastiService group</v>
          </cell>
        </row>
        <row r="177">
          <cell r="A177" t="str">
            <v>Plot-It</v>
          </cell>
        </row>
        <row r="178">
          <cell r="A178" t="str">
            <v>Proximus Internet</v>
          </cell>
        </row>
        <row r="179">
          <cell r="A179" t="str">
            <v>Proximus GSM</v>
          </cell>
        </row>
        <row r="180">
          <cell r="A180" t="str">
            <v>RESA vastgoed</v>
          </cell>
        </row>
        <row r="181">
          <cell r="A181" t="str">
            <v>Ritmo Art</v>
          </cell>
        </row>
        <row r="182">
          <cell r="A182" t="str">
            <v>Sabadille systems limited</v>
          </cell>
        </row>
        <row r="183">
          <cell r="A183" t="str">
            <v>SB Commerce</v>
          </cell>
        </row>
        <row r="184">
          <cell r="A184" t="str">
            <v>SD Worx</v>
          </cell>
        </row>
        <row r="185">
          <cell r="A185" t="str">
            <v>Sealevel</v>
          </cell>
        </row>
        <row r="186">
          <cell r="A186" t="str">
            <v>SELEXION</v>
          </cell>
        </row>
        <row r="187">
          <cell r="A187" t="str">
            <v xml:space="preserve">Shell Belgian </v>
          </cell>
        </row>
        <row r="188">
          <cell r="A188" t="str">
            <v>Showtex</v>
          </cell>
        </row>
        <row r="189">
          <cell r="A189" t="str">
            <v>Shutterstock</v>
          </cell>
        </row>
        <row r="190">
          <cell r="A190" t="str">
            <v>Softkinetic International NV</v>
          </cell>
        </row>
        <row r="191">
          <cell r="A191" t="str">
            <v>Standaard Boekhandel</v>
          </cell>
        </row>
        <row r="192">
          <cell r="A192" t="str">
            <v>SVMB</v>
          </cell>
        </row>
        <row r="193">
          <cell r="A193" t="str">
            <v>Teamviewer</v>
          </cell>
        </row>
        <row r="194">
          <cell r="A194" t="str">
            <v>Telenet</v>
          </cell>
        </row>
        <row r="195">
          <cell r="A195" t="str">
            <v>Telerex</v>
          </cell>
        </row>
        <row r="196">
          <cell r="A196" t="str">
            <v>Thomann Duitsland</v>
          </cell>
        </row>
        <row r="197">
          <cell r="A197" t="str">
            <v>Total Belgium</v>
          </cell>
        </row>
        <row r="198">
          <cell r="A198" t="str">
            <v>Universiteit Antwerpen</v>
          </cell>
        </row>
        <row r="199">
          <cell r="A199" t="str">
            <v>Van Helden relatiegeschenken</v>
          </cell>
        </row>
        <row r="200">
          <cell r="A200" t="str">
            <v>Vanerum projector</v>
          </cell>
        </row>
        <row r="201">
          <cell r="A201" t="str">
            <v>VEV</v>
          </cell>
        </row>
        <row r="202">
          <cell r="A202" t="str">
            <v>VIK ie-net</v>
          </cell>
        </row>
        <row r="203">
          <cell r="A203" t="str">
            <v>Vikingco NV</v>
          </cell>
        </row>
        <row r="204">
          <cell r="A204" t="str">
            <v>Vlaams Centrum voor Kwaliteitszorg</v>
          </cell>
        </row>
        <row r="205">
          <cell r="A205" t="str">
            <v>Vlaamse overheid verkeersbelasting</v>
          </cell>
        </row>
        <row r="206">
          <cell r="A206" t="str">
            <v>Vranckaert gebr</v>
          </cell>
        </row>
        <row r="207">
          <cell r="A207" t="str">
            <v>Voicebooking NL</v>
          </cell>
        </row>
        <row r="208">
          <cell r="A208" t="str">
            <v>VOKA</v>
          </cell>
        </row>
        <row r="209">
          <cell r="A209" t="str">
            <v>VOM</v>
          </cell>
        </row>
        <row r="210">
          <cell r="A210" t="str">
            <v>Wkepc</v>
          </cell>
        </row>
        <row r="211">
          <cell r="A211" t="str">
            <v>WTCM</v>
          </cell>
        </row>
        <row r="212">
          <cell r="A212" t="str">
            <v>Xerius</v>
          </cell>
        </row>
        <row r="213">
          <cell r="A213" t="str">
            <v>Yools</v>
          </cell>
        </row>
        <row r="214">
          <cell r="A214" t="str">
            <v>Zinid</v>
          </cell>
        </row>
        <row r="215">
          <cell r="A215" t="str">
            <v>ZOHO</v>
          </cell>
        </row>
      </sheetData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Developing Store"/>
    </sheetNames>
    <sheetDataSet>
      <sheetData sheetId="0" refreshError="1"/>
    </sheetDataSet>
  </externalBook>
</externalLink>
</file>

<file path=xl/externalLinks/externalLink6.xml><?xml version="1.0" encoding="utf-8"?>
<externalLink xmlns:r="http://schemas.openxmlformats.org/officeDocument/2006/relationships" xmlns="http://schemas.openxmlformats.org/spreadsheetml/2006/main">
  <externalBook r:id="rId1">
    <sheetNames>
      <sheetName val="Balans overzicht"/>
      <sheetName val="Resultaten overzicht"/>
      <sheetName val="Totaaloverzicht 2016 "/>
      <sheetName val="Overzicht Seats 2016"/>
      <sheetName val="Overzicht Seats Nov 15"/>
      <sheetName val="GLOBAAL rapport"/>
      <sheetName val="(input) Algemene Kosten"/>
      <sheetName val="uitrusting DC"/>
      <sheetName val="invest-subs"/>
      <sheetName val="opspl 61"/>
    </sheetNames>
    <sheetDataSet>
      <sheetData sheetId="0" refreshError="1"/>
      <sheetData sheetId="1">
        <row r="6">
          <cell r="F6">
            <v>202.38636</v>
          </cell>
        </row>
      </sheetData>
      <sheetData sheetId="2" refreshError="1"/>
      <sheetData sheetId="3" refreshError="1"/>
      <sheetData sheetId="4" refreshError="1"/>
      <sheetData sheetId="5"/>
      <sheetData sheetId="6">
        <row r="3">
          <cell r="B3">
            <v>0.01</v>
          </cell>
        </row>
      </sheetData>
      <sheetData sheetId="7" refreshError="1"/>
      <sheetData sheetId="8" refreshError="1"/>
      <sheetData sheetId="9">
        <row r="9">
          <cell r="Q9">
            <v>7731.7000000000007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15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17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18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theme="0"/>
    <outlinePr summaryBelow="1" summaryRight="1"/>
    <pageSetUpPr/>
  </sheetPr>
  <dimension ref="A1:E36"/>
  <sheetViews>
    <sheetView showGridLines="0" workbookViewId="0">
      <selection activeCell="D15" sqref="D15"/>
    </sheetView>
  </sheetViews>
  <sheetFormatPr baseColWidth="8" defaultColWidth="8.88671875" defaultRowHeight="14.4"/>
  <cols>
    <col width="4.5546875" customWidth="1" style="139" min="1" max="1"/>
    <col width="8.6640625" customWidth="1" style="139" min="2" max="2"/>
    <col width="15.44140625" customWidth="1" style="139" min="3" max="3"/>
    <col width="108.44140625" customWidth="1" style="139" min="4" max="4"/>
    <col width="90.6640625" customWidth="1" style="130" min="5" max="5"/>
    <col width="8.88671875" customWidth="1" style="130" min="6" max="16384"/>
  </cols>
  <sheetData>
    <row r="1" ht="19.8" customHeight="1" thickBot="1">
      <c r="A1" s="677" t="inlineStr">
        <is>
          <t>LRM - Info request</t>
        </is>
      </c>
      <c r="B1" s="677" t="n"/>
      <c r="C1" s="677" t="n"/>
      <c r="D1" s="677" t="n"/>
      <c r="E1" s="677" t="n"/>
    </row>
    <row r="2" ht="15" customHeight="1" thickTop="1">
      <c r="A2" s="678" t="n"/>
      <c r="B2" s="679" t="n"/>
      <c r="C2" s="679" t="n"/>
      <c r="D2" s="679" t="n"/>
      <c r="E2" s="680" t="n"/>
    </row>
    <row r="3" ht="19.8" customHeight="1" thickBot="1">
      <c r="A3" s="681" t="inlineStr">
        <is>
          <t>ref.</t>
        </is>
      </c>
      <c r="B3" s="682" t="inlineStr">
        <is>
          <t>datum</t>
        </is>
      </c>
      <c r="C3" s="682" t="inlineStr">
        <is>
          <t>topic</t>
        </is>
      </c>
      <c r="D3" s="682" t="inlineStr">
        <is>
          <t>vraag</t>
        </is>
      </c>
      <c r="E3" s="683" t="inlineStr">
        <is>
          <t>antwoord</t>
        </is>
      </c>
    </row>
    <row r="4" ht="15" customHeight="1" thickTop="1">
      <c r="A4" s="131" t="n">
        <v>1</v>
      </c>
      <c r="B4" s="131" t="n"/>
      <c r="C4" s="132" t="n"/>
      <c r="D4" s="133" t="n"/>
      <c r="E4" s="134" t="n"/>
    </row>
    <row r="5">
      <c r="A5" s="131">
        <f>A4+1</f>
        <v/>
      </c>
      <c r="B5" s="131" t="n"/>
      <c r="C5" s="132" t="n"/>
      <c r="D5" s="133" t="n"/>
      <c r="E5" s="134" t="n"/>
    </row>
    <row r="6">
      <c r="A6" s="131">
        <f>A5+1</f>
        <v/>
      </c>
      <c r="B6" s="131" t="n"/>
      <c r="C6" s="132" t="n"/>
      <c r="D6" s="133" t="n"/>
      <c r="E6" s="134" t="n"/>
    </row>
    <row r="7">
      <c r="A7" s="131">
        <f>A6+1</f>
        <v/>
      </c>
      <c r="B7" s="131" t="n"/>
      <c r="C7" s="132" t="n"/>
      <c r="D7" s="133" t="n"/>
      <c r="E7" s="134" t="n"/>
    </row>
    <row r="8">
      <c r="A8" s="131">
        <f>A7+1</f>
        <v/>
      </c>
      <c r="B8" s="131" t="n"/>
      <c r="C8" s="132" t="n"/>
      <c r="D8" s="133" t="n"/>
      <c r="E8" s="133" t="n"/>
    </row>
    <row r="9">
      <c r="A9" s="131">
        <f>A8+1</f>
        <v/>
      </c>
      <c r="B9" s="131" t="n"/>
      <c r="C9" s="132" t="n"/>
      <c r="D9" s="133" t="n"/>
      <c r="E9" s="133" t="n"/>
    </row>
    <row r="10">
      <c r="A10" s="131">
        <f>A9+1</f>
        <v/>
      </c>
      <c r="B10" s="131" t="n"/>
      <c r="C10" s="132" t="n"/>
      <c r="D10" s="133" t="n"/>
      <c r="E10" s="133" t="n"/>
    </row>
    <row r="11">
      <c r="A11" s="131">
        <f>A10+1</f>
        <v/>
      </c>
      <c r="B11" s="131" t="n"/>
      <c r="C11" s="132" t="n"/>
      <c r="D11" s="133" t="n"/>
      <c r="E11" s="133" t="n"/>
    </row>
    <row r="12">
      <c r="A12" s="131">
        <f>A11+1</f>
        <v/>
      </c>
      <c r="B12" s="131" t="n"/>
      <c r="C12" s="132" t="n"/>
      <c r="D12" s="133" t="n"/>
      <c r="E12" s="133" t="n"/>
    </row>
    <row r="13">
      <c r="A13" s="131">
        <f>A12+1</f>
        <v/>
      </c>
      <c r="B13" s="131" t="n"/>
      <c r="C13" s="132" t="n"/>
      <c r="D13" s="133" t="n"/>
      <c r="E13" s="133" t="n"/>
    </row>
    <row r="14">
      <c r="A14" s="131">
        <f>A13+1</f>
        <v/>
      </c>
      <c r="B14" s="131" t="n"/>
      <c r="C14" s="132" t="n"/>
      <c r="D14" s="133" t="n"/>
      <c r="E14" s="133" t="n"/>
    </row>
    <row r="15">
      <c r="A15" s="131">
        <f>A14+1</f>
        <v/>
      </c>
      <c r="B15" s="131" t="n"/>
      <c r="C15" s="132" t="n"/>
      <c r="D15" s="133" t="n"/>
      <c r="E15" s="133" t="n"/>
    </row>
    <row r="16">
      <c r="A16" s="131">
        <f>A15+1</f>
        <v/>
      </c>
      <c r="B16" s="131" t="n"/>
      <c r="C16" s="132" t="n"/>
      <c r="D16" s="133" t="n"/>
      <c r="E16" s="133" t="n"/>
    </row>
    <row r="17">
      <c r="A17" s="131">
        <f>A16+1</f>
        <v/>
      </c>
      <c r="B17" s="131" t="n"/>
      <c r="C17" s="132" t="n"/>
      <c r="D17" s="133" t="n"/>
      <c r="E17" s="133" t="n"/>
    </row>
    <row r="18">
      <c r="A18" s="131">
        <f>A17+1</f>
        <v/>
      </c>
      <c r="B18" s="131" t="n"/>
      <c r="C18" s="132" t="n"/>
      <c r="D18" s="133" t="n"/>
      <c r="E18" s="133" t="n"/>
    </row>
    <row r="19">
      <c r="A19" s="131">
        <f>A18+1</f>
        <v/>
      </c>
      <c r="B19" s="131" t="n"/>
      <c r="C19" s="132" t="n"/>
      <c r="D19" s="133" t="n"/>
      <c r="E19" s="133" t="n"/>
    </row>
    <row r="20">
      <c r="A20" s="131">
        <f>A19+1</f>
        <v/>
      </c>
      <c r="B20" s="131" t="n"/>
      <c r="C20" s="135" t="n"/>
      <c r="D20" s="136" t="n"/>
      <c r="E20" s="136" t="n"/>
    </row>
    <row r="21">
      <c r="A21" s="131">
        <f>A20+1</f>
        <v/>
      </c>
      <c r="B21" s="131" t="n"/>
      <c r="C21" s="135" t="n"/>
      <c r="D21" s="136" t="n"/>
      <c r="E21" s="136" t="n"/>
    </row>
    <row r="22">
      <c r="A22" s="131">
        <f>A21+1</f>
        <v/>
      </c>
      <c r="B22" s="131" t="n"/>
      <c r="C22" s="135" t="n"/>
      <c r="D22" s="136" t="n"/>
      <c r="E22" s="137" t="n"/>
    </row>
    <row r="23">
      <c r="A23" s="131">
        <f>A22+1</f>
        <v/>
      </c>
      <c r="B23" s="131" t="n"/>
      <c r="C23" s="135" t="n"/>
      <c r="D23" s="136" t="n"/>
      <c r="E23" s="133" t="n"/>
    </row>
    <row r="24">
      <c r="A24" s="131">
        <f>A23+1</f>
        <v/>
      </c>
      <c r="B24" s="131" t="n"/>
      <c r="C24" s="135" t="n"/>
      <c r="D24" s="136" t="n"/>
      <c r="E24" s="136" t="n"/>
    </row>
    <row r="25">
      <c r="A25" s="131">
        <f>A24+1</f>
        <v/>
      </c>
      <c r="B25" s="131" t="n"/>
      <c r="C25" s="135" t="n"/>
      <c r="D25" s="136" t="n"/>
      <c r="E25" s="136" t="n"/>
    </row>
    <row r="26">
      <c r="A26" s="131">
        <f>A25+1</f>
        <v/>
      </c>
      <c r="B26" s="131" t="n"/>
      <c r="C26" s="135" t="n"/>
      <c r="D26" s="136" t="n"/>
      <c r="E26" s="136" t="n"/>
    </row>
    <row r="27">
      <c r="A27" s="131">
        <f>A26+1</f>
        <v/>
      </c>
      <c r="B27" s="131" t="n"/>
      <c r="C27" s="135" t="n"/>
      <c r="D27" s="136" t="n"/>
      <c r="E27" s="136" t="n"/>
    </row>
    <row r="28">
      <c r="A28" s="131">
        <f>A27+1</f>
        <v/>
      </c>
      <c r="B28" s="131" t="n"/>
      <c r="C28" s="135" t="n"/>
      <c r="D28" s="136" t="n"/>
      <c r="E28" s="136" t="n"/>
    </row>
    <row r="31">
      <c r="A31" s="138" t="n"/>
      <c r="B31" s="138" t="n"/>
    </row>
    <row r="32">
      <c r="A32" s="138" t="n"/>
      <c r="B32" s="138" t="n"/>
      <c r="C32" s="138" t="n"/>
    </row>
    <row r="33">
      <c r="A33" s="138" t="n"/>
      <c r="B33" s="138" t="n"/>
      <c r="C33" s="138" t="n"/>
    </row>
    <row r="34">
      <c r="A34" s="138" t="n"/>
      <c r="B34" s="138" t="n"/>
      <c r="C34" s="138" t="n"/>
    </row>
    <row r="35">
      <c r="A35" s="138" t="n"/>
      <c r="B35" s="138" t="n"/>
      <c r="C35" s="138" t="n"/>
    </row>
    <row r="36">
      <c r="C36" s="138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tabColor theme="1"/>
    <outlinePr summaryBelow="1" summaryRight="1"/>
    <pageSetUpPr/>
  </sheetPr>
  <dimension ref="B2:E5"/>
  <sheetViews>
    <sheetView showGridLines="0" workbookViewId="0">
      <selection activeCell="M43" sqref="M43"/>
    </sheetView>
  </sheetViews>
  <sheetFormatPr baseColWidth="8" defaultColWidth="9.109375" defaultRowHeight="13.2"/>
  <cols>
    <col width="9.109375" customWidth="1" style="141" min="1" max="16384"/>
  </cols>
  <sheetData>
    <row r="2" ht="14.4" customHeight="1">
      <c r="B2" s="665" t="n"/>
      <c r="D2" s="666" t="n"/>
      <c r="E2" s="667" t="n"/>
    </row>
    <row r="3" ht="14.4" customHeight="1">
      <c r="B3" s="668" t="n"/>
      <c r="D3" s="669" t="n"/>
      <c r="E3" s="670" t="n"/>
    </row>
    <row r="4" ht="14.4" customHeight="1">
      <c r="B4" s="671" t="n"/>
      <c r="D4" s="672" t="n"/>
      <c r="E4" s="673" t="n"/>
    </row>
    <row r="5" ht="14.4" customHeight="1">
      <c r="B5" s="674" t="n"/>
      <c r="D5" s="675" t="n"/>
      <c r="E5" s="676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theme="4" tint="0.5999938962981048"/>
    <outlinePr summaryBelow="1" summaryRight="1"/>
    <pageSetUpPr/>
  </sheetPr>
  <dimension ref="A1:AV44"/>
  <sheetViews>
    <sheetView showGridLines="0" workbookViewId="0">
      <selection activeCell="C19" sqref="C19:C20"/>
    </sheetView>
  </sheetViews>
  <sheetFormatPr baseColWidth="8" defaultColWidth="0" defaultRowHeight="13.2" outlineLevelRow="2"/>
  <cols>
    <col width="2" customWidth="1" style="565" min="1" max="1"/>
    <col width="32.5546875" customWidth="1" style="565" min="2" max="2"/>
    <col width="9.33203125" customWidth="1" style="565" min="3" max="7"/>
    <col outlineLevel="1" width="9.33203125" customWidth="1" style="565" min="8" max="8"/>
    <col width="9.44140625" customWidth="1" style="565" min="9" max="9"/>
    <col width="32.44140625" customWidth="1" style="565" min="10" max="10"/>
    <col width="9.44140625" customWidth="1" style="565" min="11" max="49"/>
    <col hidden="1" style="565" min="50" max="51"/>
    <col hidden="1" width="9.44140625" customWidth="1" style="565" min="52" max="16384"/>
  </cols>
  <sheetData>
    <row r="1">
      <c r="B1" s="566" t="inlineStr">
        <is>
          <t>P&amp;S Balans</t>
        </is>
      </c>
      <c r="C1" s="567" t="n">
        <v>4</v>
      </c>
      <c r="D1" s="567" t="n">
        <v>5</v>
      </c>
      <c r="E1" s="567" t="n">
        <v>6</v>
      </c>
      <c r="F1" s="567" t="n">
        <v>8</v>
      </c>
      <c r="G1" s="567" t="n">
        <v>9</v>
      </c>
      <c r="H1" s="567" t="n">
        <v>10</v>
      </c>
      <c r="J1" s="565" t="n">
        <v>1</v>
      </c>
      <c r="K1" s="565" t="n">
        <v>2</v>
      </c>
      <c r="L1" s="565" t="n">
        <v>3</v>
      </c>
      <c r="M1" s="565" t="n">
        <v>4</v>
      </c>
      <c r="N1" s="565" t="n">
        <v>5</v>
      </c>
      <c r="O1" s="565" t="n">
        <v>6</v>
      </c>
      <c r="P1" s="565" t="n">
        <v>7</v>
      </c>
      <c r="Q1" s="565" t="n">
        <v>8</v>
      </c>
      <c r="R1" s="565" t="n">
        <v>9</v>
      </c>
      <c r="S1" s="565" t="n">
        <v>10</v>
      </c>
      <c r="T1" s="565" t="n">
        <v>11</v>
      </c>
      <c r="U1" s="565" t="n">
        <v>12</v>
      </c>
      <c r="V1" s="565" t="n">
        <v>13</v>
      </c>
      <c r="W1" s="565" t="n">
        <v>14</v>
      </c>
      <c r="X1" s="565" t="n">
        <v>15</v>
      </c>
      <c r="Y1" s="565" t="n">
        <v>16</v>
      </c>
      <c r="Z1" s="565" t="n">
        <v>17</v>
      </c>
      <c r="AA1" s="565" t="n">
        <v>18</v>
      </c>
      <c r="AB1" s="565" t="n">
        <v>19</v>
      </c>
      <c r="AC1" s="565" t="n">
        <v>20</v>
      </c>
      <c r="AD1" s="565" t="n">
        <v>21</v>
      </c>
      <c r="AE1" s="565" t="n">
        <v>22</v>
      </c>
      <c r="AF1" s="565" t="n">
        <v>23</v>
      </c>
      <c r="AG1" s="565" t="n">
        <v>24</v>
      </c>
      <c r="AH1" s="565" t="n">
        <v>25</v>
      </c>
      <c r="AI1" s="565" t="n">
        <v>26</v>
      </c>
      <c r="AJ1" s="565" t="n">
        <v>27</v>
      </c>
      <c r="AK1" s="565" t="n">
        <v>28</v>
      </c>
      <c r="AL1" s="565" t="n">
        <v>29</v>
      </c>
      <c r="AM1" s="565" t="n">
        <v>30</v>
      </c>
      <c r="AN1" s="565" t="n">
        <v>31</v>
      </c>
      <c r="AO1" s="565" t="n">
        <v>32</v>
      </c>
      <c r="AP1" s="565" t="n">
        <v>33</v>
      </c>
      <c r="AQ1" s="565" t="n">
        <v>34</v>
      </c>
      <c r="AR1" s="565" t="n">
        <v>35</v>
      </c>
      <c r="AS1" s="565" t="n">
        <v>36</v>
      </c>
      <c r="AT1" s="565" t="n">
        <v>37</v>
      </c>
      <c r="AU1" s="565" t="n">
        <v>38</v>
      </c>
      <c r="AV1" s="565" t="n">
        <v>39</v>
      </c>
    </row>
    <row r="3" customFormat="1" s="568">
      <c r="A3" s="684" t="n"/>
      <c r="B3" s="685">
        <f>Historiek!$A$2</f>
        <v/>
      </c>
      <c r="C3" s="686">
        <f>IF(C$1="","",VLOOKUP($B3,$J$3:$AQ$36,C$1,FALSE))</f>
        <v/>
      </c>
      <c r="D3" s="687">
        <f>IF(D$1="","",VLOOKUP($B3,$J$3:$AQ$36,D$1,FALSE))</f>
        <v/>
      </c>
      <c r="E3" s="688">
        <f>IF(E$1="","",VLOOKUP($B3,$J$3:$AX$38,E$1,FALSE))</f>
        <v/>
      </c>
      <c r="F3" s="686">
        <f>IF(F$1="","",VLOOKUP($B3,$J$3:$AQ$36,F$1,FALSE))</f>
        <v/>
      </c>
      <c r="G3" s="687">
        <f>IF(G$1="","",VLOOKUP($B3,$J$3:$AQ$36,G$1,FALSE))</f>
        <v/>
      </c>
      <c r="H3" s="688">
        <f>IF(H$1="","",VLOOKUP($B3,$J$3:$AQ$36,H$1,FALSE))</f>
        <v/>
      </c>
      <c r="I3" s="611" t="n"/>
      <c r="J3" s="569">
        <f>B3</f>
        <v/>
      </c>
      <c r="K3" s="816" t="inlineStr">
        <is>
          <t>Actuals</t>
        </is>
      </c>
      <c r="L3" s="816" t="inlineStr">
        <is>
          <t>Actuals</t>
        </is>
      </c>
      <c r="M3" s="571" t="inlineStr">
        <is>
          <t>Actuals</t>
        </is>
      </c>
      <c r="N3" s="816" t="inlineStr">
        <is>
          <t>Actuals</t>
        </is>
      </c>
      <c r="O3" s="816" t="inlineStr">
        <is>
          <t>Actuals</t>
        </is>
      </c>
      <c r="P3" s="816" t="n"/>
      <c r="Q3" s="816" t="inlineStr">
        <is>
          <t>Budget</t>
        </is>
      </c>
      <c r="R3" s="816" t="inlineStr">
        <is>
          <t>Budget</t>
        </is>
      </c>
      <c r="S3" s="816" t="inlineStr">
        <is>
          <t>Budget</t>
        </is>
      </c>
      <c r="T3" s="816" t="inlineStr">
        <is>
          <t>Budget</t>
        </is>
      </c>
      <c r="U3" s="816" t="inlineStr">
        <is>
          <t>Budget</t>
        </is>
      </c>
      <c r="V3" s="816" t="n"/>
      <c r="W3" s="816" t="n"/>
      <c r="X3" s="816" t="n"/>
      <c r="Y3" s="816" t="n"/>
      <c r="Z3" s="816" t="n"/>
      <c r="AA3" s="816" t="n"/>
      <c r="AB3" s="816" t="n"/>
      <c r="AC3" s="816" t="n"/>
      <c r="AD3" s="816" t="n"/>
      <c r="AE3" s="816" t="n"/>
      <c r="AF3" s="816" t="n"/>
      <c r="AG3" s="816" t="n"/>
      <c r="AH3" s="816" t="n"/>
      <c r="AI3" s="571" t="n"/>
      <c r="AJ3" s="571" t="n"/>
      <c r="AK3" s="571" t="n"/>
      <c r="AL3" s="571" t="n"/>
      <c r="AM3" s="571" t="n"/>
      <c r="AN3" s="571" t="n"/>
      <c r="AO3" s="571" t="n"/>
      <c r="AP3" s="571" t="n"/>
      <c r="AQ3" s="571" t="n"/>
      <c r="AR3" s="571" t="n"/>
      <c r="AS3" s="571" t="n"/>
      <c r="AT3" s="571" t="n"/>
      <c r="AU3" s="571" t="n"/>
      <c r="AV3" s="572" t="n"/>
    </row>
    <row r="4" customFormat="1" s="568">
      <c r="A4" s="689" t="n"/>
      <c r="B4" s="690" t="inlineStr">
        <is>
          <t>k€</t>
        </is>
      </c>
      <c r="C4" s="691">
        <f>IF(C$1="","",VLOOKUP($B4,$J$3:$AQ$36,C$1,FALSE))</f>
        <v/>
      </c>
      <c r="D4" s="692">
        <f>IF(D$1="","",VLOOKUP($B4,$J$3:$AQ$36,D$1,FALSE))</f>
        <v/>
      </c>
      <c r="E4" s="693">
        <f>IF(E$1="","",VLOOKUP($B4,$J$3:$AX$38,E$1,FALSE))</f>
        <v/>
      </c>
      <c r="F4" s="691">
        <f>IF(F$1="","",VLOOKUP($B4,$J$3:$AQ$36,F$1,FALSE))</f>
        <v/>
      </c>
      <c r="G4" s="692">
        <f>IF(G$1="","",VLOOKUP($B4,$J$3:$AQ$36,G$1,FALSE))</f>
        <v/>
      </c>
      <c r="H4" s="693">
        <f>IF(H$1="","",VLOOKUP($B4,$J$3:$AQ$36,H$1,FALSE))</f>
        <v/>
      </c>
      <c r="I4" s="611" t="n"/>
      <c r="J4" s="573">
        <f>B4</f>
        <v/>
      </c>
      <c r="K4" s="817" t="inlineStr">
        <is>
          <t>FY 2018</t>
        </is>
      </c>
      <c r="L4" s="817" t="inlineStr">
        <is>
          <t>FY 2019</t>
        </is>
      </c>
      <c r="M4" s="575" t="inlineStr">
        <is>
          <t>FY 2020</t>
        </is>
      </c>
      <c r="N4" s="575" t="inlineStr">
        <is>
          <t>FY 2021</t>
        </is>
      </c>
      <c r="O4" s="575" t="inlineStr">
        <is>
          <t>FY 2022</t>
        </is>
      </c>
      <c r="P4" s="575" t="n"/>
      <c r="Q4" s="817" t="inlineStr">
        <is>
          <t>FY 2023</t>
        </is>
      </c>
      <c r="R4" s="817" t="inlineStr">
        <is>
          <t>FY 2024</t>
        </is>
      </c>
      <c r="S4" s="817" t="inlineStr">
        <is>
          <t>FY 2025</t>
        </is>
      </c>
      <c r="T4" s="817" t="inlineStr">
        <is>
          <t>FY 2026</t>
        </is>
      </c>
      <c r="U4" s="817" t="inlineStr">
        <is>
          <t>FY 2027</t>
        </is>
      </c>
      <c r="V4" s="817" t="n"/>
      <c r="W4" s="817" t="n"/>
      <c r="X4" s="817" t="n"/>
      <c r="Y4" s="817" t="n"/>
      <c r="Z4" s="817" t="n"/>
      <c r="AA4" s="817" t="n"/>
      <c r="AB4" s="817" t="n"/>
      <c r="AC4" s="817" t="n"/>
      <c r="AD4" s="817" t="n"/>
      <c r="AE4" s="817" t="n"/>
      <c r="AF4" s="817" t="n"/>
      <c r="AG4" s="817" t="n"/>
      <c r="AH4" s="817" t="n"/>
      <c r="AI4" s="575" t="n"/>
      <c r="AJ4" s="576" t="n"/>
      <c r="AK4" s="576" t="n"/>
      <c r="AL4" s="576" t="n"/>
      <c r="AM4" s="575" t="n"/>
      <c r="AN4" s="576" t="n"/>
      <c r="AO4" s="576" t="n"/>
      <c r="AP4" s="576" t="n"/>
      <c r="AQ4" s="575" t="n"/>
      <c r="AR4" s="575" t="n"/>
      <c r="AS4" s="575" t="n"/>
      <c r="AT4" s="575" t="n"/>
      <c r="AU4" s="575" t="n"/>
      <c r="AV4" s="577" t="n"/>
    </row>
    <row r="5" customFormat="1" s="568">
      <c r="A5" s="694" t="n"/>
      <c r="B5" s="695" t="inlineStr">
        <is>
          <t>Maanden</t>
        </is>
      </c>
      <c r="C5" s="696">
        <f>IF(C$1="","",VLOOKUP($B5,$J$3:$AQ$36,C$1,FALSE))</f>
        <v/>
      </c>
      <c r="D5" s="697">
        <f>IF(D$1="","",VLOOKUP($B5,$J$3:$AQ$36,D$1,FALSE))</f>
        <v/>
      </c>
      <c r="E5" s="698">
        <f>IF(E$1="","",VLOOKUP($B5,$J$3:$AX$38,E$1,FALSE))</f>
        <v/>
      </c>
      <c r="F5" s="696">
        <f>IF(F$1="","",VLOOKUP($B5,$J$3:$AQ$36,F$1,FALSE))</f>
        <v/>
      </c>
      <c r="G5" s="697">
        <f>IF(G$1="","",VLOOKUP($B5,$J$3:$AQ$36,G$1,FALSE))</f>
        <v/>
      </c>
      <c r="H5" s="698">
        <f>IF(H$1="","",VLOOKUP($B5,$J$3:$AQ$36,H$1,FALSE))</f>
        <v/>
      </c>
      <c r="I5" s="611" t="n"/>
      <c r="J5" s="578">
        <f>B5</f>
        <v/>
      </c>
      <c r="K5" s="579" t="n">
        <v>12</v>
      </c>
      <c r="L5" s="579" t="n">
        <v>12</v>
      </c>
      <c r="M5" s="579" t="n">
        <v>12</v>
      </c>
      <c r="N5" s="579" t="n">
        <v>12</v>
      </c>
      <c r="O5" s="579" t="n">
        <v>12</v>
      </c>
      <c r="P5" s="579" t="n"/>
      <c r="Q5" s="579" t="n">
        <v>12</v>
      </c>
      <c r="R5" s="579" t="n">
        <v>12</v>
      </c>
      <c r="S5" s="579" t="n">
        <v>12</v>
      </c>
      <c r="T5" s="579" t="n">
        <v>12</v>
      </c>
      <c r="U5" s="579" t="n">
        <v>12</v>
      </c>
      <c r="V5" s="579" t="n"/>
      <c r="W5" s="579" t="n"/>
      <c r="X5" s="579" t="n"/>
      <c r="Y5" s="579" t="n"/>
      <c r="Z5" s="579" t="n"/>
      <c r="AA5" s="579" t="n"/>
      <c r="AB5" s="579" t="n"/>
      <c r="AC5" s="579" t="n"/>
      <c r="AD5" s="579" t="n"/>
      <c r="AE5" s="579" t="n"/>
      <c r="AF5" s="579" t="n"/>
      <c r="AG5" s="579" t="n"/>
      <c r="AH5" s="579" t="n"/>
      <c r="AI5" s="580" t="n"/>
      <c r="AJ5" s="579" t="n"/>
      <c r="AK5" s="579" t="n"/>
      <c r="AL5" s="579" t="n"/>
      <c r="AM5" s="580" t="n"/>
      <c r="AN5" s="579" t="n"/>
      <c r="AO5" s="579" t="n"/>
      <c r="AP5" s="579" t="n"/>
      <c r="AQ5" s="580" t="n"/>
      <c r="AR5" s="580" t="n"/>
      <c r="AS5" s="580" t="n"/>
      <c r="AT5" s="580" t="n"/>
      <c r="AU5" s="580" t="n"/>
      <c r="AV5" s="581" t="n"/>
    </row>
    <row r="6">
      <c r="A6" s="811" t="inlineStr">
        <is>
          <t>Resultaten</t>
        </is>
      </c>
      <c r="B6" s="582" t="inlineStr">
        <is>
          <t>Bedrijfsopbrengsten</t>
        </is>
      </c>
      <c r="C6" s="583">
        <f>IF($B6="","",IF(C$1="","",IF(VLOOKUP($B6,$J$3:$AW$36,C$1,FALSE)="","",VLOOKUP($B6,$J$3:$AW$36,C$1,FALSE))))</f>
        <v/>
      </c>
      <c r="D6" s="584">
        <f>IF($B6="","",IF(D$1="","",IF(VLOOKUP($B6,$J$3:$AW$36,D$1,FALSE)="","",VLOOKUP($B6,$J$3:$AW$36,D$1,FALSE))))</f>
        <v/>
      </c>
      <c r="E6" s="585">
        <f>IF($B6="","",IF(E$1="","",IF(VLOOKUP($B6,$J$3:$AW$36,E$1,FALSE)="","",VLOOKUP($B6,$J$3:$AW$36,E$1,FALSE))))</f>
        <v/>
      </c>
      <c r="F6" s="583">
        <f>IF($B6="","",IF(F$1="","",IF(VLOOKUP($B6,$J$3:$AW$36,F$1,FALSE)="","",VLOOKUP($B6,$J$3:$AW$36,F$1,FALSE))))</f>
        <v/>
      </c>
      <c r="G6" s="584">
        <f>IF($B6="","",IF(G$1="","",IF(VLOOKUP($B6,$J$3:$AW$36,G$1,FALSE)="","",VLOOKUP($B6,$J$3:$AW$36,G$1,FALSE))))</f>
        <v/>
      </c>
      <c r="H6" s="585">
        <f>IF($B6="","",IF(H$1="","",IF(VLOOKUP($B6,$J$3:$AW$36,H$1,FALSE)="","",VLOOKUP($B6,$J$3:$AW$36,H$1,FALSE))))</f>
        <v/>
      </c>
      <c r="I6" s="593" t="n"/>
      <c r="J6" s="621" t="inlineStr">
        <is>
          <t>Bedrijfsopbrengsten</t>
        </is>
      </c>
      <c r="K6" s="818">
        <f>Historiek!B147/1000</f>
        <v/>
      </c>
      <c r="L6" s="818">
        <f>Historiek!C147/1000</f>
        <v/>
      </c>
      <c r="M6" s="818">
        <f>Historiek!D147/1000</f>
        <v/>
      </c>
      <c r="N6" s="818">
        <f>Historiek!E147/1000</f>
        <v/>
      </c>
      <c r="O6" s="818">
        <f>Historiek!F147/1000</f>
        <v/>
      </c>
      <c r="P6" s="818" t="n"/>
      <c r="Q6" s="818">
        <f>'BP - Annual'!G52+'BP - Annual'!G58+'BP - Annual'!G59</f>
        <v/>
      </c>
      <c r="R6" s="818">
        <f>'BP - Annual'!H52+'BP - Annual'!H58+'BP - Annual'!H59</f>
        <v/>
      </c>
      <c r="S6" s="818">
        <f>'BP - Annual'!I52+'BP - Annual'!I58+'BP - Annual'!I59</f>
        <v/>
      </c>
      <c r="T6" s="818">
        <f>'BP - Annual'!J52+'BP - Annual'!J58+'BP - Annual'!J59</f>
        <v/>
      </c>
      <c r="U6" s="818">
        <f>'BP - Annual'!K52+'BP - Annual'!K58+'BP - Annual'!K59</f>
        <v/>
      </c>
      <c r="V6" s="818" t="n"/>
      <c r="W6" s="818" t="n"/>
      <c r="X6" s="818" t="n"/>
      <c r="Y6" s="818" t="n"/>
      <c r="Z6" s="818" t="n"/>
      <c r="AA6" s="818" t="n"/>
      <c r="AB6" s="818" t="n"/>
      <c r="AC6" s="818" t="n"/>
      <c r="AD6" s="818" t="n"/>
      <c r="AE6" s="818" t="n"/>
      <c r="AF6" s="818" t="n"/>
      <c r="AG6" s="818" t="n"/>
      <c r="AH6" s="818" t="n"/>
      <c r="AI6" s="818" t="n"/>
      <c r="AJ6" s="818" t="n"/>
      <c r="AK6" s="818" t="n"/>
      <c r="AL6" s="818" t="n"/>
      <c r="AM6" s="818" t="n"/>
      <c r="AN6" s="818" t="n"/>
      <c r="AO6" s="818" t="n"/>
      <c r="AP6" s="818" t="n"/>
      <c r="AQ6" s="818" t="n"/>
      <c r="AR6" s="818" t="n"/>
      <c r="AS6" s="818" t="n"/>
      <c r="AT6" s="818" t="n"/>
      <c r="AU6" s="818" t="n"/>
      <c r="AV6" s="818" t="n"/>
    </row>
    <row r="7">
      <c r="A7" s="819" t="n"/>
      <c r="B7" s="588" t="inlineStr">
        <is>
          <t>Omzet</t>
        </is>
      </c>
      <c r="C7" s="589">
        <f>IF($B7="","",IF(C$1="","",IF(VLOOKUP($B7,$J$3:$AW$36,C$1,FALSE)="","",VLOOKUP($B7,$J$3:$AW$36,C$1,FALSE))))</f>
        <v/>
      </c>
      <c r="D7" s="590">
        <f>IF($B7="","",IF(D$1="","",IF(VLOOKUP($B7,$J$3:$AW$36,D$1,FALSE)="","",VLOOKUP($B7,$J$3:$AW$36,D$1,FALSE))))</f>
        <v/>
      </c>
      <c r="E7" s="591">
        <f>IF($B7="","",IF(E$1="","",IF(VLOOKUP($B7,$J$3:$AW$36,E$1,FALSE)="","",VLOOKUP($B7,$J$3:$AW$36,E$1,FALSE))))</f>
        <v/>
      </c>
      <c r="F7" s="589">
        <f>IF($B7="","",IF(F$1="","",IF(VLOOKUP($B7,$J$3:$AW$36,F$1,FALSE)="","",VLOOKUP($B7,$J$3:$AW$36,F$1,FALSE))))</f>
        <v/>
      </c>
      <c r="G7" s="590">
        <f>IF($B7="","",IF(G$1="","",IF(VLOOKUP($B7,$J$3:$AW$36,G$1,FALSE)="","",VLOOKUP($B7,$J$3:$AW$36,G$1,FALSE))))</f>
        <v/>
      </c>
      <c r="H7" s="591">
        <f>IF($B7="","",IF(H$1="","",IF(VLOOKUP($B7,$J$3:$AW$36,H$1,FALSE)="","",VLOOKUP($B7,$J$3:$AW$36,H$1,FALSE))))</f>
        <v/>
      </c>
      <c r="I7" s="593" t="n"/>
      <c r="J7" s="621" t="inlineStr">
        <is>
          <t>Omzet</t>
        </is>
      </c>
      <c r="K7" s="818">
        <f>Historiek!B148/1000</f>
        <v/>
      </c>
      <c r="L7" s="818">
        <f>Historiek!C148/1000</f>
        <v/>
      </c>
      <c r="M7" s="818">
        <f>Historiek!D148/1000</f>
        <v/>
      </c>
      <c r="N7" s="818">
        <f>Historiek!E148/1000</f>
        <v/>
      </c>
      <c r="O7" s="818">
        <f>Historiek!F148/1000</f>
        <v/>
      </c>
      <c r="P7" s="818" t="n"/>
      <c r="Q7" s="818">
        <f>'BP - Annual'!G52</f>
        <v/>
      </c>
      <c r="R7" s="818">
        <f>'BP - Annual'!H52</f>
        <v/>
      </c>
      <c r="S7" s="818">
        <f>'BP - Annual'!I52</f>
        <v/>
      </c>
      <c r="T7" s="818">
        <f>'BP - Annual'!J52</f>
        <v/>
      </c>
      <c r="U7" s="818">
        <f>'BP - Annual'!K52</f>
        <v/>
      </c>
      <c r="V7" s="818" t="n"/>
      <c r="W7" s="818" t="n"/>
      <c r="X7" s="818" t="n"/>
      <c r="Y7" s="818" t="n"/>
      <c r="Z7" s="818" t="n"/>
      <c r="AA7" s="818" t="n"/>
      <c r="AB7" s="818" t="n"/>
      <c r="AC7" s="818" t="n"/>
      <c r="AD7" s="818" t="n"/>
      <c r="AE7" s="818" t="n"/>
      <c r="AF7" s="818" t="n"/>
      <c r="AG7" s="818" t="n"/>
      <c r="AH7" s="818" t="n"/>
      <c r="AI7" s="818" t="n"/>
      <c r="AJ7" s="818" t="n"/>
      <c r="AK7" s="818" t="n"/>
      <c r="AL7" s="818" t="n"/>
      <c r="AM7" s="818" t="n"/>
      <c r="AN7" s="818" t="n"/>
      <c r="AO7" s="818" t="n"/>
      <c r="AP7" s="818" t="n"/>
      <c r="AQ7" s="818" t="n"/>
      <c r="AR7" s="818" t="n"/>
      <c r="AS7" s="818" t="n"/>
      <c r="AT7" s="818" t="n"/>
      <c r="AU7" s="818" t="n"/>
      <c r="AV7" s="818" t="n"/>
    </row>
    <row r="8">
      <c r="A8" s="819" t="n"/>
      <c r="B8" s="588" t="inlineStr">
        <is>
          <t>Brutowinstmarge</t>
        </is>
      </c>
      <c r="C8" s="589">
        <f>IF($B8="","",IF(C$1="","",IF(VLOOKUP($B8,$J$3:$AW$36,C$1,FALSE)="","",VLOOKUP($B8,$J$3:$AW$36,C$1,FALSE))))</f>
        <v/>
      </c>
      <c r="D8" s="590">
        <f>IF($B8="","",IF(D$1="","",IF(VLOOKUP($B8,$J$3:$AW$36,D$1,FALSE)="","",VLOOKUP($B8,$J$3:$AW$36,D$1,FALSE))))</f>
        <v/>
      </c>
      <c r="E8" s="591">
        <f>IF($B8="","",IF(E$1="","",IF(VLOOKUP($B8,$J$3:$AW$36,E$1,FALSE)="","",VLOOKUP($B8,$J$3:$AW$36,E$1,FALSE))))</f>
        <v/>
      </c>
      <c r="F8" s="589">
        <f>IF($B8="","",IF(F$1="","",IF(VLOOKUP($B8,$J$3:$AW$36,F$1,FALSE)="","",VLOOKUP($B8,$J$3:$AW$36,F$1,FALSE))))</f>
        <v/>
      </c>
      <c r="G8" s="590">
        <f>IF($B8="","",IF(G$1="","",IF(VLOOKUP($B8,$J$3:$AW$36,G$1,FALSE)="","",VLOOKUP($B8,$J$3:$AW$36,G$1,FALSE))))</f>
        <v/>
      </c>
      <c r="H8" s="591">
        <f>IF($B8="","",IF(H$1="","",IF(VLOOKUP($B8,$J$3:$AW$36,H$1,FALSE)="","",VLOOKUP($B8,$J$3:$AW$36,H$1,FALSE))))</f>
        <v/>
      </c>
      <c r="I8" s="593" t="n"/>
      <c r="J8" s="621" t="inlineStr">
        <is>
          <t>Brutowinstmarge</t>
        </is>
      </c>
      <c r="K8" s="818">
        <f>Resultaten!B11</f>
        <v/>
      </c>
      <c r="L8" s="818">
        <f>Resultaten!C11</f>
        <v/>
      </c>
      <c r="M8" s="818">
        <f>Resultaten!D11</f>
        <v/>
      </c>
      <c r="N8" s="818">
        <f>Resultaten!E11</f>
        <v/>
      </c>
      <c r="O8" s="818">
        <f>Resultaten!F11</f>
        <v/>
      </c>
      <c r="P8" s="818" t="n"/>
      <c r="Q8" s="820">
        <f>'BP - Annual'!G54</f>
        <v/>
      </c>
      <c r="R8" s="820">
        <f>'BP - Annual'!H54</f>
        <v/>
      </c>
      <c r="S8" s="820">
        <f>'BP - Annual'!I54</f>
        <v/>
      </c>
      <c r="T8" s="820">
        <f>'BP - Annual'!J54</f>
        <v/>
      </c>
      <c r="U8" s="820">
        <f>'BP - Annual'!K54</f>
        <v/>
      </c>
      <c r="V8" s="818" t="n"/>
      <c r="W8" s="818" t="n"/>
      <c r="X8" s="818" t="n"/>
      <c r="Y8" s="818" t="n"/>
      <c r="Z8" s="818" t="n"/>
      <c r="AA8" s="818" t="n"/>
      <c r="AB8" s="818" t="n"/>
      <c r="AC8" s="818" t="n"/>
      <c r="AD8" s="818" t="n"/>
      <c r="AE8" s="818" t="n"/>
      <c r="AF8" s="818" t="n"/>
      <c r="AG8" s="818" t="n"/>
      <c r="AH8" s="818" t="n"/>
      <c r="AI8" s="818" t="n"/>
      <c r="AJ8" s="818" t="n"/>
      <c r="AK8" s="818" t="n"/>
      <c r="AL8" s="818" t="n"/>
      <c r="AM8" s="818" t="n"/>
      <c r="AN8" s="818" t="n"/>
      <c r="AO8" s="818" t="n"/>
      <c r="AP8" s="818" t="n"/>
      <c r="AQ8" s="818" t="n"/>
      <c r="AR8" s="818" t="n"/>
      <c r="AS8" s="818" t="n"/>
      <c r="AT8" s="818" t="n"/>
      <c r="AU8" s="818" t="n"/>
      <c r="AV8" s="818" t="n"/>
    </row>
    <row r="9">
      <c r="A9" s="819" t="n"/>
      <c r="B9" s="588" t="inlineStr">
        <is>
          <t>Ebitda</t>
        </is>
      </c>
      <c r="C9" s="589">
        <f>IF($B9="","",IF(C$1="","",IF(VLOOKUP($B9,$J$3:$AW$36,C$1,FALSE)="","",VLOOKUP($B9,$J$3:$AW$36,C$1,FALSE))))</f>
        <v/>
      </c>
      <c r="D9" s="590">
        <f>IF($B9="","",IF(D$1="","",IF(VLOOKUP($B9,$J$3:$AW$36,D$1,FALSE)="","",VLOOKUP($B9,$J$3:$AW$36,D$1,FALSE))))</f>
        <v/>
      </c>
      <c r="E9" s="591">
        <f>IF($B9="","",IF(E$1="","",IF(VLOOKUP($B9,$J$3:$AW$36,E$1,FALSE)="","",VLOOKUP($B9,$J$3:$AW$36,E$1,FALSE))))</f>
        <v/>
      </c>
      <c r="F9" s="589">
        <f>IF($B9="","",IF(F$1="","",IF(VLOOKUP($B9,$J$3:$AW$36,F$1,FALSE)="","",VLOOKUP($B9,$J$3:$AW$36,F$1,FALSE))))</f>
        <v/>
      </c>
      <c r="G9" s="590">
        <f>IF($B9="","",IF(G$1="","",IF(VLOOKUP($B9,$J$3:$AW$36,G$1,FALSE)="","",VLOOKUP($B9,$J$3:$AW$36,G$1,FALSE))))</f>
        <v/>
      </c>
      <c r="H9" s="591">
        <f>IF($B9="","",IF(H$1="","",IF(VLOOKUP($B9,$J$3:$AW$36,H$1,FALSE)="","",VLOOKUP($B9,$J$3:$AW$36,H$1,FALSE))))</f>
        <v/>
      </c>
      <c r="I9" s="593" t="n"/>
      <c r="J9" s="621" t="inlineStr">
        <is>
          <t>Ebitda</t>
        </is>
      </c>
      <c r="K9" s="818">
        <f>Resultaten!B26</f>
        <v/>
      </c>
      <c r="L9" s="818">
        <f>Resultaten!C26</f>
        <v/>
      </c>
      <c r="M9" s="818">
        <f>Resultaten!D26</f>
        <v/>
      </c>
      <c r="N9" s="818">
        <f>Resultaten!E26</f>
        <v/>
      </c>
      <c r="O9" s="818">
        <f>Resultaten!F26</f>
        <v/>
      </c>
      <c r="P9" s="818" t="n"/>
      <c r="Q9" s="818">
        <f>'BP - Annual'!G61</f>
        <v/>
      </c>
      <c r="R9" s="818">
        <f>'BP - Annual'!H61</f>
        <v/>
      </c>
      <c r="S9" s="818">
        <f>'BP - Annual'!I61</f>
        <v/>
      </c>
      <c r="T9" s="818">
        <f>'BP - Annual'!J61</f>
        <v/>
      </c>
      <c r="U9" s="818">
        <f>'BP - Annual'!K61</f>
        <v/>
      </c>
      <c r="V9" s="818" t="n"/>
      <c r="W9" s="818" t="n"/>
      <c r="X9" s="818" t="n"/>
      <c r="Y9" s="818" t="n"/>
      <c r="Z9" s="818" t="n"/>
      <c r="AA9" s="818" t="n"/>
      <c r="AB9" s="818" t="n"/>
      <c r="AC9" s="818" t="n"/>
      <c r="AD9" s="818" t="n"/>
      <c r="AE9" s="818" t="n"/>
      <c r="AF9" s="818" t="n"/>
      <c r="AG9" s="818" t="n"/>
      <c r="AH9" s="818" t="n"/>
      <c r="AI9" s="818" t="n"/>
      <c r="AJ9" s="818" t="n"/>
      <c r="AK9" s="818" t="n"/>
      <c r="AL9" s="818" t="n"/>
      <c r="AM9" s="818" t="n"/>
      <c r="AN9" s="818" t="n"/>
      <c r="AO9" s="818" t="n"/>
      <c r="AP9" s="818" t="n"/>
      <c r="AQ9" s="818" t="n"/>
      <c r="AR9" s="818" t="n"/>
      <c r="AS9" s="818" t="n"/>
      <c r="AT9" s="818" t="n"/>
      <c r="AU9" s="818" t="n"/>
      <c r="AV9" s="818" t="n"/>
    </row>
    <row r="10" outlineLevel="1">
      <c r="A10" s="819" t="n"/>
      <c r="B10" s="593" t="inlineStr">
        <is>
          <t>Ebitda / bedrijfsopbrengst</t>
        </is>
      </c>
      <c r="C10" s="633">
        <f>IF($B10="","",IF(C$1="","",IF(VLOOKUP($B10,$J$3:$AW$36,C$1,FALSE)="","",VLOOKUP($B10,$J$3:$AW$36,C$1,FALSE))))</f>
        <v/>
      </c>
      <c r="D10" s="634">
        <f>IF($B10="","",IF(D$1="","",IF(VLOOKUP($B10,$J$3:$AW$36,D$1,FALSE)="","",VLOOKUP($B10,$J$3:$AW$36,D$1,FALSE))))</f>
        <v/>
      </c>
      <c r="E10" s="635">
        <f>IF($B10="","",IF(E$1="","",IF(VLOOKUP($B10,$J$3:$AW$36,E$1,FALSE)="","",VLOOKUP($B10,$J$3:$AW$36,E$1,FALSE))))</f>
        <v/>
      </c>
      <c r="F10" s="633">
        <f>IF($B10="","",IF(F$1="","",IF(VLOOKUP($B10,$J$3:$AW$36,F$1,FALSE)="","",VLOOKUP($B10,$J$3:$AW$36,F$1,FALSE))))</f>
        <v/>
      </c>
      <c r="G10" s="634">
        <f>IF($B10="","",IF(G$1="","",IF(VLOOKUP($B10,$J$3:$AW$36,G$1,FALSE)="","",VLOOKUP($B10,$J$3:$AW$36,G$1,FALSE))))</f>
        <v/>
      </c>
      <c r="H10" s="635">
        <f>IF($B10="","",IF(H$1="","",IF(VLOOKUP($B10,$J$3:$AW$36,H$1,FALSE)="","",VLOOKUP($B10,$J$3:$AW$36,H$1,FALSE))))</f>
        <v/>
      </c>
      <c r="I10" s="593" t="n"/>
      <c r="J10" s="621" t="inlineStr">
        <is>
          <t>Ebit</t>
        </is>
      </c>
      <c r="K10" s="818">
        <f>Resultaten!B31</f>
        <v/>
      </c>
      <c r="L10" s="818">
        <f>Resultaten!C31</f>
        <v/>
      </c>
      <c r="M10" s="818">
        <f>Resultaten!D31</f>
        <v/>
      </c>
      <c r="N10" s="818">
        <f>Resultaten!E31</f>
        <v/>
      </c>
      <c r="O10" s="818">
        <f>Resultaten!F31</f>
        <v/>
      </c>
      <c r="P10" s="818" t="n"/>
      <c r="Q10" s="818">
        <f>'BP - Annual'!G64</f>
        <v/>
      </c>
      <c r="R10" s="818">
        <f>'BP - Annual'!H64</f>
        <v/>
      </c>
      <c r="S10" s="818">
        <f>'BP - Annual'!I64</f>
        <v/>
      </c>
      <c r="T10" s="818">
        <f>'BP - Annual'!J64</f>
        <v/>
      </c>
      <c r="U10" s="818">
        <f>'BP - Annual'!K64</f>
        <v/>
      </c>
      <c r="V10" s="818" t="n"/>
      <c r="W10" s="818" t="n"/>
      <c r="X10" s="818" t="n"/>
      <c r="Y10" s="818" t="n"/>
      <c r="Z10" s="818" t="n"/>
      <c r="AA10" s="818" t="n"/>
      <c r="AB10" s="818" t="n"/>
      <c r="AC10" s="818" t="n"/>
      <c r="AD10" s="818" t="n"/>
      <c r="AE10" s="818" t="n"/>
      <c r="AF10" s="818" t="n"/>
      <c r="AG10" s="818" t="n"/>
      <c r="AH10" s="818" t="n"/>
      <c r="AI10" s="818" t="n"/>
      <c r="AJ10" s="818" t="n"/>
      <c r="AK10" s="818" t="n"/>
      <c r="AL10" s="818" t="n"/>
      <c r="AM10" s="818" t="n"/>
      <c r="AN10" s="818" t="n"/>
      <c r="AO10" s="818" t="n"/>
      <c r="AP10" s="818" t="n"/>
      <c r="AQ10" s="818" t="n"/>
      <c r="AR10" s="818" t="n"/>
      <c r="AS10" s="818" t="n"/>
      <c r="AT10" s="818" t="n"/>
      <c r="AU10" s="818" t="n"/>
      <c r="AV10" s="818" t="n"/>
    </row>
    <row r="11">
      <c r="A11" s="819" t="n"/>
      <c r="B11" s="588" t="inlineStr">
        <is>
          <t>Ebit</t>
        </is>
      </c>
      <c r="C11" s="589">
        <f>IF($B11="","",IF(C$1="","",IF(VLOOKUP($B11,$J$3:$AW$36,C$1,FALSE)="","",VLOOKUP($B11,$J$3:$AW$36,C$1,FALSE))))</f>
        <v/>
      </c>
      <c r="D11" s="590">
        <f>IF($B11="","",IF(D$1="","",IF(VLOOKUP($B11,$J$3:$AW$36,D$1,FALSE)="","",VLOOKUP($B11,$J$3:$AW$36,D$1,FALSE))))</f>
        <v/>
      </c>
      <c r="E11" s="591">
        <f>IF($B11="","",IF(E$1="","",IF(VLOOKUP($B11,$J$3:$AW$36,E$1,FALSE)="","",VLOOKUP($B11,$J$3:$AW$36,E$1,FALSE))))</f>
        <v/>
      </c>
      <c r="F11" s="589">
        <f>IF($B11="","",IF(F$1="","",IF(VLOOKUP($B11,$J$3:$AW$36,F$1,FALSE)="","",VLOOKUP($B11,$J$3:$AW$36,F$1,FALSE))))</f>
        <v/>
      </c>
      <c r="G11" s="590">
        <f>IF($B11="","",IF(G$1="","",IF(VLOOKUP($B11,$J$3:$AW$36,G$1,FALSE)="","",VLOOKUP($B11,$J$3:$AW$36,G$1,FALSE))))</f>
        <v/>
      </c>
      <c r="H11" s="591">
        <f>IF($B11="","",IF(H$1="","",IF(VLOOKUP($B11,$J$3:$AW$36,H$1,FALSE)="","",VLOOKUP($B11,$J$3:$AW$36,H$1,FALSE))))</f>
        <v/>
      </c>
      <c r="I11" s="593" t="n"/>
      <c r="J11" s="621" t="inlineStr">
        <is>
          <t>Netto Result</t>
        </is>
      </c>
      <c r="K11" s="818">
        <f>Resultaten!B48</f>
        <v/>
      </c>
      <c r="L11" s="818">
        <f>Resultaten!C48</f>
        <v/>
      </c>
      <c r="M11" s="818">
        <f>Resultaten!D48</f>
        <v/>
      </c>
      <c r="N11" s="818">
        <f>Resultaten!E48</f>
        <v/>
      </c>
      <c r="O11" s="818">
        <f>Resultaten!F48</f>
        <v/>
      </c>
      <c r="P11" s="818" t="n"/>
      <c r="Q11" s="818">
        <f>'BP - Annual'!G74</f>
        <v/>
      </c>
      <c r="R11" s="818">
        <f>'BP - Annual'!H74</f>
        <v/>
      </c>
      <c r="S11" s="818">
        <f>'BP - Annual'!I74</f>
        <v/>
      </c>
      <c r="T11" s="818">
        <f>'BP - Annual'!J74</f>
        <v/>
      </c>
      <c r="U11" s="818">
        <f>'BP - Annual'!K74</f>
        <v/>
      </c>
      <c r="V11" s="818" t="n"/>
      <c r="W11" s="818" t="n"/>
      <c r="X11" s="818" t="n"/>
      <c r="Y11" s="818" t="n"/>
      <c r="Z11" s="818" t="n"/>
      <c r="AA11" s="818" t="n"/>
      <c r="AB11" s="818" t="n"/>
      <c r="AC11" s="818" t="n"/>
      <c r="AD11" s="818" t="n"/>
      <c r="AE11" s="818" t="n"/>
      <c r="AF11" s="818" t="n"/>
      <c r="AG11" s="818" t="n"/>
      <c r="AH11" s="818" t="n"/>
      <c r="AI11" s="818" t="n"/>
      <c r="AJ11" s="818" t="n"/>
      <c r="AK11" s="818" t="n"/>
      <c r="AL11" s="818" t="n"/>
      <c r="AM11" s="818" t="n"/>
      <c r="AN11" s="818" t="n"/>
      <c r="AO11" s="818" t="n"/>
      <c r="AP11" s="818" t="n"/>
      <c r="AQ11" s="818" t="n"/>
      <c r="AR11" s="818" t="n"/>
      <c r="AS11" s="818" t="n"/>
      <c r="AT11" s="818" t="n"/>
      <c r="AU11" s="818" t="n"/>
      <c r="AV11" s="818" t="n"/>
    </row>
    <row r="12">
      <c r="A12" s="819" t="n"/>
      <c r="B12" s="588" t="inlineStr">
        <is>
          <t>Netto result</t>
        </is>
      </c>
      <c r="C12" s="589">
        <f>IF($B12="","",IF(C$1="","",IF(VLOOKUP($B12,$J$3:$AW$36,C$1,FALSE)="","",VLOOKUP($B12,$J$3:$AW$36,C$1,FALSE))))</f>
        <v/>
      </c>
      <c r="D12" s="590">
        <f>IF($B12="","",IF(D$1="","",IF(VLOOKUP($B12,$J$3:$AW$36,D$1,FALSE)="","",VLOOKUP($B12,$J$3:$AW$36,D$1,FALSE))))</f>
        <v/>
      </c>
      <c r="E12" s="591">
        <f>IF($B12="","",IF(E$1="","",IF(VLOOKUP($B12,$J$3:$AW$36,E$1,FALSE)="","",VLOOKUP($B12,$J$3:$AW$36,E$1,FALSE))))</f>
        <v/>
      </c>
      <c r="F12" s="589">
        <f>IF($B12="","",IF(F$1="","",IF(VLOOKUP($B12,$J$3:$AW$36,F$1,FALSE)="","",VLOOKUP($B12,$J$3:$AW$36,F$1,FALSE))))</f>
        <v/>
      </c>
      <c r="G12" s="590">
        <f>IF($B12="","",IF(G$1="","",IF(VLOOKUP($B12,$J$3:$AW$36,G$1,FALSE)="","",VLOOKUP($B12,$J$3:$AW$36,G$1,FALSE))))</f>
        <v/>
      </c>
      <c r="H12" s="591">
        <f>IF($B12="","",IF(H$1="","",IF(VLOOKUP($B12,$J$3:$AW$36,H$1,FALSE)="","",VLOOKUP($B12,$J$3:$AW$36,H$1,FALSE))))</f>
        <v/>
      </c>
      <c r="I12" s="593" t="n"/>
      <c r="J12" s="621" t="inlineStr">
        <is>
          <t>Cashflow (bhk)</t>
        </is>
      </c>
      <c r="K12" s="818">
        <f>Resultaten!B49</f>
        <v/>
      </c>
      <c r="L12" s="818">
        <f>Resultaten!C49</f>
        <v/>
      </c>
      <c r="M12" s="818">
        <f>Resultaten!D49</f>
        <v/>
      </c>
      <c r="N12" s="818">
        <f>Resultaten!E49</f>
        <v/>
      </c>
      <c r="O12" s="818">
        <f>Resultaten!F49</f>
        <v/>
      </c>
      <c r="P12" s="818" t="n"/>
      <c r="Q12" s="818">
        <f>Q11+Q9-Q10</f>
        <v/>
      </c>
      <c r="R12" s="818">
        <f>R11+R9-R10</f>
        <v/>
      </c>
      <c r="S12" s="818">
        <f>S11+S9-S10</f>
        <v/>
      </c>
      <c r="T12" s="818">
        <f>T11+T9-T10</f>
        <v/>
      </c>
      <c r="U12" s="818">
        <f>U11+U9-U10</f>
        <v/>
      </c>
      <c r="V12" s="818" t="n"/>
      <c r="W12" s="818" t="n"/>
      <c r="X12" s="818" t="n"/>
      <c r="Y12" s="818" t="n"/>
      <c r="Z12" s="818" t="n"/>
      <c r="AA12" s="818" t="n"/>
      <c r="AB12" s="818" t="n"/>
      <c r="AC12" s="818" t="n"/>
      <c r="AD12" s="818" t="n"/>
      <c r="AE12" s="818" t="n"/>
      <c r="AF12" s="818" t="n"/>
      <c r="AG12" s="818" t="n"/>
      <c r="AH12" s="818" t="n"/>
      <c r="AI12" s="818" t="n"/>
      <c r="AJ12" s="818" t="n"/>
      <c r="AK12" s="818" t="n"/>
      <c r="AL12" s="818" t="n"/>
      <c r="AM12" s="818" t="n"/>
      <c r="AN12" s="818" t="n"/>
      <c r="AO12" s="818" t="n"/>
      <c r="AP12" s="818" t="n"/>
      <c r="AQ12" s="818" t="n"/>
      <c r="AR12" s="818" t="n"/>
      <c r="AS12" s="818" t="n"/>
      <c r="AT12" s="818" t="n"/>
      <c r="AU12" s="818" t="n"/>
      <c r="AV12" s="818" t="n"/>
    </row>
    <row r="13">
      <c r="A13" s="819" t="n"/>
      <c r="B13" s="588" t="inlineStr">
        <is>
          <t>Cashflow (bhk)</t>
        </is>
      </c>
      <c r="C13" s="589">
        <f>IF($B13="","",IF(C$1="","",IF(VLOOKUP($B13,$J$3:$AW$36,C$1,FALSE)="","",VLOOKUP($B13,$J$3:$AW$36,C$1,FALSE))))</f>
        <v/>
      </c>
      <c r="D13" s="590">
        <f>IF($B13="","",IF(D$1="","",IF(VLOOKUP($B13,$J$3:$AW$36,D$1,FALSE)="","",VLOOKUP($B13,$J$3:$AW$36,D$1,FALSE))))</f>
        <v/>
      </c>
      <c r="E13" s="591">
        <f>IF($B13="","",IF(E$1="","",IF(VLOOKUP($B13,$J$3:$AW$36,E$1,FALSE)="","",VLOOKUP($B13,$J$3:$AW$36,E$1,FALSE))))</f>
        <v/>
      </c>
      <c r="F13" s="589">
        <f>IF($B13="","",IF(F$1="","",IF(VLOOKUP($B13,$J$3:$AW$36,F$1,FALSE)="","",VLOOKUP($B13,$J$3:$AW$36,F$1,FALSE))))</f>
        <v/>
      </c>
      <c r="G13" s="590">
        <f>IF($B13="","",IF(G$1="","",IF(VLOOKUP($B13,$J$3:$AW$36,G$1,FALSE)="","",VLOOKUP($B13,$J$3:$AW$36,G$1,FALSE))))</f>
        <v/>
      </c>
      <c r="H13" s="591">
        <f>IF($B13="","",IF(H$1="","",IF(VLOOKUP($B13,$J$3:$AW$36,H$1,FALSE)="","",VLOOKUP($B13,$J$3:$AW$36,H$1,FALSE))))</f>
        <v/>
      </c>
      <c r="I13" s="593" t="n"/>
      <c r="J13" s="621" t="inlineStr">
        <is>
          <t>Investeringen</t>
        </is>
      </c>
      <c r="K13" s="818">
        <f>Historiek!B416/1000</f>
        <v/>
      </c>
      <c r="L13" s="818">
        <f>Historiek!C416/1000</f>
        <v/>
      </c>
      <c r="M13" s="818">
        <f>Historiek!D416/1000</f>
        <v/>
      </c>
      <c r="N13" s="818">
        <f>Historiek!E416/1000</f>
        <v/>
      </c>
      <c r="O13" s="818">
        <f>Historiek!F416/1000</f>
        <v/>
      </c>
      <c r="P13" s="818" t="n"/>
      <c r="Q13" s="818">
        <f>'BP - Annual'!G86</f>
        <v/>
      </c>
      <c r="R13" s="818">
        <f>'BP - Annual'!H86</f>
        <v/>
      </c>
      <c r="S13" s="818">
        <f>'BP - Annual'!I86</f>
        <v/>
      </c>
      <c r="T13" s="818">
        <f>'BP - Annual'!J86</f>
        <v/>
      </c>
      <c r="U13" s="818">
        <f>'BP - Annual'!K86</f>
        <v/>
      </c>
      <c r="V13" s="818" t="n"/>
      <c r="W13" s="818" t="n"/>
      <c r="X13" s="818" t="n"/>
      <c r="Y13" s="818" t="n"/>
      <c r="Z13" s="818" t="n"/>
      <c r="AA13" s="818" t="n"/>
      <c r="AB13" s="818" t="n"/>
      <c r="AC13" s="818" t="n"/>
      <c r="AD13" s="818" t="n"/>
      <c r="AE13" s="818" t="n"/>
      <c r="AF13" s="818" t="n"/>
      <c r="AG13" s="818" t="n"/>
      <c r="AH13" s="818" t="n"/>
      <c r="AI13" s="818" t="n"/>
      <c r="AJ13" s="818" t="n"/>
      <c r="AK13" s="818" t="n"/>
      <c r="AL13" s="818" t="n"/>
      <c r="AM13" s="818" t="n"/>
      <c r="AN13" s="818" t="n"/>
      <c r="AO13" s="818" t="n"/>
      <c r="AP13" s="818" t="n"/>
      <c r="AQ13" s="818" t="n"/>
      <c r="AR13" s="818" t="n"/>
      <c r="AS13" s="818" t="n"/>
      <c r="AT13" s="818" t="n"/>
      <c r="AU13" s="818" t="n"/>
      <c r="AV13" s="818" t="n"/>
    </row>
    <row r="14">
      <c r="A14" s="819" t="n"/>
      <c r="B14" s="597" t="inlineStr">
        <is>
          <t>Cashburn / maand</t>
        </is>
      </c>
      <c r="C14" s="598">
        <f>IF($B14="","",IF(C$1="","",IF(VLOOKUP($B14,$J$3:$AW$36,C$1,FALSE)="","",VLOOKUP($B14,$J$3:$AW$36,C$1,FALSE))))</f>
        <v/>
      </c>
      <c r="D14" s="599">
        <f>IF($B14="","",IF(D$1="","",IF(VLOOKUP($B14,$J$3:$AW$36,D$1,FALSE)="","",VLOOKUP($B14,$J$3:$AW$36,D$1,FALSE))))</f>
        <v/>
      </c>
      <c r="E14" s="600">
        <f>IF($B14="","",IF(E$1="","",IF(VLOOKUP($B14,$J$3:$AW$36,E$1,FALSE)="","",VLOOKUP($B14,$J$3:$AW$36,E$1,FALSE))))</f>
        <v/>
      </c>
      <c r="F14" s="598">
        <f>IF($B14="","",IF(F$1="","",IF(VLOOKUP($B14,$J$3:$AW$36,F$1,FALSE)="","",VLOOKUP($B14,$J$3:$AW$36,F$1,FALSE))))</f>
        <v/>
      </c>
      <c r="G14" s="599">
        <f>IF($B14="","",IF(G$1="","",IF(VLOOKUP($B14,$J$3:$AW$36,G$1,FALSE)="","",VLOOKUP($B14,$J$3:$AW$36,G$1,FALSE))))</f>
        <v/>
      </c>
      <c r="H14" s="600">
        <f>IF($B14="","",IF(H$1="","",IF(VLOOKUP($B14,$J$3:$AW$36,H$1,FALSE)="","",VLOOKUP($B14,$J$3:$AW$36,H$1,FALSE))))</f>
        <v/>
      </c>
      <c r="I14" s="593" t="n"/>
      <c r="J14" s="621" t="inlineStr">
        <is>
          <t>Subsidies</t>
        </is>
      </c>
      <c r="K14" s="821" t="n"/>
      <c r="L14" s="821" t="n"/>
      <c r="M14" s="821" t="n"/>
      <c r="N14" s="821" t="n"/>
      <c r="O14" s="821" t="n"/>
      <c r="P14" s="818" t="n"/>
      <c r="Q14" s="821" t="n"/>
      <c r="R14" s="821" t="n"/>
      <c r="S14" s="821" t="n"/>
      <c r="T14" s="821" t="n"/>
      <c r="U14" s="821" t="n"/>
      <c r="V14" s="818" t="n"/>
      <c r="W14" s="818" t="n"/>
      <c r="X14" s="818" t="n"/>
      <c r="Y14" s="818" t="n"/>
      <c r="Z14" s="818" t="n"/>
      <c r="AA14" s="818" t="n"/>
      <c r="AB14" s="818" t="n"/>
      <c r="AC14" s="818" t="n"/>
      <c r="AD14" s="818" t="n"/>
      <c r="AE14" s="818" t="n"/>
      <c r="AF14" s="818" t="n"/>
      <c r="AG14" s="818" t="n"/>
      <c r="AH14" s="818" t="n"/>
      <c r="AI14" s="818" t="n"/>
      <c r="AJ14" s="818" t="n"/>
      <c r="AK14" s="818" t="n"/>
      <c r="AL14" s="818" t="n"/>
      <c r="AM14" s="818" t="n"/>
      <c r="AN14" s="818" t="n"/>
      <c r="AO14" s="818" t="n"/>
      <c r="AP14" s="818" t="n"/>
      <c r="AQ14" s="818" t="n"/>
      <c r="AR14" s="818" t="n"/>
      <c r="AS14" s="818" t="n"/>
      <c r="AT14" s="818" t="n"/>
      <c r="AU14" s="818" t="n"/>
      <c r="AV14" s="818" t="n"/>
    </row>
    <row r="15">
      <c r="A15" s="811" t="inlineStr">
        <is>
          <t>Balans</t>
        </is>
      </c>
      <c r="B15" s="582" t="inlineStr">
        <is>
          <t>IVA</t>
        </is>
      </c>
      <c r="C15" s="583">
        <f>IF($B15="","",IF(C$1="","",IF(VLOOKUP($B15,$J$3:$AW$36,C$1,FALSE)="","",VLOOKUP($B15,$J$3:$AW$36,C$1,FALSE))))</f>
        <v/>
      </c>
      <c r="D15" s="584">
        <f>IF($B15="","",IF(D$1="","",IF(VLOOKUP($B15,$J$3:$AW$36,D$1,FALSE)="","",VLOOKUP($B15,$J$3:$AW$36,D$1,FALSE))))</f>
        <v/>
      </c>
      <c r="E15" s="585">
        <f>IF($B15="","",IF(E$1="","",IF(VLOOKUP($B15,$J$3:$AW$36,E$1,FALSE)="","",VLOOKUP($B15,$J$3:$AW$36,E$1,FALSE))))</f>
        <v/>
      </c>
      <c r="F15" s="583">
        <f>IF($B15="","",IF(F$1="","",IF(VLOOKUP($B15,$J$3:$AW$36,F$1,FALSE)="","",VLOOKUP($B15,$J$3:$AW$36,F$1,FALSE))))</f>
        <v/>
      </c>
      <c r="G15" s="584">
        <f>IF($B15="","",IF(G$1="","",IF(VLOOKUP($B15,$J$3:$AW$36,G$1,FALSE)="","",VLOOKUP($B15,$J$3:$AW$36,G$1,FALSE))))</f>
        <v/>
      </c>
      <c r="H15" s="585">
        <f>IF($B15="","",IF(H$1="","",IF(VLOOKUP($B15,$J$3:$AW$36,H$1,FALSE)="","",VLOOKUP($B15,$J$3:$AW$36,H$1,FALSE))))</f>
        <v/>
      </c>
      <c r="I15" s="593" t="n"/>
      <c r="J15" s="621" t="inlineStr">
        <is>
          <t>Activering</t>
        </is>
      </c>
      <c r="K15" s="821" t="n"/>
      <c r="L15" s="821" t="n"/>
      <c r="M15" s="821" t="n"/>
      <c r="N15" s="821" t="n"/>
      <c r="O15" s="821" t="n"/>
      <c r="P15" s="818" t="n"/>
      <c r="Q15" s="821" t="n"/>
      <c r="R15" s="821" t="n"/>
      <c r="S15" s="821" t="n"/>
      <c r="T15" s="821" t="n"/>
      <c r="U15" s="821" t="n"/>
      <c r="V15" s="818" t="n"/>
      <c r="W15" s="818" t="n"/>
      <c r="X15" s="818" t="n"/>
      <c r="Y15" s="818" t="n"/>
      <c r="Z15" s="818" t="n"/>
      <c r="AA15" s="818" t="n"/>
      <c r="AB15" s="818" t="n"/>
      <c r="AC15" s="818" t="n"/>
      <c r="AD15" s="818" t="n"/>
      <c r="AE15" s="818" t="n"/>
      <c r="AF15" s="818" t="n"/>
      <c r="AG15" s="818" t="n"/>
      <c r="AH15" s="818" t="n"/>
      <c r="AI15" s="818" t="n"/>
      <c r="AJ15" s="818" t="n"/>
      <c r="AK15" s="818" t="n"/>
      <c r="AL15" s="818" t="n"/>
      <c r="AM15" s="818" t="n"/>
      <c r="AN15" s="818" t="n"/>
      <c r="AO15" s="818" t="n"/>
      <c r="AP15" s="818" t="n"/>
      <c r="AQ15" s="818" t="n"/>
      <c r="AR15" s="818" t="n"/>
      <c r="AS15" s="818" t="n"/>
      <c r="AT15" s="818" t="n"/>
      <c r="AU15" s="818" t="n"/>
      <c r="AV15" s="818" t="n"/>
    </row>
    <row r="16">
      <c r="A16" s="819" t="n"/>
      <c r="B16" s="588" t="inlineStr">
        <is>
          <t>MVA</t>
        </is>
      </c>
      <c r="C16" s="589">
        <f>IF($B16="","",IF(C$1="","",IF(VLOOKUP($B16,$J$3:$AW$36,C$1,FALSE)="","",VLOOKUP($B16,$J$3:$AW$36,C$1,FALSE))))</f>
        <v/>
      </c>
      <c r="D16" s="590">
        <f>IF($B16="","",IF(D$1="","",IF(VLOOKUP($B16,$J$3:$AW$36,D$1,FALSE)="","",VLOOKUP($B16,$J$3:$AW$36,D$1,FALSE))))</f>
        <v/>
      </c>
      <c r="E16" s="591">
        <f>IF($B16="","",IF(E$1="","",IF(VLOOKUP($B16,$J$3:$AW$36,E$1,FALSE)="","",VLOOKUP($B16,$J$3:$AW$36,E$1,FALSE))))</f>
        <v/>
      </c>
      <c r="F16" s="589">
        <f>IF($B16="","",IF(F$1="","",IF(VLOOKUP($B16,$J$3:$AW$36,F$1,FALSE)="","",VLOOKUP($B16,$J$3:$AW$36,F$1,FALSE))))</f>
        <v/>
      </c>
      <c r="G16" s="590">
        <f>IF($B16="","",IF(G$1="","",IF(VLOOKUP($B16,$J$3:$AW$36,G$1,FALSE)="","",VLOOKUP($B16,$J$3:$AW$36,G$1,FALSE))))</f>
        <v/>
      </c>
      <c r="H16" s="591">
        <f>IF($B16="","",IF(H$1="","",IF(VLOOKUP($B16,$J$3:$AW$36,H$1,FALSE)="","",VLOOKUP($B16,$J$3:$AW$36,H$1,FALSE))))</f>
        <v/>
      </c>
      <c r="I16" s="593" t="n"/>
      <c r="J16" s="601" t="inlineStr">
        <is>
          <t>IVA</t>
        </is>
      </c>
      <c r="K16" s="818">
        <f>Balans!B7</f>
        <v/>
      </c>
      <c r="L16" s="818">
        <f>Balans!C7</f>
        <v/>
      </c>
      <c r="M16" s="818">
        <f>Balans!D7</f>
        <v/>
      </c>
      <c r="N16" s="818">
        <f>Balans!E7</f>
        <v/>
      </c>
      <c r="O16" s="818">
        <f>Balans!F7</f>
        <v/>
      </c>
      <c r="P16" s="818" t="n"/>
      <c r="Q16" s="818">
        <f>'BP - Annual'!G10</f>
        <v/>
      </c>
      <c r="R16" s="818">
        <f>'BP - Annual'!H10</f>
        <v/>
      </c>
      <c r="S16" s="818">
        <f>'BP - Annual'!I10</f>
        <v/>
      </c>
      <c r="T16" s="818">
        <f>'BP - Annual'!J10</f>
        <v/>
      </c>
      <c r="U16" s="818">
        <f>'BP - Annual'!K10</f>
        <v/>
      </c>
      <c r="V16" s="818" t="n"/>
      <c r="W16" s="818" t="n"/>
      <c r="X16" s="818" t="n"/>
      <c r="Y16" s="818" t="n"/>
      <c r="Z16" s="818" t="n"/>
      <c r="AA16" s="818" t="n"/>
      <c r="AB16" s="818" t="n"/>
      <c r="AC16" s="818" t="n"/>
      <c r="AD16" s="818" t="n"/>
      <c r="AE16" s="818" t="n"/>
      <c r="AF16" s="818" t="n"/>
      <c r="AG16" s="818" t="n"/>
      <c r="AH16" s="818" t="n"/>
      <c r="AI16" s="818" t="n"/>
      <c r="AJ16" s="818" t="n"/>
      <c r="AK16" s="818" t="n"/>
      <c r="AL16" s="818" t="n"/>
      <c r="AM16" s="818" t="n"/>
      <c r="AN16" s="818" t="n"/>
      <c r="AO16" s="818" t="n"/>
      <c r="AP16" s="818" t="n"/>
      <c r="AQ16" s="818" t="n"/>
      <c r="AR16" s="818" t="n"/>
      <c r="AS16" s="818" t="n"/>
      <c r="AT16" s="818" t="n"/>
      <c r="AU16" s="818" t="n"/>
      <c r="AV16" s="818" t="n"/>
    </row>
    <row r="17">
      <c r="A17" s="819" t="n"/>
      <c r="B17" s="588" t="inlineStr">
        <is>
          <t>Behoefte BK</t>
        </is>
      </c>
      <c r="C17" s="589">
        <f>IF($B17="","",IF(C$1="","",IF(VLOOKUP($B17,$J$3:$AW$36,C$1,FALSE)="","",VLOOKUP($B17,$J$3:$AW$36,C$1,FALSE))))</f>
        <v/>
      </c>
      <c r="D17" s="590">
        <f>IF($B17="","",IF(D$1="","",IF(VLOOKUP($B17,$J$3:$AW$36,D$1,FALSE)="","",VLOOKUP($B17,$J$3:$AW$36,D$1,FALSE))))</f>
        <v/>
      </c>
      <c r="E17" s="591">
        <f>IF($B17="","",IF(E$1="","",IF(VLOOKUP($B17,$J$3:$AW$36,E$1,FALSE)="","",VLOOKUP($B17,$J$3:$AW$36,E$1,FALSE))))</f>
        <v/>
      </c>
      <c r="F17" s="589">
        <f>IF($B17="","",IF(F$1="","",IF(VLOOKUP($B17,$J$3:$AW$36,F$1,FALSE)="","",VLOOKUP($B17,$J$3:$AW$36,F$1,FALSE))))</f>
        <v/>
      </c>
      <c r="G17" s="590">
        <f>IF($B17="","",IF(G$1="","",IF(VLOOKUP($B17,$J$3:$AW$36,G$1,FALSE)="","",VLOOKUP($B17,$J$3:$AW$36,G$1,FALSE))))</f>
        <v/>
      </c>
      <c r="H17" s="591">
        <f>IF($B17="","",IF(H$1="","",IF(VLOOKUP($B17,$J$3:$AW$36,H$1,FALSE)="","",VLOOKUP($B17,$J$3:$AW$36,H$1,FALSE))))</f>
        <v/>
      </c>
      <c r="I17" s="593" t="n"/>
      <c r="J17" s="601" t="inlineStr">
        <is>
          <t>MVA</t>
        </is>
      </c>
      <c r="K17" s="818">
        <f>Balans!B8</f>
        <v/>
      </c>
      <c r="L17" s="818">
        <f>Balans!C8</f>
        <v/>
      </c>
      <c r="M17" s="818">
        <f>Balans!D8</f>
        <v/>
      </c>
      <c r="N17" s="818">
        <f>Balans!E8</f>
        <v/>
      </c>
      <c r="O17" s="818">
        <f>Balans!F8</f>
        <v/>
      </c>
      <c r="P17" s="818" t="n"/>
      <c r="Q17" s="818">
        <f>'BP - Annual'!G11</f>
        <v/>
      </c>
      <c r="R17" s="818">
        <f>'BP - Annual'!H11</f>
        <v/>
      </c>
      <c r="S17" s="818">
        <f>'BP - Annual'!I11</f>
        <v/>
      </c>
      <c r="T17" s="818">
        <f>'BP - Annual'!J11</f>
        <v/>
      </c>
      <c r="U17" s="818">
        <f>'BP - Annual'!K11</f>
        <v/>
      </c>
      <c r="V17" s="818" t="n"/>
      <c r="W17" s="818" t="n"/>
      <c r="X17" s="818" t="n"/>
      <c r="Y17" s="818" t="n"/>
      <c r="Z17" s="818" t="n"/>
      <c r="AA17" s="818" t="n"/>
      <c r="AB17" s="818" t="n"/>
      <c r="AC17" s="818" t="n"/>
      <c r="AD17" s="818" t="n"/>
      <c r="AE17" s="818" t="n"/>
      <c r="AF17" s="818" t="n"/>
      <c r="AG17" s="818" t="n"/>
      <c r="AH17" s="818" t="n"/>
      <c r="AI17" s="818" t="n"/>
      <c r="AJ17" s="818" t="n"/>
      <c r="AK17" s="818" t="n"/>
      <c r="AL17" s="818" t="n"/>
      <c r="AM17" s="818" t="n"/>
      <c r="AN17" s="818" t="n"/>
      <c r="AO17" s="818" t="n"/>
      <c r="AP17" s="818" t="n"/>
      <c r="AQ17" s="818" t="n"/>
      <c r="AR17" s="818" t="n"/>
      <c r="AS17" s="818" t="n"/>
      <c r="AT17" s="818" t="n"/>
      <c r="AU17" s="818" t="n"/>
      <c r="AV17" s="818" t="n"/>
    </row>
    <row r="18">
      <c r="A18" s="819" t="n"/>
      <c r="B18" s="588" t="inlineStr">
        <is>
          <t>Cash</t>
        </is>
      </c>
      <c r="C18" s="589">
        <f>IF($B18="","",IF(C$1="","",IF(VLOOKUP($B18,$J$3:$AW$36,C$1,FALSE)="","",VLOOKUP($B18,$J$3:$AW$36,C$1,FALSE))))</f>
        <v/>
      </c>
      <c r="D18" s="590">
        <f>IF($B18="","",IF(D$1="","",IF(VLOOKUP($B18,$J$3:$AW$36,D$1,FALSE)="","",VLOOKUP($B18,$J$3:$AW$36,D$1,FALSE))))</f>
        <v/>
      </c>
      <c r="E18" s="591">
        <f>IF($B18="","",IF(E$1="","",IF(VLOOKUP($B18,$J$3:$AW$36,E$1,FALSE)="","",VLOOKUP($B18,$J$3:$AW$36,E$1,FALSE))))</f>
        <v/>
      </c>
      <c r="F18" s="589">
        <f>IF($B18="","",IF(F$1="","",IF(VLOOKUP($B18,$J$3:$AW$36,F$1,FALSE)="","",VLOOKUP($B18,$J$3:$AW$36,F$1,FALSE))))</f>
        <v/>
      </c>
      <c r="G18" s="590">
        <f>IF($B18="","",IF(G$1="","",IF(VLOOKUP($B18,$J$3:$AW$36,G$1,FALSE)="","",VLOOKUP($B18,$J$3:$AW$36,G$1,FALSE))))</f>
        <v/>
      </c>
      <c r="H18" s="591">
        <f>IF($B18="","",IF(H$1="","",IF(VLOOKUP($B18,$J$3:$AW$36,H$1,FALSE)="","",VLOOKUP($B18,$J$3:$AW$36,H$1,FALSE))))</f>
        <v/>
      </c>
      <c r="I18" s="593" t="n"/>
      <c r="J18" s="601" t="inlineStr">
        <is>
          <t>FVA</t>
        </is>
      </c>
      <c r="K18" s="818">
        <f>Balans!B12</f>
        <v/>
      </c>
      <c r="L18" s="818">
        <f>Balans!C12</f>
        <v/>
      </c>
      <c r="M18" s="818">
        <f>Balans!D12</f>
        <v/>
      </c>
      <c r="N18" s="818">
        <f>Balans!E12</f>
        <v/>
      </c>
      <c r="O18" s="818">
        <f>Balans!F12</f>
        <v/>
      </c>
      <c r="P18" s="818" t="n"/>
      <c r="Q18" s="818">
        <f>'BP - Annual'!G12</f>
        <v/>
      </c>
      <c r="R18" s="818">
        <f>'BP - Annual'!H12</f>
        <v/>
      </c>
      <c r="S18" s="818">
        <f>'BP - Annual'!I12</f>
        <v/>
      </c>
      <c r="T18" s="818">
        <f>'BP - Annual'!J12</f>
        <v/>
      </c>
      <c r="U18" s="818">
        <f>'BP - Annual'!K12</f>
        <v/>
      </c>
      <c r="V18" s="818" t="n"/>
      <c r="W18" s="818" t="n"/>
      <c r="X18" s="818" t="n"/>
      <c r="Y18" s="818" t="n"/>
      <c r="Z18" s="818" t="n"/>
      <c r="AA18" s="818" t="n"/>
      <c r="AB18" s="818" t="n"/>
      <c r="AC18" s="818" t="n"/>
      <c r="AD18" s="818" t="n"/>
      <c r="AE18" s="818" t="n"/>
      <c r="AF18" s="818" t="n"/>
      <c r="AG18" s="818" t="n"/>
      <c r="AH18" s="818" t="n"/>
      <c r="AI18" s="818" t="n"/>
      <c r="AJ18" s="818" t="n"/>
      <c r="AK18" s="818" t="n"/>
      <c r="AL18" s="818" t="n"/>
      <c r="AM18" s="818" t="n"/>
      <c r="AN18" s="818" t="n"/>
      <c r="AO18" s="818" t="n"/>
      <c r="AP18" s="818" t="n"/>
      <c r="AQ18" s="818" t="n"/>
      <c r="AR18" s="818" t="n"/>
      <c r="AS18" s="818" t="n"/>
      <c r="AT18" s="818" t="n"/>
      <c r="AU18" s="818" t="n"/>
      <c r="AV18" s="818" t="n"/>
    </row>
    <row r="19">
      <c r="A19" s="819" t="n"/>
      <c r="B19" s="588" t="inlineStr">
        <is>
          <t>Eigen vermogen</t>
        </is>
      </c>
      <c r="C19" s="589">
        <f>IF($B19="","",IF(C$1="","",IF(VLOOKUP($B19,$J$3:$AW$36,C$1,FALSE)="","",VLOOKUP($B19,$J$3:$AW$36,C$1,FALSE))))</f>
        <v/>
      </c>
      <c r="D19" s="590">
        <f>IF($B19="","",IF(D$1="","",IF(VLOOKUP($B19,$J$3:$AW$36,D$1,FALSE)="","",VLOOKUP($B19,$J$3:$AW$36,D$1,FALSE))))</f>
        <v/>
      </c>
      <c r="E19" s="591">
        <f>IF($B19="","",IF(E$1="","",IF(VLOOKUP($B19,$J$3:$AW$36,E$1,FALSE)="","",VLOOKUP($B19,$J$3:$AW$36,E$1,FALSE))))</f>
        <v/>
      </c>
      <c r="F19" s="589">
        <f>IF($B19="","",IF(F$1="","",IF(VLOOKUP($B19,$J$3:$AW$36,F$1,FALSE)="","",VLOOKUP($B19,$J$3:$AW$36,F$1,FALSE))))</f>
        <v/>
      </c>
      <c r="G19" s="590">
        <f>IF($B19="","",IF(G$1="","",IF(VLOOKUP($B19,$J$3:$AW$36,G$1,FALSE)="","",VLOOKUP($B19,$J$3:$AW$36,G$1,FALSE))))</f>
        <v/>
      </c>
      <c r="H19" s="591">
        <f>IF($B19="","",IF(H$1="","",IF(VLOOKUP($B19,$J$3:$AW$36,H$1,FALSE)="","",VLOOKUP($B19,$J$3:$AW$36,H$1,FALSE))))</f>
        <v/>
      </c>
      <c r="I19" s="593" t="n"/>
      <c r="J19" s="601" t="inlineStr">
        <is>
          <t>Behoefte BK</t>
        </is>
      </c>
      <c r="K19" s="818">
        <f>Balans!B76</f>
        <v/>
      </c>
      <c r="L19" s="818">
        <f>Balans!C76</f>
        <v/>
      </c>
      <c r="M19" s="818">
        <f>Balans!D76</f>
        <v/>
      </c>
      <c r="N19" s="818">
        <f>Balans!E76</f>
        <v/>
      </c>
      <c r="O19" s="818">
        <f>Balans!F76</f>
        <v/>
      </c>
      <c r="P19" s="818" t="n"/>
      <c r="Q19" s="818">
        <f>'BP - Annual'!G127</f>
        <v/>
      </c>
      <c r="R19" s="818">
        <f>'BP - Annual'!H127</f>
        <v/>
      </c>
      <c r="S19" s="818">
        <f>'BP - Annual'!I127</f>
        <v/>
      </c>
      <c r="T19" s="818">
        <f>'BP - Annual'!J127</f>
        <v/>
      </c>
      <c r="U19" s="818">
        <f>'BP - Annual'!K127</f>
        <v/>
      </c>
      <c r="V19" s="818" t="n"/>
      <c r="W19" s="818" t="n"/>
      <c r="X19" s="818" t="n"/>
      <c r="Y19" s="818" t="n"/>
      <c r="Z19" s="818" t="n"/>
      <c r="AA19" s="818" t="n"/>
      <c r="AB19" s="818" t="n"/>
      <c r="AC19" s="818" t="n"/>
      <c r="AD19" s="818" t="n"/>
      <c r="AE19" s="818" t="n"/>
      <c r="AF19" s="818" t="n"/>
      <c r="AG19" s="818" t="n"/>
      <c r="AH19" s="818" t="n"/>
      <c r="AI19" s="818" t="n"/>
      <c r="AJ19" s="818" t="n"/>
      <c r="AK19" s="818" t="n"/>
      <c r="AL19" s="818" t="n"/>
      <c r="AM19" s="818" t="n"/>
      <c r="AN19" s="818" t="n"/>
      <c r="AO19" s="818" t="n"/>
      <c r="AP19" s="818" t="n"/>
      <c r="AQ19" s="818" t="n"/>
      <c r="AR19" s="818" t="n"/>
      <c r="AS19" s="818" t="n"/>
      <c r="AT19" s="818" t="n"/>
      <c r="AU19" s="818" t="n"/>
      <c r="AV19" s="818" t="n"/>
    </row>
    <row r="20">
      <c r="A20" s="819" t="n"/>
      <c r="B20" s="597" t="inlineStr">
        <is>
          <t>NFD</t>
        </is>
      </c>
      <c r="C20" s="598">
        <f>IF($B20="","",IF(C$1="","",IF(VLOOKUP($B20,$J$3:$AW$36,C$1,FALSE)="","",VLOOKUP($B20,$J$3:$AW$36,C$1,FALSE))))</f>
        <v/>
      </c>
      <c r="D20" s="599">
        <f>IF($B20="","",IF(D$1="","",IF(VLOOKUP($B20,$J$3:$AW$36,D$1,FALSE)="","",VLOOKUP($B20,$J$3:$AW$36,D$1,FALSE))))</f>
        <v/>
      </c>
      <c r="E20" s="600">
        <f>IF($B20="","",IF(E$1="","",IF(VLOOKUP($B20,$J$3:$AW$36,E$1,FALSE)="","",VLOOKUP($B20,$J$3:$AW$36,E$1,FALSE))))</f>
        <v/>
      </c>
      <c r="F20" s="598">
        <f>IF($B20="","",IF(F$1="","",IF(VLOOKUP($B20,$J$3:$AW$36,F$1,FALSE)="","",VLOOKUP($B20,$J$3:$AW$36,F$1,FALSE))))</f>
        <v/>
      </c>
      <c r="G20" s="599">
        <f>IF($B20="","",IF(G$1="","",IF(VLOOKUP($B20,$J$3:$AW$36,G$1,FALSE)="","",VLOOKUP($B20,$J$3:$AW$36,G$1,FALSE))))</f>
        <v/>
      </c>
      <c r="H20" s="600">
        <f>IF($B20="","",IF(H$1="","",IF(VLOOKUP($B20,$J$3:$AW$36,H$1,FALSE)="","",VLOOKUP($B20,$J$3:$AW$36,H$1,FALSE))))</f>
        <v/>
      </c>
      <c r="I20" s="593" t="n"/>
      <c r="J20" s="601" t="inlineStr">
        <is>
          <t>Kapitaal</t>
        </is>
      </c>
      <c r="K20" s="818">
        <f>Balans!B33</f>
        <v/>
      </c>
      <c r="L20" s="818">
        <f>Balans!C33</f>
        <v/>
      </c>
      <c r="M20" s="818">
        <f>Balans!D33</f>
        <v/>
      </c>
      <c r="N20" s="818">
        <f>Balans!E33</f>
        <v/>
      </c>
      <c r="O20" s="818">
        <f>Balans!F33</f>
        <v/>
      </c>
      <c r="P20" s="818" t="n"/>
      <c r="Q20" s="818">
        <f>'BP - Annual'!G24</f>
        <v/>
      </c>
      <c r="R20" s="818">
        <f>'BP - Annual'!H24</f>
        <v/>
      </c>
      <c r="S20" s="818">
        <f>'BP - Annual'!I24</f>
        <v/>
      </c>
      <c r="T20" s="818">
        <f>'BP - Annual'!J24</f>
        <v/>
      </c>
      <c r="U20" s="818">
        <f>'BP - Annual'!K24</f>
        <v/>
      </c>
      <c r="V20" s="818" t="n"/>
      <c r="W20" s="818" t="n"/>
      <c r="X20" s="818" t="n"/>
      <c r="Y20" s="818" t="n"/>
      <c r="Z20" s="818" t="n"/>
      <c r="AA20" s="818" t="n"/>
      <c r="AB20" s="818" t="n"/>
      <c r="AC20" s="818" t="n"/>
      <c r="AD20" s="818" t="n"/>
      <c r="AE20" s="818" t="n"/>
      <c r="AF20" s="818" t="n"/>
      <c r="AG20" s="818" t="n"/>
      <c r="AH20" s="818" t="n"/>
      <c r="AI20" s="818" t="n"/>
      <c r="AJ20" s="818" t="n"/>
      <c r="AK20" s="818" t="n"/>
      <c r="AL20" s="818" t="n"/>
      <c r="AM20" s="818" t="n"/>
      <c r="AN20" s="818" t="n"/>
      <c r="AO20" s="818" t="n"/>
      <c r="AP20" s="818" t="n"/>
      <c r="AQ20" s="818" t="n"/>
      <c r="AR20" s="818" t="n"/>
      <c r="AS20" s="818" t="n"/>
      <c r="AT20" s="818" t="n"/>
      <c r="AU20" s="818" t="n"/>
      <c r="AV20" s="818" t="n"/>
    </row>
    <row r="21" outlineLevel="1" ht="15" customHeight="1">
      <c r="A21" s="822" t="inlineStr">
        <is>
          <t>Ratio's</t>
        </is>
      </c>
      <c r="B21" s="582" t="inlineStr">
        <is>
          <t>NFD / Ebitda</t>
        </is>
      </c>
      <c r="C21" s="823">
        <f>IF($B21="","",IF(C$1="","",IF(VLOOKUP($B21,$J$3:$AW$36,C$1,FALSE)="","",VLOOKUP($B21,$J$3:$AW$36,C$1,FALSE))))</f>
        <v/>
      </c>
      <c r="D21" s="824">
        <f>IF($B21="","",IF(D$1="","",IF(VLOOKUP($B21,$J$3:$AW$36,D$1,FALSE)="","",VLOOKUP($B21,$J$3:$AW$36,D$1,FALSE))))</f>
        <v/>
      </c>
      <c r="E21" s="825">
        <f>IF($B21="","",IF(E$1="","",IF(VLOOKUP($B21,$J$3:$AW$36,E$1,FALSE)="","",VLOOKUP($B21,$J$3:$AW$36,E$1,FALSE))))</f>
        <v/>
      </c>
      <c r="F21" s="823">
        <f>IF($B21="","",IF(F$1="","",IF(VLOOKUP($B21,$J$3:$AW$36,F$1,FALSE)="","",VLOOKUP($B21,$J$3:$AW$36,F$1,FALSE))))</f>
        <v/>
      </c>
      <c r="G21" s="824">
        <f>IF($B21="","",IF(G$1="","",IF(VLOOKUP($B21,$J$3:$AW$36,G$1,FALSE)="","",VLOOKUP($B21,$J$3:$AW$36,G$1,FALSE))))</f>
        <v/>
      </c>
      <c r="H21" s="825">
        <f>IF($B21="","",IF(H$1="","",IF(VLOOKUP($B21,$J$3:$AW$36,H$1,FALSE)="","",VLOOKUP($B21,$J$3:$AW$36,H$1,FALSE))))</f>
        <v/>
      </c>
      <c r="I21" s="593" t="n"/>
      <c r="J21" s="601" t="inlineStr">
        <is>
          <t>Eigen vermogen</t>
        </is>
      </c>
      <c r="K21" s="818">
        <f>Balans!B38</f>
        <v/>
      </c>
      <c r="L21" s="818">
        <f>Balans!C38</f>
        <v/>
      </c>
      <c r="M21" s="818">
        <f>Balans!D38</f>
        <v/>
      </c>
      <c r="N21" s="818">
        <f>Balans!E38</f>
        <v/>
      </c>
      <c r="O21" s="818">
        <f>Balans!F38</f>
        <v/>
      </c>
      <c r="P21" s="818" t="n"/>
      <c r="Q21" s="818">
        <f>'BP - Annual'!G29</f>
        <v/>
      </c>
      <c r="R21" s="818">
        <f>'BP - Annual'!H29</f>
        <v/>
      </c>
      <c r="S21" s="818">
        <f>'BP - Annual'!I29</f>
        <v/>
      </c>
      <c r="T21" s="818">
        <f>'BP - Annual'!J29</f>
        <v/>
      </c>
      <c r="U21" s="818">
        <f>'BP - Annual'!K29</f>
        <v/>
      </c>
      <c r="V21" s="818" t="n"/>
      <c r="W21" s="818" t="n"/>
      <c r="X21" s="818" t="n"/>
      <c r="Y21" s="818" t="n"/>
      <c r="Z21" s="818" t="n"/>
      <c r="AA21" s="818" t="n"/>
      <c r="AB21" s="818" t="n"/>
      <c r="AC21" s="818" t="n"/>
      <c r="AD21" s="818" t="n"/>
      <c r="AE21" s="818" t="n"/>
      <c r="AF21" s="818" t="n"/>
      <c r="AG21" s="818" t="n"/>
      <c r="AH21" s="818" t="n"/>
      <c r="AI21" s="818" t="n"/>
      <c r="AJ21" s="818" t="n"/>
      <c r="AK21" s="818" t="n"/>
      <c r="AL21" s="818" t="n"/>
      <c r="AM21" s="818" t="n"/>
      <c r="AN21" s="818" t="n"/>
      <c r="AO21" s="818" t="n"/>
      <c r="AP21" s="818" t="n"/>
      <c r="AQ21" s="818" t="n"/>
      <c r="AR21" s="818" t="n"/>
      <c r="AS21" s="818" t="n"/>
      <c r="AT21" s="818" t="n"/>
      <c r="AU21" s="818" t="n"/>
      <c r="AV21" s="818" t="n"/>
    </row>
    <row r="22" outlineLevel="1">
      <c r="A22" s="819" t="n"/>
      <c r="B22" s="588" t="inlineStr">
        <is>
          <t>EV / Kapitaal</t>
        </is>
      </c>
      <c r="C22" s="629">
        <f>IF($B22="","",IF(C$1="","",IF(VLOOKUP($B22,$J$3:$AW$36,C$1,FALSE)="","",VLOOKUP($B22,$J$3:$AW$36,C$1,FALSE))))</f>
        <v/>
      </c>
      <c r="D22" s="630">
        <f>IF($B22="","",IF(D$1="","",IF(VLOOKUP($B22,$J$3:$AW$36,D$1,FALSE)="","",VLOOKUP($B22,$J$3:$AW$36,D$1,FALSE))))</f>
        <v/>
      </c>
      <c r="E22" s="631">
        <f>IF($B22="","",IF(E$1="","",IF(VLOOKUP($B22,$J$3:$AW$36,E$1,FALSE)="","",VLOOKUP($B22,$J$3:$AW$36,E$1,FALSE))))</f>
        <v/>
      </c>
      <c r="F22" s="605">
        <f>IF($B22="","",IF(F$1="","",IF(VLOOKUP($B22,$J$3:$AW$36,F$1,FALSE)="","",VLOOKUP($B22,$J$3:$AW$36,F$1,FALSE))))</f>
        <v/>
      </c>
      <c r="G22" s="628">
        <f>IF($B22="","",IF(G$1="","",IF(VLOOKUP($B22,$J$3:$AW$36,G$1,FALSE)="","",VLOOKUP($B22,$J$3:$AW$36,G$1,FALSE))))</f>
        <v/>
      </c>
      <c r="H22" s="606">
        <f>IF($B22="","",IF(H$1="","",IF(VLOOKUP($B22,$J$3:$AW$36,H$1,FALSE)="","",VLOOKUP($B22,$J$3:$AW$36,H$1,FALSE))))</f>
        <v/>
      </c>
      <c r="I22" s="593" t="n"/>
      <c r="J22" s="601" t="inlineStr">
        <is>
          <t>NFD</t>
        </is>
      </c>
      <c r="K22" s="818">
        <f>Balans!B63</f>
        <v/>
      </c>
      <c r="L22" s="818">
        <f>Balans!C63</f>
        <v/>
      </c>
      <c r="M22" s="818">
        <f>Balans!D63</f>
        <v/>
      </c>
      <c r="N22" s="818">
        <f>Balans!E63</f>
        <v/>
      </c>
      <c r="O22" s="818">
        <f>Balans!F63</f>
        <v/>
      </c>
      <c r="P22" s="818" t="n"/>
      <c r="Q22" s="818">
        <f>'BP - Annual'!G141</f>
        <v/>
      </c>
      <c r="R22" s="818">
        <f>'BP - Annual'!H141</f>
        <v/>
      </c>
      <c r="S22" s="818">
        <f>'BP - Annual'!I141</f>
        <v/>
      </c>
      <c r="T22" s="818">
        <f>'BP - Annual'!J141</f>
        <v/>
      </c>
      <c r="U22" s="818">
        <f>'BP - Annual'!K141</f>
        <v/>
      </c>
      <c r="V22" s="818" t="n"/>
      <c r="W22" s="818" t="n"/>
      <c r="X22" s="818" t="n"/>
      <c r="Y22" s="818" t="n"/>
      <c r="Z22" s="818" t="n"/>
      <c r="AA22" s="818" t="n"/>
      <c r="AB22" s="818" t="n"/>
      <c r="AC22" s="818" t="n"/>
      <c r="AD22" s="818" t="n"/>
      <c r="AE22" s="818" t="n"/>
      <c r="AF22" s="818" t="n"/>
      <c r="AG22" s="818" t="n"/>
      <c r="AH22" s="818" t="n"/>
      <c r="AI22" s="818" t="n"/>
      <c r="AJ22" s="818" t="n"/>
      <c r="AK22" s="818" t="n"/>
      <c r="AL22" s="818" t="n"/>
      <c r="AM22" s="818" t="n"/>
      <c r="AN22" s="818" t="n"/>
      <c r="AO22" s="818" t="n"/>
      <c r="AP22" s="818" t="n"/>
      <c r="AQ22" s="818" t="n"/>
      <c r="AR22" s="818" t="n"/>
      <c r="AS22" s="818" t="n"/>
      <c r="AT22" s="818" t="n"/>
      <c r="AU22" s="818" t="n"/>
      <c r="AV22" s="818" t="n"/>
    </row>
    <row r="23" outlineLevel="2">
      <c r="A23" s="819" t="n"/>
      <c r="B23" s="588" t="inlineStr">
        <is>
          <t>Solvabiliteit (corr)</t>
        </is>
      </c>
      <c r="C23" s="629">
        <f>IF($B23="","",IF(C$1="","",IF(VLOOKUP($B23,$J$3:$AW$36,C$1,FALSE)="","",VLOOKUP($B23,$J$3:$AW$36,C$1,FALSE))))</f>
        <v/>
      </c>
      <c r="D23" s="630">
        <f>IF($B23="","",IF(D$1="","",IF(VLOOKUP($B23,$J$3:$AW$36,D$1,FALSE)="","",VLOOKUP($B23,$J$3:$AW$36,D$1,FALSE))))</f>
        <v/>
      </c>
      <c r="E23" s="631">
        <f>IF($B23="","",IF(E$1="","",IF(VLOOKUP($B23,$J$3:$AW$36,E$1,FALSE)="","",VLOOKUP($B23,$J$3:$AW$36,E$1,FALSE))))</f>
        <v/>
      </c>
      <c r="F23" s="605">
        <f>IF($B23="","",IF(F$1="","",IF(VLOOKUP($B23,$J$3:$AW$36,F$1,FALSE)="","",VLOOKUP($B23,$J$3:$AW$36,F$1,FALSE))))</f>
        <v/>
      </c>
      <c r="G23" s="628">
        <f>IF($B23="","",IF(G$1="","",IF(VLOOKUP($B23,$J$3:$AW$36,G$1,FALSE)="","",VLOOKUP($B23,$J$3:$AW$36,G$1,FALSE))))</f>
        <v/>
      </c>
      <c r="H23" s="606">
        <f>IF($B23="","",IF(H$1="","",IF(VLOOKUP($B23,$J$3:$AW$36,H$1,FALSE)="","",VLOOKUP($B23,$J$3:$AW$36,H$1,FALSE))))</f>
        <v/>
      </c>
      <c r="I23" s="593" t="n"/>
      <c r="J23" s="601" t="inlineStr">
        <is>
          <t>Cash</t>
        </is>
      </c>
      <c r="K23" s="818">
        <f>Balans!B23</f>
        <v/>
      </c>
      <c r="L23" s="818">
        <f>Balans!C23</f>
        <v/>
      </c>
      <c r="M23" s="818">
        <f>Balans!D23</f>
        <v/>
      </c>
      <c r="N23" s="818">
        <f>Balans!E23</f>
        <v/>
      </c>
      <c r="O23" s="818">
        <f>Balans!F23</f>
        <v/>
      </c>
      <c r="P23" s="818" t="n"/>
      <c r="Q23" s="818">
        <f>'BP - Annual'!G17</f>
        <v/>
      </c>
      <c r="R23" s="818">
        <f>'BP - Annual'!H17</f>
        <v/>
      </c>
      <c r="S23" s="818">
        <f>'BP - Annual'!I17</f>
        <v/>
      </c>
      <c r="T23" s="818">
        <f>'BP - Annual'!J17</f>
        <v/>
      </c>
      <c r="U23" s="818">
        <f>'BP - Annual'!K17</f>
        <v/>
      </c>
      <c r="V23" s="818" t="n"/>
      <c r="W23" s="818" t="n"/>
      <c r="X23" s="818" t="n"/>
      <c r="Y23" s="818" t="n"/>
      <c r="Z23" s="818" t="n"/>
      <c r="AA23" s="818" t="n"/>
      <c r="AB23" s="818" t="n"/>
      <c r="AC23" s="818" t="n"/>
      <c r="AD23" s="818" t="n"/>
      <c r="AE23" s="818" t="n"/>
      <c r="AF23" s="818" t="n"/>
      <c r="AG23" s="818" t="n"/>
      <c r="AH23" s="818" t="n"/>
      <c r="AI23" s="818" t="n"/>
      <c r="AJ23" s="818" t="n"/>
      <c r="AK23" s="818" t="n"/>
      <c r="AL23" s="818" t="n"/>
      <c r="AM23" s="818" t="n"/>
      <c r="AN23" s="818" t="n"/>
      <c r="AO23" s="818" t="n"/>
      <c r="AP23" s="818" t="n"/>
      <c r="AQ23" s="818" t="n"/>
      <c r="AR23" s="818" t="n"/>
      <c r="AS23" s="818" t="n"/>
      <c r="AT23" s="818" t="n"/>
      <c r="AU23" s="818" t="n"/>
      <c r="AV23" s="818" t="n"/>
    </row>
    <row r="24" outlineLevel="2">
      <c r="A24" s="819" t="n"/>
      <c r="B24" s="588" t="inlineStr">
        <is>
          <t>DSCR (Ebitda / Intresten + aflossingen)</t>
        </is>
      </c>
      <c r="C24" s="629">
        <f>IF($B24="","",IF(C$1="","",IF(VLOOKUP($B24,$J$3:$AW$36,C$1,FALSE)="","",VLOOKUP($B24,$J$3:$AW$36,C$1,FALSE))))</f>
        <v/>
      </c>
      <c r="D24" s="630">
        <f>IF($B24="","",IF(D$1="","",IF(VLOOKUP($B24,$J$3:$AW$36,D$1,FALSE)="","",VLOOKUP($B24,$J$3:$AW$36,D$1,FALSE))))</f>
        <v/>
      </c>
      <c r="E24" s="631">
        <f>IF($B24="","",IF(E$1="","",IF(VLOOKUP($B24,$J$3:$AW$36,E$1,FALSE)="","",VLOOKUP($B24,$J$3:$AW$36,E$1,FALSE))))</f>
        <v/>
      </c>
      <c r="F24" s="629">
        <f>IF($B24="","",IF(F$1="","",IF(VLOOKUP($B24,$J$3:$AW$36,F$1,FALSE)="","",VLOOKUP($B24,$J$3:$AW$36,F$1,FALSE))))</f>
        <v/>
      </c>
      <c r="G24" s="630">
        <f>IF($B24="","",IF(G$1="","",IF(VLOOKUP($B24,$J$3:$AW$36,G$1,FALSE)="","",VLOOKUP($B24,$J$3:$AW$36,G$1,FALSE))))</f>
        <v/>
      </c>
      <c r="H24" s="631">
        <f>IF($B24="","",IF(H$1="","",IF(VLOOKUP($B24,$J$3:$AW$36,H$1,FALSE)="","",VLOOKUP($B24,$J$3:$AW$36,H$1,FALSE))))</f>
        <v/>
      </c>
      <c r="I24" s="593" t="n"/>
      <c r="J24" s="601" t="inlineStr">
        <is>
          <t>Voorraad</t>
        </is>
      </c>
      <c r="K24" s="818">
        <f>Balans!B19</f>
        <v/>
      </c>
      <c r="L24" s="818">
        <f>Balans!C19</f>
        <v/>
      </c>
      <c r="M24" s="818">
        <f>Balans!D19</f>
        <v/>
      </c>
      <c r="N24" s="818">
        <f>Balans!E19</f>
        <v/>
      </c>
      <c r="O24" s="818">
        <f>Balans!F19</f>
        <v/>
      </c>
      <c r="P24" s="818" t="n"/>
      <c r="Q24" s="818">
        <f>'BP - Annual'!G15</f>
        <v/>
      </c>
      <c r="R24" s="818">
        <f>'BP - Annual'!H15</f>
        <v/>
      </c>
      <c r="S24" s="818">
        <f>'BP - Annual'!I15</f>
        <v/>
      </c>
      <c r="T24" s="818">
        <f>'BP - Annual'!J15</f>
        <v/>
      </c>
      <c r="U24" s="818">
        <f>'BP - Annual'!K15</f>
        <v/>
      </c>
      <c r="V24" s="818" t="n"/>
      <c r="W24" s="818" t="n"/>
      <c r="X24" s="818" t="n"/>
      <c r="Y24" s="818" t="n"/>
      <c r="Z24" s="818" t="n"/>
      <c r="AA24" s="818" t="n"/>
      <c r="AB24" s="818" t="n"/>
      <c r="AC24" s="818" t="n"/>
      <c r="AD24" s="818" t="n"/>
      <c r="AE24" s="818" t="n"/>
      <c r="AF24" s="818" t="n"/>
      <c r="AG24" s="818" t="n"/>
      <c r="AH24" s="818" t="n"/>
      <c r="AI24" s="818" t="n"/>
      <c r="AJ24" s="818" t="n"/>
      <c r="AK24" s="818" t="n"/>
      <c r="AL24" s="818" t="n"/>
      <c r="AM24" s="818" t="n"/>
      <c r="AN24" s="818" t="n"/>
      <c r="AO24" s="818" t="n"/>
      <c r="AP24" s="818" t="n"/>
      <c r="AQ24" s="818" t="n"/>
      <c r="AR24" s="818" t="n"/>
      <c r="AS24" s="818" t="n"/>
      <c r="AT24" s="818" t="n"/>
      <c r="AU24" s="818" t="n"/>
      <c r="AV24" s="818" t="n"/>
    </row>
    <row r="25" outlineLevel="2">
      <c r="A25" s="826" t="n"/>
      <c r="B25" s="588" t="inlineStr">
        <is>
          <t>ICR (Ebit/ intrest)</t>
        </is>
      </c>
      <c r="C25" s="629">
        <f>IF($B25="","",IF(C$1="","",IF(VLOOKUP($B25,$J$3:$AW$36,C$1,FALSE)="","",VLOOKUP($B25,$J$3:$AW$36,C$1,FALSE))))</f>
        <v/>
      </c>
      <c r="D25" s="630">
        <f>IF($B25="","",IF(D$1="","",IF(VLOOKUP($B25,$J$3:$AW$36,D$1,FALSE)="","",VLOOKUP($B25,$J$3:$AW$36,D$1,FALSE))))</f>
        <v/>
      </c>
      <c r="E25" s="631">
        <f>IF($B25="","",IF(E$1="","",IF(VLOOKUP($B25,$J$3:$AW$36,E$1,FALSE)="","",VLOOKUP($B25,$J$3:$AW$36,E$1,FALSE))))</f>
        <v/>
      </c>
      <c r="F25" s="629">
        <f>IF($B25="","",IF(F$1="","",IF(VLOOKUP($B25,$J$3:$AW$36,F$1,FALSE)="","",VLOOKUP($B25,$J$3:$AW$36,F$1,FALSE))))</f>
        <v/>
      </c>
      <c r="G25" s="630">
        <f>IF($B25="","",IF(G$1="","",IF(VLOOKUP($B25,$J$3:$AW$36,G$1,FALSE)="","",VLOOKUP($B25,$J$3:$AW$36,G$1,FALSE))))</f>
        <v/>
      </c>
      <c r="H25" s="631">
        <f>IF($B25="","",IF(H$1="","",IF(VLOOKUP($B25,$J$3:$AW$36,H$1,FALSE)="","",VLOOKUP($B25,$J$3:$AW$36,H$1,FALSE))))</f>
        <v/>
      </c>
      <c r="I25" s="593" t="n"/>
      <c r="J25" s="565" t="inlineStr">
        <is>
          <t>DSCR (Ebitda / Intresten + aflossingen)</t>
        </is>
      </c>
      <c r="K25" s="827">
        <f>Balans!B65</f>
        <v/>
      </c>
      <c r="L25" s="827">
        <f>Balans!C65</f>
        <v/>
      </c>
      <c r="M25" s="827">
        <f>Balans!D65</f>
        <v/>
      </c>
      <c r="N25" s="827">
        <f>Balans!E65</f>
        <v/>
      </c>
      <c r="O25" s="827">
        <f>Balans!F65</f>
        <v/>
      </c>
      <c r="Q25" s="625" t="n"/>
      <c r="R25" s="625" t="n"/>
      <c r="S25" s="625" t="n"/>
      <c r="T25" s="625" t="n"/>
      <c r="U25" s="625" t="n"/>
    </row>
    <row r="26">
      <c r="A26" s="822" t="inlineStr">
        <is>
          <t>KPI's</t>
        </is>
      </c>
      <c r="B26" s="582" t="inlineStr">
        <is>
          <t>Investeringen</t>
        </is>
      </c>
      <c r="C26" s="583">
        <f>IF($B26="","",IF(C$1="","",IF(VLOOKUP($B26,$J$3:$AW$36,C$1,FALSE)="","",VLOOKUP($B26,$J$3:$AW$36,C$1,FALSE))))</f>
        <v/>
      </c>
      <c r="D26" s="584">
        <f>IF($B26="","",IF(D$1="","",IF(VLOOKUP($B26,$J$3:$AW$36,D$1,FALSE)="","",VLOOKUP($B26,$J$3:$AW$36,D$1,FALSE))))</f>
        <v/>
      </c>
      <c r="E26" s="585">
        <f>IF($B26="","",IF(E$1="","",IF(VLOOKUP($B26,$J$3:$AW$36,E$1,FALSE)="","",VLOOKUP($B26,$J$3:$AW$36,E$1,FALSE))))</f>
        <v/>
      </c>
      <c r="F26" s="583">
        <f>IF($B26="","",IF(F$1="","",IF(VLOOKUP($B26,$J$3:$AW$36,F$1,FALSE)="","",VLOOKUP($B26,$J$3:$AW$36,F$1,FALSE))))</f>
        <v/>
      </c>
      <c r="G26" s="584">
        <f>IF($B26="","",IF(G$1="","",IF(VLOOKUP($B26,$J$3:$AW$36,G$1,FALSE)="","",VLOOKUP($B26,$J$3:$AW$36,G$1,FALSE))))</f>
        <v/>
      </c>
      <c r="H26" s="585">
        <f>IF($B26="","",IF(H$1="","",IF(VLOOKUP($B26,$J$3:$AW$36,H$1,FALSE)="","",VLOOKUP($B26,$J$3:$AW$36,H$1,FALSE))))</f>
        <v/>
      </c>
      <c r="I26" s="593" t="n"/>
      <c r="J26" s="565" t="inlineStr">
        <is>
          <t>ICR (Ebit/ intrest)</t>
        </is>
      </c>
      <c r="K26" s="568">
        <f>Summary!B38</f>
        <v/>
      </c>
      <c r="L26" s="568">
        <f>Summary!C38</f>
        <v/>
      </c>
      <c r="M26" s="568">
        <f>Summary!D38</f>
        <v/>
      </c>
      <c r="N26" s="568">
        <f>Summary!E38</f>
        <v/>
      </c>
      <c r="O26" s="568">
        <f>Summary!F38</f>
        <v/>
      </c>
      <c r="Q26" s="625" t="n"/>
      <c r="R26" s="625" t="n"/>
      <c r="S26" s="625" t="n"/>
      <c r="T26" s="625" t="n"/>
      <c r="U26" s="625" t="n"/>
    </row>
    <row r="27">
      <c r="A27" s="819" t="n"/>
      <c r="B27" s="588" t="inlineStr">
        <is>
          <t>Tewerkstelling</t>
        </is>
      </c>
      <c r="C27" s="589" t="n"/>
      <c r="D27" s="590" t="n"/>
      <c r="E27" s="591" t="n"/>
      <c r="F27" s="589" t="n"/>
      <c r="G27" s="590" t="n"/>
      <c r="H27" s="591" t="n"/>
      <c r="I27" s="593" t="n"/>
      <c r="J27" s="565" t="inlineStr">
        <is>
          <t>Solvabiliteit (corr)</t>
        </is>
      </c>
      <c r="K27" s="625">
        <f>Summary!B41</f>
        <v/>
      </c>
      <c r="L27" s="625">
        <f>Summary!C41</f>
        <v/>
      </c>
      <c r="M27" s="625">
        <f>Summary!D41</f>
        <v/>
      </c>
      <c r="N27" s="625">
        <f>Summary!E41</f>
        <v/>
      </c>
      <c r="O27" s="625">
        <f>Summary!F41</f>
        <v/>
      </c>
      <c r="Q27" s="625" t="n"/>
      <c r="R27" s="625" t="n"/>
      <c r="S27" s="625" t="n"/>
      <c r="T27" s="625" t="n"/>
      <c r="U27" s="625" t="n"/>
    </row>
    <row r="28">
      <c r="A28" s="826" t="n"/>
      <c r="B28" s="597" t="inlineStr">
        <is>
          <t>ARR</t>
        </is>
      </c>
      <c r="C28" s="607">
        <f>IF($B28="","",IF(C$1="","",IF(VLOOKUP($B28,$J$3:$AW$36,C$1,FALSE)="","",VLOOKUP($B28,$J$3:$AW$36,C$1,FALSE))))</f>
        <v/>
      </c>
      <c r="D28" s="608">
        <f>IF($B28="","",IF(D$1="","",IF(VLOOKUP($B28,$J$3:$AW$36,D$1,FALSE)="","",VLOOKUP($B28,$J$3:$AW$36,D$1,FALSE))))</f>
        <v/>
      </c>
      <c r="E28" s="609">
        <f>IF($B28="","",IF(E$1="","",IF(VLOOKUP($B28,$J$3:$AW$36,E$1,FALSE)="","",VLOOKUP($B28,$J$3:$AW$36,E$1,FALSE))))</f>
        <v/>
      </c>
      <c r="F28" s="607">
        <f>IF($B28="","",IF(F$1="","",IF(VLOOKUP($B28,$J$3:$AW$36,F$1,FALSE)="","",VLOOKUP($B28,$J$3:$AW$36,F$1,FALSE))))</f>
        <v/>
      </c>
      <c r="G28" s="608">
        <f>IF($B28="","",IF(G$1="","",IF(VLOOKUP($B28,$J$3:$AW$36,G$1,FALSE)="","",VLOOKUP($B28,$J$3:$AW$36,G$1,FALSE))))</f>
        <v/>
      </c>
      <c r="H28" s="609">
        <f>IF($B28="","",IF(H$1="","",IF(VLOOKUP($B28,$J$3:$AW$36,H$1,FALSE)="","",VLOOKUP($B28,$J$3:$AW$36,H$1,FALSE))))</f>
        <v/>
      </c>
      <c r="I28" s="593" t="n"/>
      <c r="J28" s="565" t="inlineStr">
        <is>
          <t>Tewerkstelling</t>
        </is>
      </c>
      <c r="K28" s="625" t="n"/>
      <c r="L28" s="625" t="n"/>
      <c r="M28" s="625" t="n"/>
      <c r="N28" s="625" t="n"/>
      <c r="O28" s="625" t="n"/>
      <c r="Q28" s="625" t="n"/>
      <c r="R28" s="625" t="n"/>
      <c r="S28" s="625" t="n"/>
      <c r="T28" s="625" t="n"/>
      <c r="U28" s="625" t="n"/>
    </row>
    <row r="29" outlineLevel="1" ht="13.35" customHeight="1">
      <c r="A29" s="822" t="inlineStr">
        <is>
          <t>Engag. LRM</t>
        </is>
      </c>
      <c r="B29" s="610" t="inlineStr">
        <is>
          <t>Ebitda multiple</t>
        </is>
      </c>
      <c r="C29" s="823">
        <f>IF($B29="","",IF(C$1="","",IF(VLOOKUP($B29,$J$3:$AW$47,C$1,FALSE)="","",VLOOKUP($B29,$J$3:$AW$47,C$1,FALSE))))</f>
        <v/>
      </c>
      <c r="D29" s="824">
        <f>IF($B29="","",IF(D$1="","",IF(VLOOKUP($B29,$J$3:$AW$47,D$1,FALSE)="","",VLOOKUP($B29,$J$3:$AW$47,D$1,FALSE))))</f>
        <v/>
      </c>
      <c r="E29" s="824">
        <f>IF($B29="","",IF(E$1="","",IF(VLOOKUP($B29,$J$3:$AW$47,E$1,FALSE)="","",VLOOKUP($B29,$J$3:$AW$47,E$1,FALSE))))</f>
        <v/>
      </c>
      <c r="F29" s="823">
        <f>IF($B29="","",IF(F$1="","",IF(VLOOKUP($B29,$J$3:$AW$47,F$1,FALSE)="","",VLOOKUP($B29,$J$3:$AW$47,F$1,FALSE))))</f>
        <v/>
      </c>
      <c r="G29" s="824">
        <f>IF($B29="","",IF(G$1="","",IF(VLOOKUP($B29,$J$3:$AW$47,G$1,FALSE)="","",VLOOKUP($B29,$J$3:$AW$47,G$1,FALSE))))</f>
        <v/>
      </c>
      <c r="H29" s="825">
        <f>IF($B29="","",IF(H$1="","",IF(VLOOKUP($B29,$J$3:$AW$47,H$1,FALSE)="","",VLOOKUP($B29,$J$3:$AW$47,H$1,FALSE))))</f>
        <v/>
      </c>
      <c r="I29" s="593" t="n"/>
    </row>
    <row r="30" outlineLevel="1">
      <c r="A30" s="819" t="n"/>
      <c r="B30" s="593" t="inlineStr">
        <is>
          <t>ARR multiple</t>
        </is>
      </c>
      <c r="C30" s="611">
        <f>IF($B30="","",IF(C$1="","",IF(VLOOKUP($B30,$J$3:$AW$47,C$1,FALSE)="","",VLOOKUP($B30,$J$3:$AW$47,C$1,FALSE))))</f>
        <v/>
      </c>
      <c r="D30" s="568">
        <f>IF($B30="","",IF(D$1="","",IF(VLOOKUP($B30,$J$3:$AW$47,D$1,FALSE)="","",VLOOKUP($B30,$J$3:$AW$47,D$1,FALSE))))</f>
        <v/>
      </c>
      <c r="E30" s="568">
        <f>IF($B30="","",IF(E$1="","",IF(VLOOKUP($B30,$J$3:$AW$47,E$1,FALSE)="","",VLOOKUP($B30,$J$3:$AW$47,E$1,FALSE))))</f>
        <v/>
      </c>
      <c r="F30" s="611">
        <f>IF($B30="","",IF(F$1="","",IF(VLOOKUP($B30,$J$3:$AW$47,F$1,FALSE)="","",VLOOKUP($B30,$J$3:$AW$47,F$1,FALSE))))</f>
        <v/>
      </c>
      <c r="G30" s="568">
        <f>IF($B30="","",IF(G$1="","",IF(VLOOKUP($B30,$J$3:$AW$47,G$1,FALSE)="","",VLOOKUP($B30,$J$3:$AW$47,G$1,FALSE))))</f>
        <v/>
      </c>
      <c r="H30" s="612">
        <f>IF($B30="","",IF(H$1="","",IF(VLOOKUP($B30,$J$3:$AW$47,H$1,FALSE)="","",VLOOKUP($B30,$J$3:$AW$47,H$1,FALSE))))</f>
        <v/>
      </c>
      <c r="I30" s="593" t="n"/>
    </row>
    <row r="31" outlineLevel="1">
      <c r="A31" s="819" t="n"/>
      <c r="B31" s="593" t="inlineStr">
        <is>
          <t>Equity Value</t>
        </is>
      </c>
      <c r="C31" s="611">
        <f>IF($B31="","",IF(C$1="","",IF(VLOOKUP($B31,$J$3:$AW$47,C$1,FALSE)="","",VLOOKUP($B31,$J$3:$AW$47,C$1,FALSE))))</f>
        <v/>
      </c>
      <c r="D31" s="568">
        <f>IF($B31="","",IF(D$1="","",IF(VLOOKUP($B31,$J$3:$AW$47,D$1,FALSE)="","",VLOOKUP($B31,$J$3:$AW$47,D$1,FALSE))))</f>
        <v/>
      </c>
      <c r="E31" s="568">
        <f>IF($B31="","",IF(E$1="","",IF(VLOOKUP($B31,$J$3:$AW$47,E$1,FALSE)="","",VLOOKUP($B31,$J$3:$AW$47,E$1,FALSE))))</f>
        <v/>
      </c>
      <c r="F31" s="611">
        <f>IF($B31="","",IF(F$1="","",IF(VLOOKUP($B31,$J$3:$AW$47,F$1,FALSE)="","",VLOOKUP($B31,$J$3:$AW$47,F$1,FALSE))))</f>
        <v/>
      </c>
      <c r="G31" s="568">
        <f>IF($B31="","",IF(G$1="","",IF(VLOOKUP($B31,$J$3:$AW$47,G$1,FALSE)="","",VLOOKUP($B31,$J$3:$AW$47,G$1,FALSE))))</f>
        <v/>
      </c>
      <c r="H31" s="612">
        <f>IF($B31="","",IF(H$1="","",IF(VLOOKUP($B31,$J$3:$AW$47,H$1,FALSE)="","",VLOOKUP($B31,$J$3:$AW$47,H$1,FALSE))))</f>
        <v/>
      </c>
      <c r="I31" s="593" t="n"/>
      <c r="J31" s="565" t="inlineStr">
        <is>
          <t>ARR</t>
        </is>
      </c>
      <c r="K31" s="625" t="n"/>
      <c r="L31" s="625" t="n"/>
      <c r="M31" s="625" t="n"/>
      <c r="N31" s="625" t="n"/>
      <c r="O31" s="625" t="n"/>
      <c r="P31" s="625" t="n"/>
      <c r="Q31" s="625" t="n"/>
      <c r="R31" s="625" t="n"/>
      <c r="S31" s="625" t="n"/>
      <c r="T31" s="625" t="n"/>
      <c r="U31" s="625" t="n"/>
      <c r="V31" s="625" t="n"/>
      <c r="W31" s="625" t="n"/>
      <c r="X31" s="625" t="n"/>
      <c r="Y31" s="625" t="n"/>
      <c r="Z31" s="625" t="n"/>
      <c r="AA31" s="625" t="n"/>
      <c r="AB31" s="625" t="n"/>
      <c r="AC31" s="625" t="n"/>
      <c r="AD31" s="625" t="n"/>
      <c r="AE31" s="625" t="n"/>
      <c r="AF31" s="625" t="n"/>
      <c r="AG31" s="625" t="n"/>
      <c r="AH31" s="625" t="n"/>
      <c r="AI31" s="625" t="n"/>
      <c r="AJ31" s="625" t="n"/>
      <c r="AK31" s="625" t="n"/>
      <c r="AL31" s="625" t="n"/>
      <c r="AM31" s="625" t="n"/>
      <c r="AN31" s="625" t="n"/>
      <c r="AO31" s="625" t="n"/>
      <c r="AP31" s="625" t="n"/>
      <c r="AQ31" s="625" t="n"/>
      <c r="AR31" s="625" t="n"/>
      <c r="AS31" s="625" t="n"/>
      <c r="AT31" s="625" t="n"/>
      <c r="AU31" s="625" t="n"/>
      <c r="AV31" s="625" t="n"/>
    </row>
    <row r="32" outlineLevel="1">
      <c r="A32" s="819" t="n"/>
      <c r="B32" s="593" t="inlineStr">
        <is>
          <t>% LRM</t>
        </is>
      </c>
      <c r="C32" s="594">
        <f>IF($B32="","",IF(C$1="","",IF(VLOOKUP($B32,$J$3:$AW$47,C$1,FALSE)="","",VLOOKUP($B32,$J$3:$AW$47,C$1,FALSE))))</f>
        <v/>
      </c>
      <c r="D32" s="595">
        <f>IF($B32="","",IF(D$1="","",IF(VLOOKUP($B32,$J$3:$AW$47,D$1,FALSE)="","",VLOOKUP($B32,$J$3:$AW$47,D$1,FALSE))))</f>
        <v/>
      </c>
      <c r="E32" s="595">
        <f>IF($B32="","",IF(E$1="","",IF(VLOOKUP($B32,$J$3:$AW$47,E$1,FALSE)="","",VLOOKUP($B32,$J$3:$AW$47,E$1,FALSE))))</f>
        <v/>
      </c>
      <c r="F32" s="594">
        <f>IF($B32="","",IF(F$1="","",IF(VLOOKUP($B32,$J$3:$AW$47,F$1,FALSE)="","",VLOOKUP($B32,$J$3:$AW$47,F$1,FALSE))))</f>
        <v/>
      </c>
      <c r="G32" s="595">
        <f>IF($B32="","",IF(G$1="","",IF(VLOOKUP($B32,$J$3:$AW$47,G$1,FALSE)="","",VLOOKUP($B32,$J$3:$AW$47,G$1,FALSE))))</f>
        <v/>
      </c>
      <c r="H32" s="596">
        <f>IF($B32="","",IF(H$1="","",IF(VLOOKUP($B32,$J$3:$AW$47,H$1,FALSE)="","",VLOOKUP($B32,$J$3:$AW$47,H$1,FALSE))))</f>
        <v/>
      </c>
      <c r="I32" s="593" t="n"/>
      <c r="J32" s="565" t="inlineStr">
        <is>
          <t>Ebitda / bedrijfsopbrengst</t>
        </is>
      </c>
      <c r="K32" s="616">
        <f>IF(K9&gt;0,K9/K6,"")</f>
        <v/>
      </c>
      <c r="L32" s="616">
        <f>IF(L9&gt;0,L9/L6,"")</f>
        <v/>
      </c>
      <c r="M32" s="616">
        <f>IF(M9&gt;0,M9/M6,"")</f>
        <v/>
      </c>
      <c r="N32" s="616">
        <f>IF(N9&gt;0,N9/N6,"")</f>
        <v/>
      </c>
      <c r="O32" s="616">
        <f>IF(O9&gt;0,O9/O6,"")</f>
        <v/>
      </c>
      <c r="P32" s="616">
        <f>IF(P9&gt;0,P9/P6,"")</f>
        <v/>
      </c>
      <c r="Q32" s="616">
        <f>IF(Q9&gt;0,Q9/Q6,"")</f>
        <v/>
      </c>
      <c r="R32" s="616">
        <f>IF(R9&gt;0,R9/R6,"")</f>
        <v/>
      </c>
      <c r="S32" s="616">
        <f>IF(S9&gt;0,S9/S6,"")</f>
        <v/>
      </c>
      <c r="T32" s="616">
        <f>IF(T9&gt;0,T9/T6,"")</f>
        <v/>
      </c>
      <c r="U32" s="616">
        <f>IF(U9&gt;0,U9/U6,"")</f>
        <v/>
      </c>
      <c r="V32" s="616">
        <f>IF(V9&gt;0,V9/V6,"")</f>
        <v/>
      </c>
      <c r="W32" s="616">
        <f>IF(W9&gt;0,W9/W6,"")</f>
        <v/>
      </c>
      <c r="X32" s="616">
        <f>IF(X9&gt;0,X9/X6,"")</f>
        <v/>
      </c>
      <c r="Y32" s="616">
        <f>IF(Y9&gt;0,Y9/Y6,"")</f>
        <v/>
      </c>
      <c r="Z32" s="616">
        <f>IF(Z9&gt;0,Z9/Z6,"")</f>
        <v/>
      </c>
      <c r="AA32" s="616">
        <f>IF(AA9&gt;0,AA9/AA6,"")</f>
        <v/>
      </c>
      <c r="AB32" s="616">
        <f>IF(AB9&gt;0,AB9/AB6,"")</f>
        <v/>
      </c>
      <c r="AC32" s="616">
        <f>IF(AC9&gt;0,AC9/AC6,"")</f>
        <v/>
      </c>
      <c r="AD32" s="616">
        <f>IF(AD9&gt;0,AD9/AD6,"")</f>
        <v/>
      </c>
      <c r="AE32" s="616">
        <f>IF(AE9&gt;0,AE9/AE6,"")</f>
        <v/>
      </c>
      <c r="AF32" s="616">
        <f>IF(AF9&gt;0,AF9/AF6,"")</f>
        <v/>
      </c>
      <c r="AG32" s="616">
        <f>IF(AG9&gt;0,AG9/AG6,"")</f>
        <v/>
      </c>
      <c r="AH32" s="616">
        <f>IF(AH9&gt;0,AH9/AH6,"")</f>
        <v/>
      </c>
      <c r="AI32" s="616">
        <f>IF(AI9&gt;0,AI9/AI6,"")</f>
        <v/>
      </c>
      <c r="AJ32" s="616">
        <f>IF(AJ9&gt;0,AJ9/AJ6,"")</f>
        <v/>
      </c>
      <c r="AK32" s="616">
        <f>IF(AK9&gt;0,AK9/AK6,"")</f>
        <v/>
      </c>
      <c r="AL32" s="616">
        <f>IF(AL9&gt;0,AL9/AL6,"")</f>
        <v/>
      </c>
      <c r="AM32" s="616">
        <f>IF(AM9&gt;0,AM9/AM6,"")</f>
        <v/>
      </c>
      <c r="AN32" s="616">
        <f>IF(AN9&gt;0,AN9/AN6,"")</f>
        <v/>
      </c>
      <c r="AO32" s="616">
        <f>IF(AO9&gt;0,AO9/AO6,"")</f>
        <v/>
      </c>
      <c r="AP32" s="616">
        <f>IF(AP9&gt;0,AP9/AP6,"")</f>
        <v/>
      </c>
      <c r="AQ32" s="616">
        <f>IF(AQ9&gt;0,AQ9/AQ6,"")</f>
        <v/>
      </c>
      <c r="AR32" s="616">
        <f>IF(AR9&gt;0,AR9/AR6,"")</f>
        <v/>
      </c>
      <c r="AS32" s="616">
        <f>IF(AS9&gt;0,AS9/AS6,"")</f>
        <v/>
      </c>
      <c r="AT32" s="616">
        <f>IF(AT9&gt;0,AT9/AT6,"")</f>
        <v/>
      </c>
      <c r="AU32" s="616">
        <f>IF(AU9&gt;0,AU9/AU6,"")</f>
        <v/>
      </c>
      <c r="AV32" s="616">
        <f>IF(AV9&gt;0,AV9/AV6,"")</f>
        <v/>
      </c>
    </row>
    <row r="33" outlineLevel="1">
      <c r="A33" s="826" t="n"/>
      <c r="B33" s="613" t="inlineStr">
        <is>
          <t>Equity value LRM</t>
        </is>
      </c>
      <c r="C33" s="598">
        <f>IF($B33="","",IF(C$1="","",IF(VLOOKUP($B33,$J$3:$AW$47,C$1,FALSE)="","",VLOOKUP($B33,$J$3:$AW$47,C$1,FALSE))))</f>
        <v/>
      </c>
      <c r="D33" s="599">
        <f>IF($B33="","",IF(D$1="","",IF(VLOOKUP($B33,$J$3:$AW$47,D$1,FALSE)="","",VLOOKUP($B33,$J$3:$AW$47,D$1,FALSE))))</f>
        <v/>
      </c>
      <c r="E33" s="599">
        <f>IF($B33="","",IF(E$1="","",IF(VLOOKUP($B33,$J$3:$AW$47,E$1,FALSE)="","",VLOOKUP($B33,$J$3:$AW$47,E$1,FALSE))))</f>
        <v/>
      </c>
      <c r="F33" s="598">
        <f>IF($B33="","",IF(F$1="","",IF(VLOOKUP($B33,$J$3:$AW$47,F$1,FALSE)="","",VLOOKUP($B33,$J$3:$AW$47,F$1,FALSE))))</f>
        <v/>
      </c>
      <c r="G33" s="599">
        <f>IF($B33="","",IF(G$1="","",IF(VLOOKUP($B33,$J$3:$AW$47,G$1,FALSE)="","",VLOOKUP($B33,$J$3:$AW$47,G$1,FALSE))))</f>
        <v/>
      </c>
      <c r="H33" s="600">
        <f>IF($B33="","",IF(H$1="","",IF(VLOOKUP($B33,$J$3:$AW$47,H$1,FALSE)="","",VLOOKUP($B33,$J$3:$AW$47,H$1,FALSE))))</f>
        <v/>
      </c>
      <c r="I33" s="593" t="n"/>
      <c r="J33" s="565" t="inlineStr">
        <is>
          <t>NFD / Ebitda</t>
        </is>
      </c>
      <c r="K33" s="818">
        <f>IF(K9&gt;0,K22/(K9*12/K5),"")</f>
        <v/>
      </c>
      <c r="L33" s="818">
        <f>IF(L9&gt;0,L22/(L9*12/L5),"")</f>
        <v/>
      </c>
      <c r="M33" s="818">
        <f>IF(M9&gt;0,M22/(M9*12/M5),"")</f>
        <v/>
      </c>
      <c r="N33" s="818">
        <f>IF(N9&gt;0,N22/(N9*12/N5),"")</f>
        <v/>
      </c>
      <c r="O33" s="818">
        <f>IF(O9&gt;0,O22/(O9*12/O5),"")</f>
        <v/>
      </c>
      <c r="P33" s="818">
        <f>IF(P9&gt;0,P22/(P9*12/P5),"")</f>
        <v/>
      </c>
      <c r="Q33" s="818">
        <f>IF(Q9&gt;0,Q22/(Q9*12/Q5),"")</f>
        <v/>
      </c>
      <c r="R33" s="818">
        <f>IF(R9&gt;0,R22/(R9*12/R5),"")</f>
        <v/>
      </c>
      <c r="S33" s="818">
        <f>IF(S9&gt;0,S22/(S9*12/S5),"")</f>
        <v/>
      </c>
      <c r="T33" s="818">
        <f>IF(T9&gt;0,T22/(T9*12/T5),"")</f>
        <v/>
      </c>
      <c r="U33" s="818">
        <f>IF(U9&gt;0,U22/(U9*12/U5),"")</f>
        <v/>
      </c>
      <c r="V33" s="818">
        <f>IF(V9&gt;0,V22/(V9*12/V5),"")</f>
        <v/>
      </c>
      <c r="W33" s="818">
        <f>IF(W9&gt;0,W22/(W9*12/W5),"")</f>
        <v/>
      </c>
      <c r="X33" s="818">
        <f>IF(X9&gt;0,X22/(X9*12/X5),"")</f>
        <v/>
      </c>
      <c r="Y33" s="818">
        <f>IF(Y9&gt;0,Y22/(Y9*12/Y5),"")</f>
        <v/>
      </c>
      <c r="Z33" s="818">
        <f>IF(Z9&gt;0,Z22/(Z9*12/Z5),"")</f>
        <v/>
      </c>
      <c r="AA33" s="818">
        <f>IF(AA9&gt;0,AA22/(AA9*12/AA5),"")</f>
        <v/>
      </c>
      <c r="AB33" s="818">
        <f>IF(AB9&gt;0,AB22/(AB9*12/AB5),"")</f>
        <v/>
      </c>
      <c r="AC33" s="818">
        <f>IF(AC9&gt;0,AC22/(AC9*12/AC5),"")</f>
        <v/>
      </c>
      <c r="AD33" s="818">
        <f>IF(AD9&gt;0,AD22/(AD9*12/AD5),"")</f>
        <v/>
      </c>
      <c r="AE33" s="818">
        <f>IF(AE9&gt;0,AE22/(AE9*12/AE5),"")</f>
        <v/>
      </c>
      <c r="AF33" s="818">
        <f>IF(AF9&gt;0,AF22/(AF9*12/AF5),"")</f>
        <v/>
      </c>
      <c r="AG33" s="818">
        <f>IF(AG9&gt;0,AG22/(AG9*12/AG5),"")</f>
        <v/>
      </c>
      <c r="AH33" s="818">
        <f>IF(AH9&gt;0,AH22/(AH9*12/AH5),"")</f>
        <v/>
      </c>
      <c r="AI33" s="818">
        <f>IF(AI9&gt;0,AI22/(AI9*12/AI5),"")</f>
        <v/>
      </c>
      <c r="AJ33" s="818">
        <f>IF(AJ9&gt;0,AJ22/(AJ9*12/AJ5),"")</f>
        <v/>
      </c>
      <c r="AK33" s="818">
        <f>IF(AK9&gt;0,AK22/(AK9*12/AK5),"")</f>
        <v/>
      </c>
      <c r="AL33" s="818">
        <f>IF(AL9&gt;0,AL22/(AL9*12/AL5),"")</f>
        <v/>
      </c>
      <c r="AM33" s="818">
        <f>IF(AM9&gt;0,AM22/(AM9*12/AM5),"")</f>
        <v/>
      </c>
      <c r="AN33" s="818">
        <f>IF(AN9&gt;0,AN22/(AN9*12/AN5),"")</f>
        <v/>
      </c>
      <c r="AO33" s="818">
        <f>IF(AO9&gt;0,AO22/(AO9*12/AO5),"")</f>
        <v/>
      </c>
      <c r="AP33" s="818">
        <f>IF(AP9&gt;0,AP22/(AP9*12/AP5),"")</f>
        <v/>
      </c>
      <c r="AQ33" s="818">
        <f>IF(AQ9&gt;0,AQ22/(AQ9*12/AQ5),"")</f>
        <v/>
      </c>
      <c r="AR33" s="818">
        <f>IF(AR9&gt;0,AR22/(AR9*12/AR5),"")</f>
        <v/>
      </c>
      <c r="AS33" s="818">
        <f>IF(AS9&gt;0,AS22/(AS9*12/AS5),"")</f>
        <v/>
      </c>
      <c r="AT33" s="818">
        <f>IF(AT9&gt;0,AT22/(AT9*12/AT5),"")</f>
        <v/>
      </c>
      <c r="AU33" s="818">
        <f>IF(AU9&gt;0,AU22/(AU9*12/AU5),"")</f>
        <v/>
      </c>
      <c r="AV33" s="818">
        <f>IF(AV9&gt;0,AV22/(AV9*12/AV5),"")</f>
        <v/>
      </c>
    </row>
    <row r="34" outlineLevel="1">
      <c r="A34" s="822" t="inlineStr">
        <is>
          <t>Aandacht</t>
        </is>
      </c>
      <c r="B34" s="610" t="inlineStr">
        <is>
          <t>Negatief eigen vermogen</t>
        </is>
      </c>
      <c r="C34" s="614" t="n"/>
      <c r="D34" s="615" t="n"/>
      <c r="E34" s="614" t="n"/>
      <c r="F34" s="614" t="n"/>
      <c r="G34" s="614" t="n"/>
      <c r="H34" s="622" t="n"/>
      <c r="I34" s="593" t="n"/>
      <c r="J34" s="565" t="inlineStr">
        <is>
          <t>EV / Kapitaal</t>
        </is>
      </c>
      <c r="K34" s="616">
        <f>IF(K20="","",IF(K20=0,"",IF(K21/K20&lt;=0,0,K21/K20)))</f>
        <v/>
      </c>
      <c r="L34" s="616">
        <f>IF(L20="","",IF(L20=0,"",IF(L21/L20&lt;=0,0,L21/L20)))</f>
        <v/>
      </c>
      <c r="M34" s="616">
        <f>IF(M20="","",IF(M20=0,"",IF(M21/M20&lt;=0,0,M21/M20)))</f>
        <v/>
      </c>
      <c r="N34" s="616">
        <f>IF(N20="","",IF(N20=0,"",IF(N21/N20&lt;=0,0,N21/N20)))</f>
        <v/>
      </c>
      <c r="O34" s="616">
        <f>IF(O20="","",IF(O20=0,"",IF(O21/O20&lt;=0,0,O21/O20)))</f>
        <v/>
      </c>
      <c r="P34" s="616">
        <f>IF(P20="","",IF(P20=0,"",IF(P21/P20&lt;=0,0,P21/P20)))</f>
        <v/>
      </c>
      <c r="Q34" s="616">
        <f>IF(Q20="","",IF(Q20=0,"",IF(Q21/Q20&lt;=0,0,Q21/Q20)))</f>
        <v/>
      </c>
      <c r="R34" s="616">
        <f>IF(R20="","",IF(R20=0,"",IF(R21/R20&lt;=0,0,R21/R20)))</f>
        <v/>
      </c>
      <c r="S34" s="616">
        <f>IF(S20="","",IF(S20=0,"",IF(S21/S20&lt;=0,0,S21/S20)))</f>
        <v/>
      </c>
      <c r="T34" s="616">
        <f>IF(T20="","",IF(T20=0,"",IF(T21/T20&lt;=0,0,T21/T20)))</f>
        <v/>
      </c>
      <c r="U34" s="616">
        <f>IF(U20="","",IF(U20=0,"",IF(U21/U20&lt;=0,0,U21/U20)))</f>
        <v/>
      </c>
      <c r="V34" s="616">
        <f>IF(V20="","",IF(V20=0,"",IF(V21/V20&lt;=0,0,V21/V20)))</f>
        <v/>
      </c>
      <c r="W34" s="616">
        <f>IF(W20="","",IF(W20=0,"",IF(W21/W20&lt;=0,0,W21/W20)))</f>
        <v/>
      </c>
      <c r="X34" s="616">
        <f>IF(X20="","",IF(X20=0,"",IF(X21/X20&lt;=0,0,X21/X20)))</f>
        <v/>
      </c>
      <c r="Y34" s="616">
        <f>IF(Y20="","",IF(Y20=0,"",IF(Y21/Y20&lt;=0,0,Y21/Y20)))</f>
        <v/>
      </c>
      <c r="Z34" s="616">
        <f>IF(Z20="","",IF(Z20=0,"",IF(Z21/Z20&lt;=0,0,Z21/Z20)))</f>
        <v/>
      </c>
      <c r="AA34" s="616">
        <f>IF(AA20="","",IF(AA20=0,"",IF(AA21/AA20&lt;=0,0,AA21/AA20)))</f>
        <v/>
      </c>
      <c r="AB34" s="616">
        <f>IF(AB20="","",IF(AB20=0,"",IF(AB21/AB20&lt;=0,0,AB21/AB20)))</f>
        <v/>
      </c>
      <c r="AC34" s="616">
        <f>IF(AC20="","",IF(AC20=0,"",IF(AC21/AC20&lt;=0,0,AC21/AC20)))</f>
        <v/>
      </c>
      <c r="AD34" s="616">
        <f>IF(AD20="","",IF(AD20=0,"",IF(AD21/AD20&lt;=0,0,AD21/AD20)))</f>
        <v/>
      </c>
      <c r="AE34" s="616">
        <f>IF(AE20="","",IF(AE20=0,"",IF(AE21/AE20&lt;=0,0,AE21/AE20)))</f>
        <v/>
      </c>
      <c r="AF34" s="616">
        <f>IF(AF20="","",IF(AF20=0,"",IF(AF21/AF20&lt;=0,0,AF21/AF20)))</f>
        <v/>
      </c>
      <c r="AG34" s="616">
        <f>IF(AG20="","",IF(AG20=0,"",IF(AG21/AG20&lt;=0,0,AG21/AG20)))</f>
        <v/>
      </c>
      <c r="AH34" s="616">
        <f>IF(AH20="","",IF(AH20=0,"",IF(AH21/AH20&lt;=0,0,AH21/AH20)))</f>
        <v/>
      </c>
      <c r="AI34" s="616">
        <f>IF(AI20="","",IF(AI20=0,"",IF(AI21/AI20&lt;=0,0,AI21/AI20)))</f>
        <v/>
      </c>
      <c r="AJ34" s="616">
        <f>IF(AJ20="","",IF(AJ20=0,"",IF(AJ21/AJ20&lt;=0,0,AJ21/AJ20)))</f>
        <v/>
      </c>
      <c r="AK34" s="616">
        <f>IF(AK20="","",IF(AK20=0,"",IF(AK21/AK20&lt;=0,0,AK21/AK20)))</f>
        <v/>
      </c>
      <c r="AL34" s="616">
        <f>IF(AL20="","",IF(AL20=0,"",IF(AL21/AL20&lt;=0,0,AL21/AL20)))</f>
        <v/>
      </c>
      <c r="AM34" s="616">
        <f>IF(AM20="","",IF(AM20=0,"",IF(AM21/AM20&lt;=0,0,AM21/AM20)))</f>
        <v/>
      </c>
      <c r="AN34" s="616">
        <f>IF(AN20="","",IF(AN20=0,"",IF(AN21/AN20&lt;=0,0,AN21/AN20)))</f>
        <v/>
      </c>
      <c r="AO34" s="616">
        <f>IF(AO20="","",IF(AO20=0,"",IF(AO21/AO20&lt;=0,0,AO21/AO20)))</f>
        <v/>
      </c>
      <c r="AP34" s="616">
        <f>IF(AP20="","",IF(AP20=0,"",IF(AP21/AP20&lt;=0,0,AP21/AP20)))</f>
        <v/>
      </c>
      <c r="AQ34" s="616">
        <f>IF(AQ20="","",IF(AQ20=0,"",IF(AQ21/AQ20&lt;=0,0,AQ21/AQ20)))</f>
        <v/>
      </c>
      <c r="AR34" s="616">
        <f>IF(AR20="","",IF(AR20=0,"",IF(AR21/AR20&lt;=0,0,AR21/AR20)))</f>
        <v/>
      </c>
      <c r="AS34" s="616">
        <f>IF(AS20="","",IF(AS20=0,"",IF(AS21/AS20&lt;=0,0,AS21/AS20)))</f>
        <v/>
      </c>
      <c r="AT34" s="616">
        <f>IF(AT20="","",IF(AT20=0,"",IF(AT21/AT20&lt;=0,0,AT21/AT20)))</f>
        <v/>
      </c>
      <c r="AU34" s="616">
        <f>IF(AU20="","",IF(AU20=0,"",IF(AU21/AU20&lt;=0,0,AU21/AU20)))</f>
        <v/>
      </c>
      <c r="AV34" s="616">
        <f>IF(AV20="","",IF(AV20=0,"",IF(AV21/AV20&lt;=0,0,AV21/AV20)))</f>
        <v/>
      </c>
    </row>
    <row r="35" outlineLevel="1">
      <c r="A35" s="819" t="n"/>
      <c r="B35" s="593" t="inlineStr">
        <is>
          <t>Achterstand LRM</t>
        </is>
      </c>
      <c r="D35" s="617" t="n"/>
      <c r="H35" s="623" t="n"/>
      <c r="I35" s="593" t="n"/>
      <c r="J35" s="565" t="inlineStr">
        <is>
          <t>Cashburn / maand</t>
        </is>
      </c>
      <c r="K35" s="818">
        <f>IF(K12&lt;0,K12/K5,"")</f>
        <v/>
      </c>
      <c r="L35" s="818">
        <f>IF(L12&lt;0,L12/L5,"")</f>
        <v/>
      </c>
      <c r="M35" s="818">
        <f>IF(M12&lt;0,M12/M5,"")</f>
        <v/>
      </c>
      <c r="N35" s="818">
        <f>IF(N12&lt;0,N12/N5,"")</f>
        <v/>
      </c>
      <c r="O35" s="818">
        <f>IF(O12&lt;0,O12/O5,"")</f>
        <v/>
      </c>
      <c r="P35" s="818">
        <f>IF(P12&lt;0,P12/P5,"")</f>
        <v/>
      </c>
      <c r="Q35" s="818">
        <f>IF(Q12&lt;0,Q12/Q5,"")</f>
        <v/>
      </c>
      <c r="R35" s="818">
        <f>IF(R12&lt;0,R12/R5,"")</f>
        <v/>
      </c>
      <c r="S35" s="818">
        <f>IF(S12&lt;0,S12/S5,"")</f>
        <v/>
      </c>
      <c r="T35" s="818">
        <f>IF(T12&lt;0,T12/T5,"")</f>
        <v/>
      </c>
      <c r="U35" s="818">
        <f>IF(U12&lt;0,U12/U5,"")</f>
        <v/>
      </c>
      <c r="V35" s="818">
        <f>IF(V12&lt;0,V12/V5,"")</f>
        <v/>
      </c>
      <c r="W35" s="818">
        <f>IF(W12&lt;0,W12/W5,"")</f>
        <v/>
      </c>
      <c r="X35" s="818">
        <f>IF(X12&lt;0,X12/X5,"")</f>
        <v/>
      </c>
      <c r="Y35" s="818">
        <f>IF(Y12&lt;0,Y12/Y5,"")</f>
        <v/>
      </c>
      <c r="Z35" s="818">
        <f>IF(Z12&lt;0,Z12/Z5,"")</f>
        <v/>
      </c>
      <c r="AA35" s="818">
        <f>IF(AA12&lt;0,AA12/AA5,"")</f>
        <v/>
      </c>
      <c r="AB35" s="818">
        <f>IF(AB12&lt;0,AB12/AB5,"")</f>
        <v/>
      </c>
      <c r="AC35" s="818">
        <f>IF(AC12&lt;0,AC12/AC5,"")</f>
        <v/>
      </c>
      <c r="AD35" s="818">
        <f>IF(AD12&lt;0,AD12/AD5,"")</f>
        <v/>
      </c>
      <c r="AE35" s="818">
        <f>IF(AE12&lt;0,AE12/AE5,"")</f>
        <v/>
      </c>
      <c r="AF35" s="818">
        <f>IF(AF12&lt;0,AF12/AF5,"")</f>
        <v/>
      </c>
      <c r="AG35" s="818">
        <f>IF(AG12&lt;0,AG12/AG5,"")</f>
        <v/>
      </c>
      <c r="AH35" s="818">
        <f>IF(AH12&lt;0,AH12/AH5,"")</f>
        <v/>
      </c>
      <c r="AI35" s="818">
        <f>IF(AI12&lt;0,AI12/AI5,"")</f>
        <v/>
      </c>
      <c r="AJ35" s="818">
        <f>IF(AJ12&lt;0,AJ12/AJ5,"")</f>
        <v/>
      </c>
      <c r="AK35" s="818">
        <f>IF(AK12&lt;0,AK12/AK5,"")</f>
        <v/>
      </c>
      <c r="AL35" s="818">
        <f>IF(AL12&lt;0,AL12/AL5,"")</f>
        <v/>
      </c>
      <c r="AM35" s="818">
        <f>IF(AM12&lt;0,AM12/AM5,"")</f>
        <v/>
      </c>
      <c r="AN35" s="818">
        <f>IF(AN12&lt;0,AN12/AN5,"")</f>
        <v/>
      </c>
      <c r="AO35" s="818">
        <f>IF(AO12&lt;0,AO12/AO5,"")</f>
        <v/>
      </c>
      <c r="AP35" s="818">
        <f>IF(AP12&lt;0,AP12/AP5,"")</f>
        <v/>
      </c>
      <c r="AQ35" s="818">
        <f>IF(AQ12&lt;0,AQ12/AQ5,"")</f>
        <v/>
      </c>
      <c r="AR35" s="818">
        <f>IF(AR12&lt;0,AR12/AR5,"")</f>
        <v/>
      </c>
      <c r="AS35" s="818">
        <f>IF(AS12&lt;0,AS12/AS5,"")</f>
        <v/>
      </c>
      <c r="AT35" s="818">
        <f>IF(AT12&lt;0,AT12/AT5,"")</f>
        <v/>
      </c>
      <c r="AU35" s="818">
        <f>IF(AU12&lt;0,AU12/AU5,"")</f>
        <v/>
      </c>
      <c r="AV35" s="818">
        <f>IF(AV12&lt;0,AV12/AV5,"")</f>
        <v/>
      </c>
    </row>
    <row r="36" outlineLevel="1">
      <c r="A36" s="819" t="n"/>
      <c r="B36" s="593" t="inlineStr">
        <is>
          <t>Achterstand RSZ, BV, BTW</t>
        </is>
      </c>
      <c r="D36" s="617" t="n"/>
      <c r="H36" s="623" t="n"/>
      <c r="I36" s="593" t="n"/>
    </row>
    <row r="37" outlineLevel="1">
      <c r="A37" s="826" t="n"/>
      <c r="B37" s="618" t="inlineStr">
        <is>
          <t>Andere aandachtspunten</t>
        </is>
      </c>
      <c r="C37" s="619" t="n"/>
      <c r="D37" s="619" t="n"/>
      <c r="E37" s="620" t="n"/>
      <c r="F37" s="620" t="n"/>
      <c r="G37" s="620" t="n"/>
      <c r="H37" s="624" t="n"/>
      <c r="I37" s="593" t="n"/>
    </row>
    <row r="38">
      <c r="B38" s="614" t="n"/>
      <c r="C38" s="614" t="n"/>
      <c r="D38" s="614" t="n"/>
      <c r="E38" s="614" t="n"/>
      <c r="F38" s="614" t="n"/>
      <c r="G38" s="614" t="n"/>
      <c r="H38" s="614" t="n"/>
      <c r="J38" s="565" t="inlineStr">
        <is>
          <t>Ebitda multiple</t>
        </is>
      </c>
      <c r="K38" s="625" t="n"/>
      <c r="L38" s="625" t="n"/>
      <c r="M38" s="625" t="n"/>
      <c r="N38" s="625" t="n"/>
      <c r="O38" s="625" t="n"/>
      <c r="P38" s="625" t="n"/>
      <c r="Q38" s="625" t="n"/>
      <c r="R38" s="625" t="n"/>
      <c r="S38" s="625" t="n"/>
      <c r="T38" s="625" t="n"/>
      <c r="U38" s="625" t="n"/>
      <c r="V38" s="625" t="n"/>
      <c r="W38" s="625" t="n"/>
      <c r="X38" s="625" t="n"/>
      <c r="Y38" s="625" t="n"/>
      <c r="Z38" s="625" t="n"/>
      <c r="AA38" s="625" t="n"/>
      <c r="AB38" s="625" t="n"/>
      <c r="AC38" s="625" t="n"/>
      <c r="AD38" s="625" t="n"/>
      <c r="AE38" s="625" t="n"/>
      <c r="AF38" s="625" t="n"/>
      <c r="AG38" s="625" t="n"/>
      <c r="AH38" s="625" t="n"/>
      <c r="AI38" s="625" t="n"/>
      <c r="AJ38" s="625" t="n"/>
      <c r="AK38" s="625" t="n"/>
      <c r="AL38" s="625" t="n"/>
      <c r="AM38" s="625" t="n"/>
      <c r="AN38" s="625" t="n"/>
      <c r="AO38" s="625" t="n"/>
      <c r="AP38" s="625" t="n"/>
      <c r="AQ38" s="625" t="n"/>
      <c r="AR38" s="625" t="n"/>
      <c r="AS38" s="625" t="n"/>
      <c r="AT38" s="625" t="n"/>
      <c r="AU38" s="625" t="n"/>
      <c r="AV38" s="625" t="n"/>
    </row>
    <row r="39">
      <c r="J39" s="565" t="inlineStr">
        <is>
          <t>ARR multiple</t>
        </is>
      </c>
      <c r="K39" s="625" t="n"/>
      <c r="L39" s="625" t="n"/>
      <c r="M39" s="625" t="n"/>
      <c r="N39" s="625" t="n"/>
      <c r="O39" s="625" t="n"/>
      <c r="P39" s="625" t="n"/>
      <c r="Q39" s="625" t="n"/>
      <c r="R39" s="625" t="n"/>
      <c r="S39" s="625" t="n"/>
      <c r="T39" s="625" t="n"/>
      <c r="U39" s="625" t="n"/>
      <c r="V39" s="625" t="n"/>
      <c r="W39" s="625" t="n"/>
      <c r="X39" s="625" t="n"/>
      <c r="Y39" s="625" t="n"/>
      <c r="Z39" s="625" t="n"/>
      <c r="AA39" s="625" t="n"/>
      <c r="AB39" s="625" t="n"/>
      <c r="AC39" s="625" t="n"/>
      <c r="AD39" s="625" t="n"/>
      <c r="AE39" s="625" t="n"/>
      <c r="AF39" s="625" t="n"/>
      <c r="AG39" s="625" t="n"/>
      <c r="AH39" s="625" t="n"/>
      <c r="AI39" s="625" t="n"/>
      <c r="AJ39" s="625" t="n"/>
      <c r="AK39" s="625" t="n"/>
      <c r="AL39" s="625" t="n"/>
      <c r="AM39" s="625" t="n"/>
      <c r="AN39" s="625" t="n"/>
      <c r="AO39" s="625" t="n"/>
      <c r="AP39" s="625" t="n"/>
      <c r="AQ39" s="625" t="n"/>
      <c r="AR39" s="625" t="n"/>
      <c r="AS39" s="625" t="n"/>
      <c r="AT39" s="625" t="n"/>
      <c r="AU39" s="625" t="n"/>
      <c r="AV39" s="625" t="n"/>
    </row>
    <row r="40">
      <c r="J40" s="565" t="inlineStr">
        <is>
          <t>Equity value Ebitda</t>
        </is>
      </c>
      <c r="K40" s="827">
        <f>IFERROR(K38*K9,"n/a")</f>
        <v/>
      </c>
      <c r="L40" s="827">
        <f>IFERROR(L38*L9,"n/a")</f>
        <v/>
      </c>
      <c r="M40" s="827">
        <f>IFERROR(M38*M9,"n/a")</f>
        <v/>
      </c>
      <c r="N40" s="827">
        <f>IFERROR(N38*N9,"n/a")</f>
        <v/>
      </c>
      <c r="O40" s="827">
        <f>IFERROR(O38*O9,"n/a")</f>
        <v/>
      </c>
      <c r="P40" s="827">
        <f>IFERROR(P38*P9,"n/a")</f>
        <v/>
      </c>
      <c r="Q40" s="827">
        <f>IFERROR(Q38*Q9,"n/a")</f>
        <v/>
      </c>
      <c r="R40" s="827">
        <f>IFERROR(R38*R9,"n/a")</f>
        <v/>
      </c>
      <c r="S40" s="827">
        <f>IFERROR(S38*S9,"n/a")</f>
        <v/>
      </c>
      <c r="T40" s="827">
        <f>IFERROR(T38*T9,"n/a")</f>
        <v/>
      </c>
      <c r="U40" s="827">
        <f>IFERROR(U38*U9,"n/a")</f>
        <v/>
      </c>
      <c r="V40" s="827">
        <f>IFERROR(V38*V9,"n/a")</f>
        <v/>
      </c>
      <c r="W40" s="827">
        <f>IFERROR(W38*W9,"n/a")</f>
        <v/>
      </c>
      <c r="X40" s="827">
        <f>IFERROR(X38*X9,"n/a")</f>
        <v/>
      </c>
      <c r="Y40" s="827">
        <f>IFERROR(Y38*Y9,"n/a")</f>
        <v/>
      </c>
      <c r="Z40" s="827">
        <f>IFERROR(Z38*Z9,"n/a")</f>
        <v/>
      </c>
      <c r="AA40" s="827">
        <f>IFERROR(AA38*AA9,"n/a")</f>
        <v/>
      </c>
      <c r="AB40" s="827">
        <f>IFERROR(AB38*AB9,"n/a")</f>
        <v/>
      </c>
      <c r="AC40" s="827">
        <f>IFERROR(AC38*AC9,"n/a")</f>
        <v/>
      </c>
      <c r="AD40" s="827">
        <f>IFERROR(AD38*AD9,"n/a")</f>
        <v/>
      </c>
      <c r="AE40" s="827">
        <f>IFERROR(AE38*AE9,"n/a")</f>
        <v/>
      </c>
      <c r="AF40" s="827">
        <f>IFERROR(AF38*AF9,"n/a")</f>
        <v/>
      </c>
      <c r="AG40" s="827">
        <f>IFERROR(AG38*AG9,"n/a")</f>
        <v/>
      </c>
      <c r="AH40" s="827">
        <f>IFERROR(AH38*AH9,"n/a")</f>
        <v/>
      </c>
      <c r="AI40" s="827">
        <f>IFERROR(AI38*AI9,"n/a")</f>
        <v/>
      </c>
      <c r="AJ40" s="827">
        <f>IFERROR(AJ38*AJ9,"n/a")</f>
        <v/>
      </c>
      <c r="AK40" s="827">
        <f>IFERROR(AK38*AK9,"n/a")</f>
        <v/>
      </c>
      <c r="AL40" s="827">
        <f>IFERROR(AL38*AL9,"n/a")</f>
        <v/>
      </c>
      <c r="AM40" s="827">
        <f>IFERROR(AM38*AM9,"n/a")</f>
        <v/>
      </c>
      <c r="AN40" s="827">
        <f>IFERROR(AN38*AN9,"n/a")</f>
        <v/>
      </c>
      <c r="AO40" s="827">
        <f>IFERROR(AO38*AO9,"n/a")</f>
        <v/>
      </c>
      <c r="AP40" s="827">
        <f>IFERROR(AP38*AP9,"n/a")</f>
        <v/>
      </c>
      <c r="AQ40" s="827">
        <f>IFERROR(AQ38*AQ9,"n/a")</f>
        <v/>
      </c>
      <c r="AR40" s="827">
        <f>IFERROR(AR38*AR9,"n/a")</f>
        <v/>
      </c>
      <c r="AS40" s="827">
        <f>IFERROR(AS38*AS9,"n/a")</f>
        <v/>
      </c>
      <c r="AT40" s="827">
        <f>IFERROR(AT38*AT9,"n/a")</f>
        <v/>
      </c>
      <c r="AU40" s="827">
        <f>IFERROR(AU38*AU9,"n/a")</f>
        <v/>
      </c>
      <c r="AV40" s="827">
        <f>IFERROR(AV38*AV9,"n/a")</f>
        <v/>
      </c>
    </row>
    <row r="41">
      <c r="B41" s="566" t="n"/>
      <c r="J41" s="565" t="inlineStr">
        <is>
          <t>Equity value ARR</t>
        </is>
      </c>
      <c r="K41" s="827">
        <f>IFERROR(K30*K39,"n/a")</f>
        <v/>
      </c>
      <c r="L41" s="827">
        <f>IFERROR(L30*L39,"n/a")</f>
        <v/>
      </c>
      <c r="M41" s="827">
        <f>IFERROR(M30*M39,"n/a")</f>
        <v/>
      </c>
      <c r="N41" s="827">
        <f>IFERROR(N30*N39,"n/a")</f>
        <v/>
      </c>
      <c r="O41" s="827">
        <f>IFERROR(O30*O39,"n/a")</f>
        <v/>
      </c>
      <c r="P41" s="827">
        <f>IFERROR(P30*P39,"n/a")</f>
        <v/>
      </c>
      <c r="Q41" s="827">
        <f>IFERROR(Q30*Q39,"n/a")</f>
        <v/>
      </c>
      <c r="R41" s="827">
        <f>IFERROR(R30*R39,"n/a")</f>
        <v/>
      </c>
      <c r="S41" s="827">
        <f>IFERROR(S30*S39,"n/a")</f>
        <v/>
      </c>
      <c r="T41" s="827">
        <f>IFERROR(T30*T39,"n/a")</f>
        <v/>
      </c>
      <c r="U41" s="827">
        <f>IFERROR(U30*U39,"n/a")</f>
        <v/>
      </c>
      <c r="V41" s="827">
        <f>IFERROR(V30*V39,"n/a")</f>
        <v/>
      </c>
      <c r="W41" s="827">
        <f>IFERROR(W30*W39,"n/a")</f>
        <v/>
      </c>
      <c r="X41" s="827">
        <f>IFERROR(X30*X39,"n/a")</f>
        <v/>
      </c>
      <c r="Y41" s="827">
        <f>IFERROR(Y30*Y39,"n/a")</f>
        <v/>
      </c>
      <c r="Z41" s="827">
        <f>IFERROR(Z30*Z39,"n/a")</f>
        <v/>
      </c>
      <c r="AA41" s="827">
        <f>IFERROR(AA30*AA39,"n/a")</f>
        <v/>
      </c>
      <c r="AB41" s="827">
        <f>IFERROR(AB30*AB39,"n/a")</f>
        <v/>
      </c>
      <c r="AC41" s="827">
        <f>IFERROR(AC30*AC39,"n/a")</f>
        <v/>
      </c>
      <c r="AD41" s="827">
        <f>IFERROR(AD30*AD39,"n/a")</f>
        <v/>
      </c>
      <c r="AE41" s="827">
        <f>IFERROR(AE30*AE39,"n/a")</f>
        <v/>
      </c>
      <c r="AF41" s="827">
        <f>IFERROR(AF30*AF39,"n/a")</f>
        <v/>
      </c>
      <c r="AG41" s="827">
        <f>IFERROR(AG30*AG39,"n/a")</f>
        <v/>
      </c>
      <c r="AH41" s="827">
        <f>IFERROR(AH30*AH39,"n/a")</f>
        <v/>
      </c>
      <c r="AI41" s="827">
        <f>IFERROR(AI30*AI39,"n/a")</f>
        <v/>
      </c>
      <c r="AJ41" s="827">
        <f>IFERROR(AJ30*AJ39,"n/a")</f>
        <v/>
      </c>
      <c r="AK41" s="827">
        <f>IFERROR(AK30*AK39,"n/a")</f>
        <v/>
      </c>
      <c r="AL41" s="827">
        <f>IFERROR(AL30*AL39,"n/a")</f>
        <v/>
      </c>
      <c r="AM41" s="827">
        <f>IFERROR(AM30*AM39,"n/a")</f>
        <v/>
      </c>
      <c r="AN41" s="827">
        <f>IFERROR(AN30*AN39,"n/a")</f>
        <v/>
      </c>
      <c r="AO41" s="827">
        <f>IFERROR(AO30*AO39,"n/a")</f>
        <v/>
      </c>
      <c r="AP41" s="827">
        <f>IFERROR(AP30*AP39,"n/a")</f>
        <v/>
      </c>
      <c r="AQ41" s="827">
        <f>IFERROR(AQ30*AQ39,"n/a")</f>
        <v/>
      </c>
      <c r="AR41" s="827">
        <f>IFERROR(AR30*AR39,"n/a")</f>
        <v/>
      </c>
      <c r="AS41" s="827">
        <f>IFERROR(AS30*AS39,"n/a")</f>
        <v/>
      </c>
      <c r="AT41" s="827">
        <f>IFERROR(AT30*AT39,"n/a")</f>
        <v/>
      </c>
      <c r="AU41" s="827">
        <f>IFERROR(AU30*AU39,"n/a")</f>
        <v/>
      </c>
      <c r="AV41" s="827">
        <f>IFERROR(AV30*AV39,"n/a")</f>
        <v/>
      </c>
    </row>
    <row r="42">
      <c r="J42" s="565" t="inlineStr">
        <is>
          <t>Equity Value</t>
        </is>
      </c>
      <c r="K42" s="828">
        <f>IF(MAX(K40:K41)-K22&gt;0,MAX(K40:K41)-K22,"")</f>
        <v/>
      </c>
      <c r="L42" s="828">
        <f>IF(MAX(L40:L41)-L22&gt;0,MAX(L40:L41)-L22,"")</f>
        <v/>
      </c>
      <c r="M42" s="828">
        <f>IF(MAX(M40:M41)-M22&gt;0,MAX(M40:M41)-M22,"")</f>
        <v/>
      </c>
      <c r="N42" s="828">
        <f>IF(MAX(N40:N41)-N22&gt;0,MAX(N40:N41)-N22,"")</f>
        <v/>
      </c>
      <c r="O42" s="828">
        <f>IF(MAX(O40:O41)-O22&gt;0,MAX(O40:O41)-O22,"")</f>
        <v/>
      </c>
      <c r="P42" s="828">
        <f>IF(MAX(P40:P41)-P22&gt;0,MAX(P40:P41)-P22,"")</f>
        <v/>
      </c>
      <c r="Q42" s="828">
        <f>IF(MAX(Q40:Q41)-Q22&gt;0,MAX(Q40:Q41)-Q22,"")</f>
        <v/>
      </c>
      <c r="R42" s="828">
        <f>IF(MAX(R40:R41)-R22&gt;0,MAX(R40:R41)-R22,"")</f>
        <v/>
      </c>
      <c r="S42" s="828">
        <f>IF(MAX(S40:S41)-S22&gt;0,MAX(S40:S41)-S22,"")</f>
        <v/>
      </c>
      <c r="T42" s="828">
        <f>IF(MAX(T40:T41)-T22&gt;0,MAX(T40:T41)-T22,"")</f>
        <v/>
      </c>
      <c r="U42" s="828">
        <f>IF(MAX(U40:U41)-U22&gt;0,MAX(U40:U41)-U22,"")</f>
        <v/>
      </c>
      <c r="V42" s="828">
        <f>IF(MAX(V40:V41)-V22&gt;0,MAX(V40:V41)-V22,"")</f>
        <v/>
      </c>
      <c r="W42" s="828">
        <f>IF(MAX(W40:W41)-W22&gt;0,MAX(W40:W41)-W22,"")</f>
        <v/>
      </c>
      <c r="X42" s="828">
        <f>IF(MAX(X40:X41)-X22&gt;0,MAX(X40:X41)-X22,"")</f>
        <v/>
      </c>
      <c r="Y42" s="828">
        <f>IF(MAX(Y40:Y41)-Y22&gt;0,MAX(Y40:Y41)-Y22,"")</f>
        <v/>
      </c>
      <c r="Z42" s="828">
        <f>IF(MAX(Z40:Z41)-Z22&gt;0,MAX(Z40:Z41)-Z22,"")</f>
        <v/>
      </c>
      <c r="AA42" s="828">
        <f>IF(MAX(AA40:AA41)-AA22&gt;0,MAX(AA40:AA41)-AA22,"")</f>
        <v/>
      </c>
      <c r="AB42" s="828">
        <f>IF(MAX(AB40:AB41)-AB22&gt;0,MAX(AB40:AB41)-AB22,"")</f>
        <v/>
      </c>
      <c r="AC42" s="828">
        <f>IF(MAX(AC40:AC41)-AC22&gt;0,MAX(AC40:AC41)-AC22,"")</f>
        <v/>
      </c>
      <c r="AD42" s="828">
        <f>IF(MAX(AD40:AD41)-AD22&gt;0,MAX(AD40:AD41)-AD22,"")</f>
        <v/>
      </c>
      <c r="AE42" s="828">
        <f>IF(MAX(AE40:AE41)-AE22&gt;0,MAX(AE40:AE41)-AE22,"")</f>
        <v/>
      </c>
      <c r="AF42" s="828">
        <f>IF(MAX(AF40:AF41)-AF22&gt;0,MAX(AF40:AF41)-AF22,"")</f>
        <v/>
      </c>
      <c r="AG42" s="828">
        <f>IF(MAX(AG40:AG41)-AG22&gt;0,MAX(AG40:AG41)-AG22,"")</f>
        <v/>
      </c>
      <c r="AH42" s="828">
        <f>IF(MAX(AH40:AH41)-AH22&gt;0,MAX(AH40:AH41)-AH22,"")</f>
        <v/>
      </c>
      <c r="AI42" s="828">
        <f>IF(MAX(AI40:AI41)-AI22&gt;0,MAX(AI40:AI41)-AI22,"")</f>
        <v/>
      </c>
      <c r="AJ42" s="828">
        <f>IF(MAX(AJ40:AJ41)-AJ22&gt;0,MAX(AJ40:AJ41)-AJ22,"")</f>
        <v/>
      </c>
      <c r="AK42" s="828">
        <f>IF(MAX(AK40:AK41)-AK22&gt;0,MAX(AK40:AK41)-AK22,"")</f>
        <v/>
      </c>
      <c r="AL42" s="828">
        <f>IF(MAX(AL40:AL41)-AL22&gt;0,MAX(AL40:AL41)-AL22,"")</f>
        <v/>
      </c>
      <c r="AM42" s="828">
        <f>IF(MAX(AM40:AM41)-AM22&gt;0,MAX(AM40:AM41)-AM22,"")</f>
        <v/>
      </c>
      <c r="AN42" s="828">
        <f>IF(MAX(AN40:AN41)-AN22&gt;0,MAX(AN40:AN41)-AN22,"")</f>
        <v/>
      </c>
      <c r="AO42" s="828">
        <f>IF(MAX(AO40:AO41)-AO22&gt;0,MAX(AO40:AO41)-AO22,"")</f>
        <v/>
      </c>
      <c r="AP42" s="828">
        <f>IF(MAX(AP40:AP41)-AP22&gt;0,MAX(AP40:AP41)-AP22,"")</f>
        <v/>
      </c>
      <c r="AQ42" s="828">
        <f>IF(MAX(AQ40:AQ41)-AQ22&gt;0,MAX(AQ40:AQ41)-AQ22,"")</f>
        <v/>
      </c>
      <c r="AR42" s="828">
        <f>IF(MAX(AR40:AR41)-AR22&gt;0,MAX(AR40:AR41)-AR22,"")</f>
        <v/>
      </c>
      <c r="AS42" s="828">
        <f>IF(MAX(AS40:AS41)-AS22&gt;0,MAX(AS40:AS41)-AS22,"")</f>
        <v/>
      </c>
      <c r="AT42" s="828">
        <f>IF(MAX(AT40:AT41)-AT22&gt;0,MAX(AT40:AT41)-AT22,"")</f>
        <v/>
      </c>
      <c r="AU42" s="828">
        <f>IF(MAX(AU40:AU41)-AU22&gt;0,MAX(AU40:AU41)-AU22,"")</f>
        <v/>
      </c>
      <c r="AV42" s="828">
        <f>IF(MAX(AV40:AV41)-AV22&gt;0,MAX(AV40:AV41)-AV22,"")</f>
        <v/>
      </c>
    </row>
    <row r="43">
      <c r="J43" s="565" t="inlineStr">
        <is>
          <t>% LRM</t>
        </is>
      </c>
      <c r="K43" s="627" t="n"/>
      <c r="L43" s="627" t="n"/>
      <c r="M43" s="627" t="n"/>
      <c r="N43" s="627" t="n"/>
      <c r="O43" s="627" t="n"/>
      <c r="P43" s="627" t="n"/>
      <c r="Q43" s="627" t="n"/>
      <c r="R43" s="627" t="n"/>
      <c r="S43" s="627" t="n"/>
      <c r="T43" s="627" t="n"/>
      <c r="U43" s="627" t="n"/>
      <c r="V43" s="627" t="n"/>
      <c r="W43" s="627" t="n"/>
      <c r="X43" s="627" t="n"/>
      <c r="Y43" s="627" t="n"/>
      <c r="Z43" s="627" t="n"/>
      <c r="AA43" s="627" t="n"/>
      <c r="AB43" s="627" t="n"/>
      <c r="AC43" s="627" t="n"/>
      <c r="AD43" s="627" t="n"/>
      <c r="AE43" s="627" t="n"/>
      <c r="AF43" s="627" t="n"/>
      <c r="AG43" s="627" t="n"/>
      <c r="AH43" s="627" t="n"/>
      <c r="AI43" s="627" t="n"/>
      <c r="AJ43" s="627" t="n"/>
      <c r="AK43" s="627" t="n"/>
      <c r="AL43" s="627" t="n"/>
      <c r="AM43" s="627" t="n"/>
      <c r="AN43" s="627" t="n"/>
      <c r="AO43" s="627" t="n"/>
      <c r="AP43" s="627" t="n"/>
      <c r="AQ43" s="627" t="n"/>
      <c r="AR43" s="627" t="n"/>
      <c r="AS43" s="627" t="n"/>
      <c r="AT43" s="627" t="n"/>
      <c r="AU43" s="627" t="n"/>
      <c r="AV43" s="627" t="n"/>
    </row>
    <row r="44">
      <c r="J44" s="565" t="inlineStr">
        <is>
          <t>Equity value LRM</t>
        </is>
      </c>
      <c r="K44" s="828">
        <f>IFERROR(K43*K42,"n/a")</f>
        <v/>
      </c>
      <c r="L44" s="828">
        <f>IFERROR(L43*L42,"n/a")</f>
        <v/>
      </c>
      <c r="M44" s="828">
        <f>IFERROR(M43*M42,"n/a")</f>
        <v/>
      </c>
      <c r="N44" s="828">
        <f>IFERROR(N43*N42,"n/a")</f>
        <v/>
      </c>
      <c r="O44" s="828">
        <f>IFERROR(O43*O42,"n/a")</f>
        <v/>
      </c>
      <c r="P44" s="828">
        <f>IFERROR(P43*P42,"n/a")</f>
        <v/>
      </c>
      <c r="Q44" s="828">
        <f>IFERROR(Q43*Q42,"n/a")</f>
        <v/>
      </c>
      <c r="R44" s="828">
        <f>IFERROR(R43*R42,"n/a")</f>
        <v/>
      </c>
      <c r="S44" s="828">
        <f>IFERROR(S43*S42,"n/a")</f>
        <v/>
      </c>
      <c r="T44" s="828">
        <f>IFERROR(T43*T42,"n/a")</f>
        <v/>
      </c>
      <c r="U44" s="828">
        <f>IFERROR(U43*U42,"n/a")</f>
        <v/>
      </c>
      <c r="V44" s="828">
        <f>IFERROR(V43*V42,"n/a")</f>
        <v/>
      </c>
      <c r="W44" s="828">
        <f>IFERROR(W43*W42,"n/a")</f>
        <v/>
      </c>
      <c r="X44" s="828">
        <f>IFERROR(X43*X42,"n/a")</f>
        <v/>
      </c>
      <c r="Y44" s="828">
        <f>IFERROR(Y43*Y42,"n/a")</f>
        <v/>
      </c>
      <c r="Z44" s="828">
        <f>IFERROR(Z43*Z42,"n/a")</f>
        <v/>
      </c>
      <c r="AA44" s="828">
        <f>IFERROR(AA43*AA42,"n/a")</f>
        <v/>
      </c>
      <c r="AB44" s="828">
        <f>IFERROR(AB43*AB42,"n/a")</f>
        <v/>
      </c>
      <c r="AC44" s="828">
        <f>IFERROR(AC43*AC42,"n/a")</f>
        <v/>
      </c>
      <c r="AD44" s="828">
        <f>IFERROR(AD43*AD42,"n/a")</f>
        <v/>
      </c>
      <c r="AE44" s="828">
        <f>IFERROR(AE43*AE42,"n/a")</f>
        <v/>
      </c>
      <c r="AF44" s="828">
        <f>IFERROR(AF43*AF42,"n/a")</f>
        <v/>
      </c>
      <c r="AG44" s="828">
        <f>IFERROR(AG43*AG42,"n/a")</f>
        <v/>
      </c>
      <c r="AH44" s="828">
        <f>IFERROR(AH43*AH42,"n/a")</f>
        <v/>
      </c>
      <c r="AI44" s="828">
        <f>IFERROR(AI43*AI42,"n/a")</f>
        <v/>
      </c>
      <c r="AJ44" s="828">
        <f>IFERROR(AJ43*AJ42,"n/a")</f>
        <v/>
      </c>
      <c r="AK44" s="828">
        <f>IFERROR(AK43*AK42,"n/a")</f>
        <v/>
      </c>
      <c r="AL44" s="828">
        <f>IFERROR(AL43*AL42,"n/a")</f>
        <v/>
      </c>
      <c r="AM44" s="828">
        <f>IFERROR(AM43*AM42,"n/a")</f>
        <v/>
      </c>
      <c r="AN44" s="828">
        <f>IFERROR(AN43*AN42,"n/a")</f>
        <v/>
      </c>
      <c r="AO44" s="828">
        <f>IFERROR(AO43*AO42,"n/a")</f>
        <v/>
      </c>
      <c r="AP44" s="828">
        <f>IFERROR(AP43*AP42,"n/a")</f>
        <v/>
      </c>
      <c r="AQ44" s="828">
        <f>IFERROR(AQ43*AQ42,"n/a")</f>
        <v/>
      </c>
      <c r="AR44" s="828">
        <f>IFERROR(AR43*AR42,"n/a")</f>
        <v/>
      </c>
      <c r="AS44" s="828">
        <f>IFERROR(AS43*AS42,"n/a")</f>
        <v/>
      </c>
      <c r="AT44" s="828">
        <f>IFERROR(AT43*AT42,"n/a")</f>
        <v/>
      </c>
      <c r="AU44" s="828">
        <f>IFERROR(AU43*AU42,"n/a")</f>
        <v/>
      </c>
      <c r="AV44" s="828">
        <f>IFERROR(AV43*AV42,"n/a")</f>
        <v/>
      </c>
    </row>
  </sheetData>
  <mergeCells count="6">
    <mergeCell ref="A21:A25"/>
    <mergeCell ref="A26:A28"/>
    <mergeCell ref="A29:A33"/>
    <mergeCell ref="A15:A20"/>
    <mergeCell ref="A34:A37"/>
    <mergeCell ref="A6:A14"/>
  </mergeCells>
  <conditionalFormatting sqref="D34:D37">
    <cfRule type="containsText" priority="1" operator="containsText" dxfId="5" text="Ja">
      <formula>NOT(ISERROR(SEARCH("Ja",D34)))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4" tint="0.5999938962981048"/>
    <outlinePr summaryBelow="1" summaryRight="1"/>
    <pageSetUpPr/>
  </sheetPr>
  <dimension ref="A1:IJ749"/>
  <sheetViews>
    <sheetView showGridLines="0" tabSelected="1" topLeftCell="A135" zoomScaleNormal="100" workbookViewId="0">
      <selection activeCell="F148" sqref="F148"/>
    </sheetView>
  </sheetViews>
  <sheetFormatPr baseColWidth="8" defaultColWidth="8" defaultRowHeight="10.2"/>
  <cols>
    <col width="40.5546875" customWidth="1" style="146" min="1" max="1"/>
    <col outlineLevel="1" width="9.6640625" customWidth="1" style="146" min="2" max="3"/>
    <col width="9.6640625" customWidth="1" style="146" min="4" max="4"/>
    <col width="9.5546875" customWidth="1" style="146" min="5" max="5"/>
    <col width="9.6640625" customWidth="1" style="146" min="6" max="6"/>
    <col outlineLevel="1" width="9.6640625" customWidth="1" style="146" min="7" max="11"/>
    <col width="8" customWidth="1" style="146" min="12" max="18"/>
    <col width="18.5546875" customWidth="1" style="146" min="19" max="19"/>
    <col width="10.88671875" bestFit="1" customWidth="1" style="146" min="20" max="20"/>
    <col width="9.5546875" bestFit="1" customWidth="1" style="146" min="21" max="21"/>
    <col width="10.88671875" bestFit="1" customWidth="1" style="146" min="22" max="22"/>
    <col width="15.5546875" customWidth="1" style="146" min="23" max="23"/>
    <col width="9.5546875" bestFit="1" customWidth="1" style="146" min="24" max="24"/>
    <col width="8" customWidth="1" style="146" min="25" max="16384"/>
  </cols>
  <sheetData>
    <row r="1" ht="11.25" customHeight="1">
      <c r="A1" s="142" t="inlineStr">
        <is>
          <t> </t>
        </is>
      </c>
      <c r="B1" s="143" t="n"/>
      <c r="C1" s="143" t="n"/>
      <c r="D1" s="143" t="n"/>
      <c r="E1" s="144" t="n"/>
      <c r="F1" s="144" t="n"/>
      <c r="G1" s="144" t="n"/>
      <c r="H1" s="144" t="n"/>
      <c r="I1" s="144" t="n"/>
      <c r="J1" s="145" t="n"/>
      <c r="K1" s="145" t="n"/>
    </row>
    <row r="2" ht="13.8" customHeight="1">
      <c r="A2" s="472" t="inlineStr">
        <is>
          <t>Dossier</t>
        </is>
      </c>
      <c r="B2" s="147" t="n"/>
      <c r="C2" s="147" t="n"/>
      <c r="D2" s="147" t="n"/>
      <c r="E2" s="148" t="n"/>
      <c r="F2" s="148" t="n"/>
      <c r="G2" s="148" t="n"/>
      <c r="H2" s="148" t="n"/>
      <c r="I2" s="148" t="n"/>
      <c r="J2" s="149" t="n"/>
      <c r="K2" s="149" t="n"/>
    </row>
    <row r="3" ht="12" customHeight="1">
      <c r="A3" s="150" t="n"/>
      <c r="B3" s="151" t="n"/>
      <c r="C3" s="151" t="n"/>
      <c r="D3" s="151" t="n"/>
      <c r="E3" s="152" t="n"/>
      <c r="F3" s="152" t="n"/>
      <c r="G3" s="152" t="n"/>
      <c r="H3" s="152" t="n"/>
      <c r="I3" s="152" t="n"/>
      <c r="J3" s="153" t="n"/>
      <c r="K3" s="153" t="n"/>
    </row>
    <row r="4" ht="13.8" customHeight="1">
      <c r="A4" s="154" t="n"/>
      <c r="B4" s="147" t="n"/>
      <c r="C4" s="147" t="n"/>
      <c r="D4" s="147" t="n"/>
      <c r="E4" s="148" t="n"/>
      <c r="F4" s="148" t="n"/>
      <c r="G4" s="148" t="n"/>
      <c r="H4" s="148" t="n"/>
      <c r="I4" s="148" t="n"/>
      <c r="J4" s="148" t="n"/>
      <c r="K4" s="148" t="n"/>
    </row>
    <row r="5">
      <c r="A5" s="632" t="inlineStr">
        <is>
          <t>in EURO</t>
        </is>
      </c>
      <c r="B5" s="147" t="n"/>
      <c r="C5" s="147" t="n"/>
      <c r="D5" s="147" t="n"/>
      <c r="E5" s="148" t="n"/>
      <c r="F5" s="148" t="n"/>
      <c r="G5" s="148" t="n"/>
      <c r="H5" s="148" t="n"/>
      <c r="I5" s="148" t="n"/>
      <c r="J5" s="148" t="n"/>
      <c r="K5" s="148" t="n"/>
    </row>
    <row r="6">
      <c r="A6" s="155" t="n"/>
      <c r="E6" s="155" t="n"/>
      <c r="F6" s="155" t="n"/>
      <c r="G6" s="155" t="n"/>
      <c r="H6" s="155" t="n"/>
      <c r="I6" s="155" t="n"/>
      <c r="J6" s="155" t="n"/>
      <c r="K6" s="155" t="n"/>
    </row>
    <row r="7" ht="13.2" customFormat="1" customHeight="1" s="159">
      <c r="A7" s="156" t="inlineStr">
        <is>
          <t>BALANS</t>
        </is>
      </c>
      <c r="B7" s="157">
        <f>C7-366</f>
        <v/>
      </c>
      <c r="C7" s="157">
        <f>D7-366</f>
        <v/>
      </c>
      <c r="D7" s="157">
        <f>E7-366</f>
        <v/>
      </c>
      <c r="E7" s="664">
        <f>F7-365</f>
        <v/>
      </c>
      <c r="F7" s="663" t="inlineStr">
        <is>
          <t>31-12-2023</t>
        </is>
      </c>
      <c r="G7" s="157">
        <f>F7+365</f>
        <v/>
      </c>
      <c r="H7" s="157">
        <f>G7+365</f>
        <v/>
      </c>
      <c r="I7" s="157">
        <f>H7+365</f>
        <v/>
      </c>
      <c r="J7" s="157">
        <f>I7+365</f>
        <v/>
      </c>
      <c r="K7" s="158">
        <f>J7+365</f>
        <v/>
      </c>
    </row>
    <row r="8" ht="6" customHeight="1">
      <c r="A8" s="148" t="n"/>
      <c r="B8" s="160" t="n"/>
      <c r="C8" s="160" t="n"/>
      <c r="D8" s="160" t="n"/>
      <c r="E8" s="160" t="n"/>
      <c r="F8" s="160" t="n"/>
      <c r="G8" s="160" t="n"/>
      <c r="H8" s="160" t="n"/>
      <c r="I8" s="160" t="n"/>
      <c r="J8" s="161" t="n"/>
      <c r="K8" s="161" t="n"/>
    </row>
    <row r="9">
      <c r="A9" s="155" t="inlineStr">
        <is>
          <t>Aantal maanden</t>
        </is>
      </c>
      <c r="B9" s="162" t="n">
        <v>12</v>
      </c>
      <c r="C9" s="162" t="n">
        <v>12</v>
      </c>
      <c r="D9" s="162" t="n">
        <v>12</v>
      </c>
      <c r="E9" s="162" t="n">
        <v>12</v>
      </c>
      <c r="F9" s="162" t="n">
        <v>12</v>
      </c>
      <c r="G9" s="162" t="n">
        <v>12</v>
      </c>
      <c r="H9" s="162" t="n">
        <v>12</v>
      </c>
      <c r="I9" s="162" t="n">
        <v>12</v>
      </c>
      <c r="J9" s="163" t="n">
        <v>12</v>
      </c>
      <c r="K9" s="163" t="n">
        <v>12</v>
      </c>
    </row>
    <row r="10" ht="9.75" customHeight="1">
      <c r="A10" s="155" t="n"/>
      <c r="B10" s="164" t="n"/>
      <c r="C10" s="164" t="n"/>
      <c r="D10" s="164" t="n"/>
      <c r="E10" s="164" t="n"/>
      <c r="F10" s="164" t="n"/>
      <c r="G10" s="164" t="n"/>
      <c r="H10" s="164" t="n"/>
      <c r="I10" s="164" t="n"/>
      <c r="J10" s="165" t="n"/>
      <c r="K10" s="165" t="n"/>
    </row>
    <row r="11">
      <c r="A11" s="155" t="inlineStr">
        <is>
          <t xml:space="preserve"> 1. BALANS NA WINSTVERDELING                </t>
        </is>
      </c>
      <c r="B11" s="166" t="n"/>
      <c r="C11" s="166" t="n"/>
      <c r="D11" s="166" t="n"/>
      <c r="E11" s="166" t="n"/>
      <c r="F11" s="166" t="n"/>
      <c r="G11" s="166" t="n"/>
      <c r="H11" s="166" t="n"/>
      <c r="I11" s="166" t="n"/>
      <c r="J11" s="167" t="n"/>
      <c r="K11" s="167" t="n"/>
    </row>
    <row r="12">
      <c r="A12" s="155" t="inlineStr">
        <is>
          <t>                                            </t>
        </is>
      </c>
      <c r="B12" s="166" t="n"/>
      <c r="C12" s="166" t="n"/>
      <c r="D12" s="166" t="n"/>
      <c r="E12" s="166" t="n"/>
      <c r="F12" s="166" t="n"/>
      <c r="G12" s="166" t="n"/>
      <c r="H12" s="166" t="n"/>
      <c r="I12" s="166" t="n"/>
      <c r="J12" s="167" t="n"/>
      <c r="K12" s="167" t="n"/>
    </row>
    <row r="13">
      <c r="A13" s="155">
        <f>"=========== ACTIVA ================= CODES "</f>
        <v/>
      </c>
      <c r="B13" s="166" t="n"/>
      <c r="C13" s="166" t="n"/>
      <c r="D13" s="166" t="n"/>
      <c r="E13" s="166" t="n"/>
      <c r="F13" s="166" t="n"/>
      <c r="G13" s="166" t="n"/>
      <c r="H13" s="166" t="n"/>
      <c r="I13" s="166" t="n"/>
      <c r="J13" s="167" t="n"/>
      <c r="K13" s="167" t="n"/>
    </row>
    <row r="14">
      <c r="A14" s="155" t="inlineStr">
        <is>
          <t>                                            </t>
        </is>
      </c>
      <c r="B14" s="166" t="n"/>
      <c r="C14" s="166" t="n"/>
      <c r="D14" s="166" t="n"/>
      <c r="E14" s="166" t="n"/>
      <c r="F14" s="166" t="n"/>
      <c r="G14" s="166" t="n"/>
      <c r="H14" s="166" t="n"/>
      <c r="I14" s="166" t="n"/>
      <c r="J14" s="167" t="n"/>
      <c r="K14" s="167" t="n"/>
    </row>
    <row r="15" ht="13.8" customHeight="1">
      <c r="A15" s="168" t="inlineStr">
        <is>
          <t xml:space="preserve">      VASTE ACTIVA                    20/28</t>
        </is>
      </c>
      <c r="B15" s="829">
        <f>B17+B19+B21+B29</f>
        <v/>
      </c>
      <c r="C15" s="829">
        <f>C17+C19+C21+C29</f>
        <v/>
      </c>
      <c r="D15" s="829">
        <f>D17+D19+D21+D29</f>
        <v/>
      </c>
      <c r="E15" s="829">
        <f>E17+E19+E21+E29</f>
        <v/>
      </c>
      <c r="F15" s="829">
        <f>F17+F19+F21+F29</f>
        <v/>
      </c>
      <c r="G15" s="829">
        <f>G17+G19+G21+G29</f>
        <v/>
      </c>
      <c r="H15" s="829">
        <f>H17+H19+H21+H29</f>
        <v/>
      </c>
      <c r="I15" s="829">
        <f>I17+I19+I21+I29</f>
        <v/>
      </c>
      <c r="J15" s="830">
        <f>J17+J19+J21+J29</f>
        <v/>
      </c>
      <c r="K15" s="830">
        <f>K17+K19+K21+K29</f>
        <v/>
      </c>
    </row>
    <row r="16">
      <c r="A16" s="155" t="inlineStr">
        <is>
          <t>                                            </t>
        </is>
      </c>
      <c r="B16" s="831" t="n"/>
      <c r="C16" s="831" t="n"/>
      <c r="D16" s="831" t="n"/>
      <c r="E16" s="831" t="n"/>
      <c r="F16" s="831" t="n"/>
      <c r="G16" s="831" t="n"/>
      <c r="H16" s="831" t="n"/>
      <c r="I16" s="831" t="n"/>
      <c r="J16" s="832" t="n"/>
      <c r="K16" s="832" t="n"/>
    </row>
    <row r="17">
      <c r="A17" s="148" t="inlineStr">
        <is>
          <t xml:space="preserve">  I.OPRICHTINGSKOSTEN                    20</t>
        </is>
      </c>
      <c r="B17" s="833" t="n">
        <v>0</v>
      </c>
      <c r="C17" s="833" t="n">
        <v>0</v>
      </c>
      <c r="D17" s="833" t="n">
        <v>0</v>
      </c>
      <c r="E17" s="833" t="n">
        <v>0</v>
      </c>
      <c r="F17" s="833" t="n">
        <v>412.53</v>
      </c>
      <c r="G17" s="833" t="n">
        <v>0</v>
      </c>
      <c r="H17" s="833" t="n">
        <v>0</v>
      </c>
      <c r="I17" s="833" t="n">
        <v>0</v>
      </c>
      <c r="J17" s="834" t="n">
        <v>0</v>
      </c>
      <c r="K17" s="834" t="n">
        <v>0</v>
      </c>
    </row>
    <row r="18" ht="12" customHeight="1">
      <c r="A18" s="155" t="inlineStr">
        <is>
          <t>                                            </t>
        </is>
      </c>
      <c r="B18" s="831" t="n"/>
      <c r="C18" s="831" t="n"/>
      <c r="D18" s="831" t="n"/>
      <c r="E18" s="831" t="n"/>
      <c r="F18" s="831" t="n"/>
      <c r="G18" s="831" t="n"/>
      <c r="H18" s="831" t="n"/>
      <c r="I18" s="831" t="n"/>
      <c r="J18" s="832" t="n"/>
      <c r="K18" s="832" t="n"/>
    </row>
    <row r="19">
      <c r="A19" s="148" t="inlineStr">
        <is>
          <t xml:space="preserve">  II.IMMATERIELE VASTE ACTIVA            21</t>
        </is>
      </c>
      <c r="B19" s="833" t="n">
        <v>0</v>
      </c>
      <c r="C19" s="833" t="n">
        <v>0</v>
      </c>
      <c r="D19" s="833" t="n">
        <v>0</v>
      </c>
      <c r="E19" s="833" t="n">
        <v>0</v>
      </c>
      <c r="F19" s="833" t="n">
        <v>295089.19</v>
      </c>
      <c r="G19" s="833" t="n">
        <v>0</v>
      </c>
      <c r="H19" s="833" t="n">
        <v>0</v>
      </c>
      <c r="I19" s="833" t="n">
        <v>0</v>
      </c>
      <c r="J19" s="834" t="n">
        <v>0</v>
      </c>
      <c r="K19" s="834" t="n">
        <v>0</v>
      </c>
    </row>
    <row r="20" ht="12" customHeight="1">
      <c r="A20" s="155" t="inlineStr">
        <is>
          <t>                                            </t>
        </is>
      </c>
      <c r="B20" s="831" t="n"/>
      <c r="C20" s="831" t="n"/>
      <c r="D20" s="831" t="n"/>
      <c r="E20" s="831" t="n"/>
      <c r="F20" s="831" t="n"/>
      <c r="G20" s="831" t="n"/>
      <c r="H20" s="831" t="n"/>
      <c r="I20" s="831" t="n"/>
      <c r="J20" s="832" t="n"/>
      <c r="K20" s="832" t="n"/>
    </row>
    <row r="21">
      <c r="A21" s="148" t="inlineStr">
        <is>
          <t xml:space="preserve"> III.MATERIELE VASTE ACTIVA           22/27</t>
        </is>
      </c>
      <c r="B21" s="835">
        <f>SUM(B22:B27)</f>
        <v/>
      </c>
      <c r="C21" s="835">
        <f>SUM(C22:C27)</f>
        <v/>
      </c>
      <c r="D21" s="835">
        <f>SUM(D22:D27)</f>
        <v/>
      </c>
      <c r="E21" s="835">
        <f>SUM(E22:E27)</f>
        <v/>
      </c>
      <c r="F21" s="835">
        <f>SUM(F22:F27)</f>
        <v/>
      </c>
      <c r="G21" s="835">
        <f>SUM(G22:G27)</f>
        <v/>
      </c>
      <c r="H21" s="835">
        <f>SUM(H22:H27)</f>
        <v/>
      </c>
      <c r="I21" s="835">
        <f>SUM(I22:I27)</f>
        <v/>
      </c>
      <c r="J21" s="836">
        <f>SUM(J22:J27)</f>
        <v/>
      </c>
      <c r="K21" s="836">
        <f>SUM(K22:K27)</f>
        <v/>
      </c>
    </row>
    <row r="22">
      <c r="A22" s="155" t="inlineStr">
        <is>
          <t xml:space="preserve">   A.Terreinen en gebouwen               22</t>
        </is>
      </c>
      <c r="B22" s="837" t="n">
        <v>0</v>
      </c>
      <c r="C22" s="837" t="n">
        <v>0</v>
      </c>
      <c r="D22" s="837" t="n">
        <v>0</v>
      </c>
      <c r="E22" s="837" t="n">
        <v>0</v>
      </c>
      <c r="F22" s="837" t="n">
        <v>0</v>
      </c>
      <c r="G22" s="837" t="n">
        <v>0</v>
      </c>
      <c r="H22" s="837" t="n">
        <v>0</v>
      </c>
      <c r="I22" s="837" t="n">
        <v>0</v>
      </c>
      <c r="J22" s="838" t="n">
        <v>0</v>
      </c>
      <c r="K22" s="838" t="n">
        <v>0</v>
      </c>
    </row>
    <row r="23">
      <c r="A23" s="155" t="inlineStr">
        <is>
          <t xml:space="preserve">   B.Installaties, machines en uitrust.  23</t>
        </is>
      </c>
      <c r="B23" s="837" t="n">
        <v>0</v>
      </c>
      <c r="C23" s="837" t="n">
        <v>0</v>
      </c>
      <c r="D23" s="837" t="n">
        <v>0</v>
      </c>
      <c r="E23" s="837" t="n">
        <v>0</v>
      </c>
      <c r="F23" s="837" t="n">
        <v>174567.78</v>
      </c>
      <c r="G23" s="837" t="n">
        <v>0</v>
      </c>
      <c r="H23" s="837" t="n">
        <v>0</v>
      </c>
      <c r="I23" s="837" t="n">
        <v>0</v>
      </c>
      <c r="J23" s="838" t="n">
        <v>0</v>
      </c>
      <c r="K23" s="838" t="n">
        <v>0</v>
      </c>
    </row>
    <row r="24">
      <c r="A24" s="155" t="inlineStr">
        <is>
          <t xml:space="preserve">   C.Meubilair en rollend mat.           24</t>
        </is>
      </c>
      <c r="B24" s="837" t="n">
        <v>0</v>
      </c>
      <c r="C24" s="837" t="n">
        <v>0</v>
      </c>
      <c r="D24" s="837" t="n">
        <v>0</v>
      </c>
      <c r="E24" s="837" t="n">
        <v>0</v>
      </c>
      <c r="F24" s="837" t="n">
        <v>14640.87</v>
      </c>
      <c r="G24" s="837" t="n">
        <v>0</v>
      </c>
      <c r="H24" s="837" t="n">
        <v>0</v>
      </c>
      <c r="I24" s="837" t="n">
        <v>0</v>
      </c>
      <c r="J24" s="838" t="n">
        <v>0</v>
      </c>
      <c r="K24" s="838" t="n">
        <v>0</v>
      </c>
    </row>
    <row r="25">
      <c r="A25" s="155" t="inlineStr">
        <is>
          <t xml:space="preserve">   D.Leasing en soortgelijke rechten     25</t>
        </is>
      </c>
      <c r="B25" s="837" t="n">
        <v>0</v>
      </c>
      <c r="C25" s="837" t="n">
        <v>0</v>
      </c>
      <c r="D25" s="837" t="n">
        <v>0</v>
      </c>
      <c r="E25" s="837" t="n">
        <v>0</v>
      </c>
      <c r="F25" s="837" t="n">
        <v>0</v>
      </c>
      <c r="G25" s="837" t="n">
        <v>0</v>
      </c>
      <c r="H25" s="837" t="n">
        <v>0</v>
      </c>
      <c r="I25" s="837" t="n">
        <v>0</v>
      </c>
      <c r="J25" s="838" t="n">
        <v>0</v>
      </c>
      <c r="K25" s="838" t="n">
        <v>0</v>
      </c>
    </row>
    <row r="26">
      <c r="A26" s="155" t="inlineStr">
        <is>
          <t xml:space="preserve">   E.Overige materiele vaste activa      26</t>
        </is>
      </c>
      <c r="B26" s="837" t="n">
        <v>0</v>
      </c>
      <c r="C26" s="837" t="n">
        <v>0</v>
      </c>
      <c r="D26" s="837" t="n">
        <v>0</v>
      </c>
      <c r="E26" s="837" t="n">
        <v>0</v>
      </c>
      <c r="F26" s="837" t="n">
        <v>201245.21</v>
      </c>
      <c r="G26" s="837" t="n">
        <v>0</v>
      </c>
      <c r="H26" s="837" t="n">
        <v>0</v>
      </c>
      <c r="I26" s="837" t="n">
        <v>0</v>
      </c>
      <c r="J26" s="838" t="n">
        <v>0</v>
      </c>
      <c r="K26" s="838" t="n">
        <v>0</v>
      </c>
    </row>
    <row r="27">
      <c r="A27" s="155" t="inlineStr">
        <is>
          <t xml:space="preserve">   F.Activa in aanbouw en vooruitbetal.  27</t>
        </is>
      </c>
      <c r="B27" s="837" t="n">
        <v>0</v>
      </c>
      <c r="C27" s="837" t="n">
        <v>0</v>
      </c>
      <c r="D27" s="837" t="n">
        <v>0</v>
      </c>
      <c r="E27" s="837" t="n">
        <v>0</v>
      </c>
      <c r="F27" s="837" t="n">
        <v>0</v>
      </c>
      <c r="G27" s="837" t="n">
        <v>0</v>
      </c>
      <c r="H27" s="837" t="n">
        <v>0</v>
      </c>
      <c r="I27" s="837" t="n">
        <v>0</v>
      </c>
      <c r="J27" s="838" t="n">
        <v>0</v>
      </c>
      <c r="K27" s="838" t="n">
        <v>0</v>
      </c>
    </row>
    <row r="28" ht="12" customHeight="1">
      <c r="A28" s="155" t="inlineStr">
        <is>
          <t>                                            </t>
        </is>
      </c>
      <c r="B28" s="831" t="n"/>
      <c r="C28" s="831" t="n"/>
      <c r="D28" s="831" t="n"/>
      <c r="E28" s="831" t="n"/>
      <c r="F28" s="831" t="n"/>
      <c r="G28" s="831" t="n"/>
      <c r="H28" s="831" t="n"/>
      <c r="I28" s="831" t="n"/>
      <c r="J28" s="832" t="n"/>
      <c r="K28" s="832" t="n"/>
    </row>
    <row r="29">
      <c r="A29" s="148" t="inlineStr">
        <is>
          <t xml:space="preserve">  IV.FINANCIELE VASTE ACTIVA             28</t>
        </is>
      </c>
      <c r="B29" s="835">
        <f>B30+B34+B37</f>
        <v/>
      </c>
      <c r="C29" s="835">
        <f>C30+C34+C37</f>
        <v/>
      </c>
      <c r="D29" s="835">
        <f>D30+D34+D37</f>
        <v/>
      </c>
      <c r="E29" s="835">
        <f>E30+E34+E37</f>
        <v/>
      </c>
      <c r="F29" s="835">
        <f>F30+F34+F37</f>
        <v/>
      </c>
      <c r="G29" s="835">
        <f>G30+G34+G37</f>
        <v/>
      </c>
      <c r="H29" s="835">
        <f>H30+H34+H37</f>
        <v/>
      </c>
      <c r="I29" s="835">
        <f>I30+I34+I37</f>
        <v/>
      </c>
      <c r="J29" s="836">
        <f>J30+J34+J37</f>
        <v/>
      </c>
      <c r="K29" s="836">
        <f>K30+K34+K37</f>
        <v/>
      </c>
    </row>
    <row r="30">
      <c r="A30" s="155" t="inlineStr">
        <is>
          <t xml:space="preserve">   A.Verbonden ondernemingen          280/1</t>
        </is>
      </c>
      <c r="B30" s="831">
        <f>B31+B32</f>
        <v/>
      </c>
      <c r="C30" s="831">
        <f>C31+C32</f>
        <v/>
      </c>
      <c r="D30" s="831">
        <f>D31+D32</f>
        <v/>
      </c>
      <c r="E30" s="831">
        <f>E31+E32</f>
        <v/>
      </c>
      <c r="F30" s="831">
        <f>F31+F32</f>
        <v/>
      </c>
      <c r="G30" s="831">
        <f>G31+G32</f>
        <v/>
      </c>
      <c r="H30" s="831">
        <f>H31+H32</f>
        <v/>
      </c>
      <c r="I30" s="831">
        <f>I31+I32</f>
        <v/>
      </c>
      <c r="J30" s="832">
        <f>J31+J32</f>
        <v/>
      </c>
      <c r="K30" s="832">
        <f>K31+K32</f>
        <v/>
      </c>
    </row>
    <row r="31">
      <c r="A31" s="155" t="inlineStr">
        <is>
          <t xml:space="preserve">     1.Deelnemingen                     280</t>
        </is>
      </c>
      <c r="B31" s="837" t="n">
        <v>0</v>
      </c>
      <c r="C31" s="837" t="n">
        <v>0</v>
      </c>
      <c r="D31" s="837" t="n">
        <v>0</v>
      </c>
      <c r="E31" s="837" t="n">
        <v>0</v>
      </c>
      <c r="F31" s="837" t="n">
        <v>0</v>
      </c>
      <c r="G31" s="837" t="n">
        <v>0</v>
      </c>
      <c r="H31" s="837" t="n">
        <v>0</v>
      </c>
      <c r="I31" s="837" t="n">
        <v>0</v>
      </c>
      <c r="J31" s="838" t="n">
        <v>0</v>
      </c>
      <c r="K31" s="838" t="n">
        <v>0</v>
      </c>
    </row>
    <row r="32">
      <c r="A32" s="155" t="inlineStr">
        <is>
          <t xml:space="preserve">     2.Vorderingen                      281</t>
        </is>
      </c>
      <c r="B32" s="837" t="n">
        <v>0</v>
      </c>
      <c r="C32" s="837" t="n">
        <v>0</v>
      </c>
      <c r="D32" s="837" t="n">
        <v>0</v>
      </c>
      <c r="E32" s="837" t="n">
        <v>0</v>
      </c>
      <c r="F32" s="837" t="n">
        <v>0</v>
      </c>
      <c r="G32" s="837" t="n">
        <v>0</v>
      </c>
      <c r="H32" s="837" t="n">
        <v>0</v>
      </c>
      <c r="I32" s="837" t="n">
        <v>0</v>
      </c>
      <c r="J32" s="838" t="n">
        <v>0</v>
      </c>
      <c r="K32" s="838" t="n">
        <v>0</v>
      </c>
    </row>
    <row r="33">
      <c r="A33" s="155" t="inlineStr">
        <is>
          <t xml:space="preserve">   B.Ondernemingen waarmee een deelne-      </t>
        </is>
      </c>
      <c r="B33" s="831" t="n"/>
      <c r="C33" s="831" t="n"/>
      <c r="D33" s="831" t="n"/>
      <c r="E33" s="831" t="n"/>
      <c r="F33" s="831" t="n"/>
      <c r="G33" s="831" t="n"/>
      <c r="H33" s="831" t="n"/>
      <c r="I33" s="831" t="n"/>
      <c r="J33" s="832" t="n"/>
      <c r="K33" s="832" t="n"/>
    </row>
    <row r="34">
      <c r="A34" s="155" t="inlineStr">
        <is>
          <t xml:space="preserve">     mingsverhouding bestaat          282/3</t>
        </is>
      </c>
      <c r="B34" s="831">
        <f>B35+B36</f>
        <v/>
      </c>
      <c r="C34" s="831">
        <f>C35+C36</f>
        <v/>
      </c>
      <c r="D34" s="831">
        <f>D35+D36</f>
        <v/>
      </c>
      <c r="E34" s="831">
        <f>E35+E36</f>
        <v/>
      </c>
      <c r="F34" s="831">
        <f>F35+F36</f>
        <v/>
      </c>
      <c r="G34" s="831">
        <f>G35+G36</f>
        <v/>
      </c>
      <c r="H34" s="831">
        <f>H35+H36</f>
        <v/>
      </c>
      <c r="I34" s="831">
        <f>I35+I36</f>
        <v/>
      </c>
      <c r="J34" s="832">
        <f>J35+J36</f>
        <v/>
      </c>
      <c r="K34" s="832">
        <f>K35+K36</f>
        <v/>
      </c>
    </row>
    <row r="35">
      <c r="A35" s="155" t="inlineStr">
        <is>
          <t xml:space="preserve">     1.Deelnemingen                     282</t>
        </is>
      </c>
      <c r="B35" s="837" t="n">
        <v>0</v>
      </c>
      <c r="C35" s="837" t="n">
        <v>0</v>
      </c>
      <c r="D35" s="837" t="n">
        <v>0</v>
      </c>
      <c r="E35" s="837" t="n">
        <v>0</v>
      </c>
      <c r="F35" s="837" t="n">
        <v>0</v>
      </c>
      <c r="G35" s="837" t="n">
        <v>0</v>
      </c>
      <c r="H35" s="837" t="n">
        <v>0</v>
      </c>
      <c r="I35" s="837" t="n">
        <v>0</v>
      </c>
      <c r="J35" s="838" t="n">
        <v>0</v>
      </c>
      <c r="K35" s="838" t="n">
        <v>0</v>
      </c>
    </row>
    <row r="36">
      <c r="A36" s="155" t="inlineStr">
        <is>
          <t xml:space="preserve">     2.Vorderingen                      283</t>
        </is>
      </c>
      <c r="B36" s="837" t="n">
        <v>0</v>
      </c>
      <c r="C36" s="837" t="n">
        <v>0</v>
      </c>
      <c r="D36" s="837" t="n">
        <v>0</v>
      </c>
      <c r="E36" s="837" t="n">
        <v>0</v>
      </c>
      <c r="F36" s="837" t="n">
        <v>0</v>
      </c>
      <c r="G36" s="837" t="n">
        <v>0</v>
      </c>
      <c r="H36" s="837" t="n">
        <v>0</v>
      </c>
      <c r="I36" s="837" t="n">
        <v>0</v>
      </c>
      <c r="J36" s="838" t="n">
        <v>0</v>
      </c>
      <c r="K36" s="838" t="n">
        <v>0</v>
      </c>
    </row>
    <row r="37">
      <c r="A37" s="155" t="inlineStr">
        <is>
          <t xml:space="preserve">   C.Andere financiele vaste activa   284/8</t>
        </is>
      </c>
      <c r="B37" s="831">
        <f>SUM(B38:B39)</f>
        <v/>
      </c>
      <c r="C37" s="831">
        <f>SUM(C38:C39)</f>
        <v/>
      </c>
      <c r="D37" s="831">
        <f>SUM(D38:D39)</f>
        <v/>
      </c>
      <c r="E37" s="831">
        <f>SUM(E38:E39)</f>
        <v/>
      </c>
      <c r="F37" s="831">
        <f>SUM(F38:F39)</f>
        <v/>
      </c>
      <c r="G37" s="831">
        <f>SUM(G38:G39)</f>
        <v/>
      </c>
      <c r="H37" s="831">
        <f>SUM(H38:H39)</f>
        <v/>
      </c>
      <c r="I37" s="831">
        <f>SUM(I38:I39)</f>
        <v/>
      </c>
      <c r="J37" s="832">
        <f>SUM(J38:J39)</f>
        <v/>
      </c>
      <c r="K37" s="832">
        <f>SUM(K38:K39)</f>
        <v/>
      </c>
    </row>
    <row r="38">
      <c r="A38" s="155" t="inlineStr">
        <is>
          <t xml:space="preserve">     1.Aandelen                         284</t>
        </is>
      </c>
      <c r="B38" s="837" t="n">
        <v>0</v>
      </c>
      <c r="C38" s="837" t="n">
        <v>0</v>
      </c>
      <c r="D38" s="837" t="n">
        <v>0</v>
      </c>
      <c r="E38" s="837" t="n">
        <v>0</v>
      </c>
      <c r="F38" s="837" t="n">
        <v>0</v>
      </c>
      <c r="G38" s="837" t="n">
        <v>0</v>
      </c>
      <c r="H38" s="837" t="n">
        <v>0</v>
      </c>
      <c r="I38" s="837" t="n">
        <v>0</v>
      </c>
      <c r="J38" s="838" t="n">
        <v>0</v>
      </c>
      <c r="K38" s="838" t="n">
        <v>0</v>
      </c>
    </row>
    <row r="39">
      <c r="A39" s="155" t="inlineStr">
        <is>
          <t xml:space="preserve">     2.Vorder. &amp; borgtochten in cont. 285/8</t>
        </is>
      </c>
      <c r="B39" s="837" t="n">
        <v>0</v>
      </c>
      <c r="C39" s="837" t="n">
        <v>0</v>
      </c>
      <c r="D39" s="837" t="n">
        <v>0</v>
      </c>
      <c r="E39" s="837" t="n">
        <v>0</v>
      </c>
      <c r="F39" s="837" t="n">
        <v>180</v>
      </c>
      <c r="G39" s="837" t="n">
        <v>0</v>
      </c>
      <c r="H39" s="837" t="n">
        <v>0</v>
      </c>
      <c r="I39" s="837" t="n">
        <v>0</v>
      </c>
      <c r="J39" s="838" t="n">
        <v>0</v>
      </c>
      <c r="K39" s="838" t="n">
        <v>0</v>
      </c>
    </row>
    <row r="40" ht="12" customHeight="1">
      <c r="A40" s="155" t="inlineStr">
        <is>
          <t>                                            </t>
        </is>
      </c>
      <c r="B40" s="831" t="n"/>
      <c r="C40" s="831" t="n"/>
      <c r="D40" s="831" t="n"/>
      <c r="E40" s="831" t="n"/>
      <c r="F40" s="831" t="n"/>
      <c r="G40" s="831" t="n"/>
      <c r="H40" s="831" t="n"/>
      <c r="I40" s="831" t="n"/>
      <c r="J40" s="832" t="n"/>
      <c r="K40" s="832" t="n"/>
    </row>
    <row r="41" ht="13.8" customHeight="1">
      <c r="A41" s="168" t="inlineStr">
        <is>
          <t xml:space="preserve">       VLOTTENDE ACTIVA               29/58</t>
        </is>
      </c>
      <c r="B41" s="829">
        <f>B43+B47+B57+B61+B65+B67</f>
        <v/>
      </c>
      <c r="C41" s="829">
        <f>C43+C47+C57+C61+C65+C67</f>
        <v/>
      </c>
      <c r="D41" s="829">
        <f>D43+D47+D57+D61+D65+D67</f>
        <v/>
      </c>
      <c r="E41" s="829">
        <f>E43+E47+E57+E61+E65+E67</f>
        <v/>
      </c>
      <c r="F41" s="829">
        <f>F43+F47+F57+F61+F65+F67</f>
        <v/>
      </c>
      <c r="G41" s="829">
        <f>G43+G47+G57+G61+G65+G67</f>
        <v/>
      </c>
      <c r="H41" s="829">
        <f>H43+H47+H57+H61+H65+H67</f>
        <v/>
      </c>
      <c r="I41" s="829">
        <f>I43+I47+I57+I61+I65+I67</f>
        <v/>
      </c>
      <c r="J41" s="830">
        <f>J43+J47+J57+J61+J65+J67</f>
        <v/>
      </c>
      <c r="K41" s="830">
        <f>K43+K47+K57+K61+K65+K67</f>
        <v/>
      </c>
    </row>
    <row r="42" ht="11.25" customHeight="1">
      <c r="A42" s="155" t="inlineStr">
        <is>
          <t>                                            </t>
        </is>
      </c>
      <c r="B42" s="831" t="n"/>
      <c r="C42" s="831" t="n"/>
      <c r="D42" s="831" t="n"/>
      <c r="E42" s="831" t="n"/>
      <c r="F42" s="831" t="n"/>
      <c r="G42" s="831" t="n"/>
      <c r="H42" s="831" t="n"/>
      <c r="I42" s="831" t="n"/>
      <c r="J42" s="832" t="n"/>
      <c r="K42" s="832" t="n"/>
    </row>
    <row r="43">
      <c r="A43" s="148" t="inlineStr">
        <is>
          <t xml:space="preserve">   V.VORDERINGEN OP MEER DAN EEN JAAR    29</t>
        </is>
      </c>
      <c r="B43" s="835">
        <f>SUM(B44:B45)</f>
        <v/>
      </c>
      <c r="C43" s="835">
        <f>SUM(C44:C45)</f>
        <v/>
      </c>
      <c r="D43" s="835">
        <f>SUM(D44:D45)</f>
        <v/>
      </c>
      <c r="E43" s="835">
        <f>SUM(E44:E45)</f>
        <v/>
      </c>
      <c r="F43" s="835">
        <f>SUM(F44:F45)</f>
        <v/>
      </c>
      <c r="G43" s="835">
        <f>SUM(G44:G45)</f>
        <v/>
      </c>
      <c r="H43" s="835">
        <f>SUM(H44:H45)</f>
        <v/>
      </c>
      <c r="I43" s="835">
        <f>SUM(I44:I45)</f>
        <v/>
      </c>
      <c r="J43" s="836">
        <f>SUM(J44:J45)</f>
        <v/>
      </c>
      <c r="K43" s="836">
        <f>SUM(K44:K45)</f>
        <v/>
      </c>
    </row>
    <row r="44">
      <c r="A44" s="155" t="inlineStr">
        <is>
          <t xml:space="preserve">   A.Handelsvorderingen                 290</t>
        </is>
      </c>
      <c r="B44" s="837" t="n">
        <v>0</v>
      </c>
      <c r="C44" s="837" t="n">
        <v>0</v>
      </c>
      <c r="D44" s="837" t="n">
        <v>0</v>
      </c>
      <c r="E44" s="837" t="n">
        <v>0</v>
      </c>
      <c r="F44" s="837" t="n">
        <v>0</v>
      </c>
      <c r="G44" s="837" t="n">
        <v>0</v>
      </c>
      <c r="H44" s="837" t="n">
        <v>0</v>
      </c>
      <c r="I44" s="837" t="n">
        <v>0</v>
      </c>
      <c r="J44" s="838" t="n">
        <v>0</v>
      </c>
      <c r="K44" s="838" t="n">
        <v>0</v>
      </c>
    </row>
    <row r="45">
      <c r="A45" s="155" t="inlineStr">
        <is>
          <t xml:space="preserve">   B.Overige vorderingen                291</t>
        </is>
      </c>
      <c r="B45" s="837" t="n">
        <v>0</v>
      </c>
      <c r="C45" s="837" t="n">
        <v>0</v>
      </c>
      <c r="D45" s="837" t="n">
        <v>0</v>
      </c>
      <c r="E45" s="837" t="n">
        <v>0</v>
      </c>
      <c r="F45" s="837" t="n">
        <v>0</v>
      </c>
      <c r="G45" s="837" t="n">
        <v>0</v>
      </c>
      <c r="H45" s="837" t="n">
        <v>0</v>
      </c>
      <c r="I45" s="837" t="n">
        <v>0</v>
      </c>
      <c r="J45" s="838" t="n">
        <v>0</v>
      </c>
      <c r="K45" s="838" t="n">
        <v>0</v>
      </c>
    </row>
    <row r="46" ht="11.25" customHeight="1">
      <c r="A46" s="155" t="inlineStr">
        <is>
          <t>                                            </t>
        </is>
      </c>
      <c r="B46" s="831" t="n"/>
      <c r="C46" s="831" t="n"/>
      <c r="D46" s="831" t="n"/>
      <c r="E46" s="831" t="n"/>
      <c r="F46" s="831" t="n"/>
      <c r="G46" s="831" t="n"/>
      <c r="H46" s="831" t="n"/>
      <c r="I46" s="831" t="n"/>
      <c r="J46" s="832" t="n"/>
      <c r="K46" s="832" t="n"/>
    </row>
    <row r="47">
      <c r="A47" s="148" t="inlineStr">
        <is>
          <t xml:space="preserve">  VI.VOORRADEN EN BESTELL.IN UITV.        3</t>
        </is>
      </c>
      <c r="B47" s="835">
        <f>B48+B55</f>
        <v/>
      </c>
      <c r="C47" s="835">
        <f>C48+C55</f>
        <v/>
      </c>
      <c r="D47" s="835">
        <f>D48+D55</f>
        <v/>
      </c>
      <c r="E47" s="835">
        <f>E48+E55</f>
        <v/>
      </c>
      <c r="F47" s="835">
        <f>F48+F55</f>
        <v/>
      </c>
      <c r="G47" s="835">
        <f>G48+G55</f>
        <v/>
      </c>
      <c r="H47" s="835">
        <f>H48+H55</f>
        <v/>
      </c>
      <c r="I47" s="835">
        <f>I48+I55</f>
        <v/>
      </c>
      <c r="J47" s="836">
        <f>J48+J55</f>
        <v/>
      </c>
      <c r="K47" s="836">
        <f>K48+K55</f>
        <v/>
      </c>
    </row>
    <row r="48">
      <c r="A48" s="155" t="inlineStr">
        <is>
          <t xml:space="preserve">   A.Voorraden                        30/36</t>
        </is>
      </c>
      <c r="B48" s="831">
        <f>SUM(B49:B54)</f>
        <v/>
      </c>
      <c r="C48" s="831">
        <f>SUM(C49:C54)</f>
        <v/>
      </c>
      <c r="D48" s="831">
        <f>SUM(D49:D54)</f>
        <v/>
      </c>
      <c r="E48" s="831">
        <f>SUM(E49:E54)</f>
        <v/>
      </c>
      <c r="F48" s="831">
        <f>SUM(F49:F54)</f>
        <v/>
      </c>
      <c r="G48" s="831">
        <f>SUM(G49:G54)</f>
        <v/>
      </c>
      <c r="H48" s="831">
        <f>SUM(H49:H54)</f>
        <v/>
      </c>
      <c r="I48" s="831">
        <f>SUM(I49:I54)</f>
        <v/>
      </c>
      <c r="J48" s="832">
        <f>SUM(J49:J54)</f>
        <v/>
      </c>
      <c r="K48" s="832">
        <f>SUM(K49:K54)</f>
        <v/>
      </c>
    </row>
    <row r="49">
      <c r="A49" s="155" t="inlineStr">
        <is>
          <t xml:space="preserve">     1.Grond- en hulpstoffen          30/31</t>
        </is>
      </c>
      <c r="B49" s="837" t="n">
        <v>0</v>
      </c>
      <c r="C49" s="837" t="n">
        <v>0</v>
      </c>
      <c r="D49" s="837" t="n">
        <v>0</v>
      </c>
      <c r="E49" s="837" t="n">
        <v>0</v>
      </c>
      <c r="F49" s="837" t="n">
        <v>185977.73</v>
      </c>
      <c r="G49" s="837" t="n">
        <v>0</v>
      </c>
      <c r="H49" s="837" t="n">
        <v>0</v>
      </c>
      <c r="I49" s="837" t="n">
        <v>0</v>
      </c>
      <c r="J49" s="838" t="n">
        <v>0</v>
      </c>
      <c r="K49" s="838" t="n">
        <v>0</v>
      </c>
    </row>
    <row r="50">
      <c r="A50" s="155" t="inlineStr">
        <is>
          <t xml:space="preserve">     2.Goederen in bewerking             32</t>
        </is>
      </c>
      <c r="B50" s="837" t="n">
        <v>0</v>
      </c>
      <c r="C50" s="837" t="n">
        <v>0</v>
      </c>
      <c r="D50" s="837" t="n">
        <v>0</v>
      </c>
      <c r="E50" s="837" t="n">
        <v>0</v>
      </c>
      <c r="F50" s="837" t="n">
        <v>0</v>
      </c>
      <c r="G50" s="837" t="n">
        <v>0</v>
      </c>
      <c r="H50" s="837" t="n">
        <v>0</v>
      </c>
      <c r="I50" s="837" t="n">
        <v>0</v>
      </c>
      <c r="J50" s="838" t="n">
        <v>0</v>
      </c>
      <c r="K50" s="838" t="n">
        <v>0</v>
      </c>
    </row>
    <row r="51">
      <c r="A51" s="155" t="inlineStr">
        <is>
          <t xml:space="preserve">     3.Gereed produkt                    33</t>
        </is>
      </c>
      <c r="B51" s="837" t="n">
        <v>0</v>
      </c>
      <c r="C51" s="837" t="n">
        <v>0</v>
      </c>
      <c r="D51" s="837" t="n">
        <v>0</v>
      </c>
      <c r="E51" s="837" t="n">
        <v>0</v>
      </c>
      <c r="F51" s="837" t="n">
        <v>83669.36</v>
      </c>
      <c r="G51" s="837" t="n">
        <v>0</v>
      </c>
      <c r="H51" s="837" t="n">
        <v>0</v>
      </c>
      <c r="I51" s="837" t="n">
        <v>0</v>
      </c>
      <c r="J51" s="838" t="n">
        <v>0</v>
      </c>
      <c r="K51" s="838" t="n">
        <v>0</v>
      </c>
    </row>
    <row r="52">
      <c r="A52" s="155" t="inlineStr">
        <is>
          <t xml:space="preserve">     4.Handelsgoederen                   34</t>
        </is>
      </c>
      <c r="B52" s="837" t="n">
        <v>0</v>
      </c>
      <c r="C52" s="837" t="n">
        <v>0</v>
      </c>
      <c r="D52" s="837" t="n">
        <v>0</v>
      </c>
      <c r="E52" s="837" t="n">
        <v>0</v>
      </c>
      <c r="F52" s="837" t="n">
        <v>0</v>
      </c>
      <c r="G52" s="837" t="n">
        <v>0</v>
      </c>
      <c r="H52" s="837" t="n">
        <v>0</v>
      </c>
      <c r="I52" s="837" t="n">
        <v>0</v>
      </c>
      <c r="J52" s="838" t="n">
        <v>0</v>
      </c>
      <c r="K52" s="838" t="n">
        <v>0</v>
      </c>
    </row>
    <row r="53">
      <c r="A53" s="155" t="inlineStr">
        <is>
          <t xml:space="preserve">     5.Onroer. goed. bestemd vr. verkoop 35</t>
        </is>
      </c>
      <c r="B53" s="837" t="n">
        <v>0</v>
      </c>
      <c r="C53" s="837" t="n">
        <v>0</v>
      </c>
      <c r="D53" s="837" t="n">
        <v>0</v>
      </c>
      <c r="E53" s="837" t="n">
        <v>0</v>
      </c>
      <c r="F53" s="837" t="n">
        <v>0</v>
      </c>
      <c r="G53" s="837" t="n">
        <v>0</v>
      </c>
      <c r="H53" s="837" t="n">
        <v>0</v>
      </c>
      <c r="I53" s="837" t="n">
        <v>0</v>
      </c>
      <c r="J53" s="838" t="n">
        <v>0</v>
      </c>
      <c r="K53" s="838" t="n">
        <v>0</v>
      </c>
    </row>
    <row r="54">
      <c r="A54" s="155" t="inlineStr">
        <is>
          <t xml:space="preserve">     6.Vooruitbetalingen                 36</t>
        </is>
      </c>
      <c r="B54" s="837" t="n">
        <v>0</v>
      </c>
      <c r="C54" s="837" t="n">
        <v>0</v>
      </c>
      <c r="D54" s="837" t="n">
        <v>0</v>
      </c>
      <c r="E54" s="837" t="n">
        <v>0</v>
      </c>
      <c r="F54" s="837" t="n">
        <v>0</v>
      </c>
      <c r="G54" s="837" t="n">
        <v>0</v>
      </c>
      <c r="H54" s="837" t="n">
        <v>0</v>
      </c>
      <c r="I54" s="837" t="n">
        <v>0</v>
      </c>
      <c r="J54" s="838" t="n">
        <v>0</v>
      </c>
      <c r="K54" s="838" t="n">
        <v>0</v>
      </c>
    </row>
    <row r="55">
      <c r="A55" s="155" t="inlineStr">
        <is>
          <t xml:space="preserve">   B.Bestellingen in uitvoering          37</t>
        </is>
      </c>
      <c r="B55" s="837" t="n">
        <v>0</v>
      </c>
      <c r="C55" s="837" t="n">
        <v>0</v>
      </c>
      <c r="D55" s="837" t="n">
        <v>0</v>
      </c>
      <c r="E55" s="837" t="n">
        <v>0</v>
      </c>
      <c r="F55" s="837" t="n">
        <v>0</v>
      </c>
      <c r="G55" s="837" t="n">
        <v>0</v>
      </c>
      <c r="H55" s="837" t="n">
        <v>0</v>
      </c>
      <c r="I55" s="837" t="n">
        <v>0</v>
      </c>
      <c r="J55" s="838" t="n">
        <v>0</v>
      </c>
      <c r="K55" s="838" t="n">
        <v>0</v>
      </c>
    </row>
    <row r="56" ht="12.75" customHeight="1">
      <c r="A56" s="155" t="inlineStr">
        <is>
          <t>                                            </t>
        </is>
      </c>
      <c r="B56" s="831" t="n"/>
      <c r="C56" s="831" t="n"/>
      <c r="D56" s="831" t="n"/>
      <c r="E56" s="831" t="n"/>
      <c r="F56" s="831" t="n"/>
      <c r="G56" s="831" t="n"/>
      <c r="H56" s="831" t="n"/>
      <c r="I56" s="831" t="n"/>
      <c r="J56" s="832" t="n"/>
      <c r="K56" s="832" t="n"/>
    </row>
    <row r="57">
      <c r="A57" s="148" t="inlineStr">
        <is>
          <t>VII.VORDERINGEN OP TEN HOOGSTE 1 JAAR 40/41</t>
        </is>
      </c>
      <c r="B57" s="835">
        <f>B58+B59</f>
        <v/>
      </c>
      <c r="C57" s="835">
        <f>C58+C59</f>
        <v/>
      </c>
      <c r="D57" s="835">
        <f>D58+D59</f>
        <v/>
      </c>
      <c r="E57" s="835">
        <f>E58+E59</f>
        <v/>
      </c>
      <c r="F57" s="835">
        <f>F58+F59</f>
        <v/>
      </c>
      <c r="G57" s="835">
        <f>G58+G59</f>
        <v/>
      </c>
      <c r="H57" s="835">
        <f>H58+H59</f>
        <v/>
      </c>
      <c r="I57" s="835">
        <f>I58+I59</f>
        <v/>
      </c>
      <c r="J57" s="836">
        <f>J58+J59</f>
        <v/>
      </c>
      <c r="K57" s="836">
        <f>K58+K59</f>
        <v/>
      </c>
    </row>
    <row r="58">
      <c r="A58" s="155" t="inlineStr">
        <is>
          <t xml:space="preserve">   A.Handelsvorderingen                  40</t>
        </is>
      </c>
      <c r="B58" s="837" t="n">
        <v>0</v>
      </c>
      <c r="C58" s="837" t="n">
        <v>0</v>
      </c>
      <c r="D58" s="837" t="n">
        <v>0</v>
      </c>
      <c r="E58" s="837" t="n">
        <v>0</v>
      </c>
      <c r="F58" s="837" t="n">
        <v>239307.29</v>
      </c>
      <c r="G58" s="837" t="n">
        <v>0</v>
      </c>
      <c r="H58" s="837" t="n">
        <v>0</v>
      </c>
      <c r="I58" s="837" t="n">
        <v>0</v>
      </c>
      <c r="J58" s="838" t="n">
        <v>0</v>
      </c>
      <c r="K58" s="838" t="n">
        <v>0</v>
      </c>
    </row>
    <row r="59">
      <c r="A59" s="155" t="inlineStr">
        <is>
          <t xml:space="preserve">   B.Overige vorderingen                 41</t>
        </is>
      </c>
      <c r="B59" s="837" t="n">
        <v>0</v>
      </c>
      <c r="C59" s="837" t="n">
        <v>0</v>
      </c>
      <c r="D59" s="837" t="n">
        <v>0</v>
      </c>
      <c r="E59" s="837" t="n">
        <v>0</v>
      </c>
      <c r="F59" s="837" t="n">
        <v>44669.35</v>
      </c>
      <c r="G59" s="837" t="n">
        <v>0</v>
      </c>
      <c r="H59" s="837" t="n">
        <v>0</v>
      </c>
      <c r="I59" s="837" t="n">
        <v>0</v>
      </c>
      <c r="J59" s="838" t="n">
        <v>0</v>
      </c>
      <c r="K59" s="838" t="n">
        <v>0</v>
      </c>
    </row>
    <row r="60">
      <c r="A60" s="155" t="inlineStr">
        <is>
          <t>                                            </t>
        </is>
      </c>
      <c r="B60" s="831" t="n"/>
      <c r="C60" s="831" t="n"/>
      <c r="D60" s="831" t="n"/>
      <c r="E60" s="831" t="n"/>
      <c r="F60" s="831" t="n"/>
      <c r="G60" s="831" t="n"/>
      <c r="H60" s="831" t="n"/>
      <c r="I60" s="831" t="n"/>
      <c r="J60" s="832" t="n"/>
      <c r="K60" s="832" t="n"/>
    </row>
    <row r="61">
      <c r="A61" s="148" t="inlineStr">
        <is>
          <t>VIII.GELDBELEGGINGEN                  50/53</t>
        </is>
      </c>
      <c r="B61" s="835">
        <f>B62+B63</f>
        <v/>
      </c>
      <c r="C61" s="835">
        <f>C62+C63</f>
        <v/>
      </c>
      <c r="D61" s="835">
        <f>D62+D63</f>
        <v/>
      </c>
      <c r="E61" s="835">
        <f>E62+E63</f>
        <v/>
      </c>
      <c r="F61" s="835">
        <f>F62+F63</f>
        <v/>
      </c>
      <c r="G61" s="835">
        <f>G62+G63</f>
        <v/>
      </c>
      <c r="H61" s="835">
        <f>H62+H63</f>
        <v/>
      </c>
      <c r="I61" s="835">
        <f>I62+I63</f>
        <v/>
      </c>
      <c r="J61" s="836">
        <f>J62+J63</f>
        <v/>
      </c>
      <c r="K61" s="836">
        <f>K62+K63</f>
        <v/>
      </c>
    </row>
    <row r="62">
      <c r="A62" s="155" t="inlineStr">
        <is>
          <t xml:space="preserve">   A.Eigen aandelen                      50</t>
        </is>
      </c>
      <c r="B62" s="837" t="n">
        <v>0</v>
      </c>
      <c r="C62" s="837" t="n">
        <v>0</v>
      </c>
      <c r="D62" s="837" t="n">
        <v>0</v>
      </c>
      <c r="E62" s="837" t="n">
        <v>0</v>
      </c>
      <c r="F62" s="837" t="n">
        <v>0</v>
      </c>
      <c r="G62" s="837" t="n">
        <v>0</v>
      </c>
      <c r="H62" s="837" t="n">
        <v>0</v>
      </c>
      <c r="I62" s="837" t="n">
        <v>0</v>
      </c>
      <c r="J62" s="838" t="n">
        <v>0</v>
      </c>
      <c r="K62" s="838" t="n">
        <v>0</v>
      </c>
    </row>
    <row r="63">
      <c r="A63" s="155" t="inlineStr">
        <is>
          <t xml:space="preserve">   B.Overige beleggingen              51/53</t>
        </is>
      </c>
      <c r="B63" s="837" t="n">
        <v>0</v>
      </c>
      <c r="C63" s="837" t="n">
        <v>0</v>
      </c>
      <c r="D63" s="837" t="n">
        <v>0</v>
      </c>
      <c r="E63" s="837" t="n">
        <v>0</v>
      </c>
      <c r="F63" s="837" t="n">
        <v>0</v>
      </c>
      <c r="G63" s="837" t="n">
        <v>0</v>
      </c>
      <c r="H63" s="837" t="n">
        <v>0</v>
      </c>
      <c r="I63" s="837" t="n">
        <v>0</v>
      </c>
      <c r="J63" s="838" t="n">
        <v>0</v>
      </c>
      <c r="K63" s="838" t="n">
        <v>0</v>
      </c>
    </row>
    <row r="64" ht="12.75" customHeight="1">
      <c r="A64" s="155" t="inlineStr">
        <is>
          <t>                                            </t>
        </is>
      </c>
      <c r="B64" s="831" t="n"/>
      <c r="C64" s="831" t="n"/>
      <c r="D64" s="831" t="n"/>
      <c r="E64" s="831" t="n"/>
      <c r="F64" s="831" t="n"/>
      <c r="G64" s="831" t="n"/>
      <c r="H64" s="831" t="n"/>
      <c r="I64" s="831" t="n"/>
      <c r="J64" s="832" t="n"/>
      <c r="K64" s="832" t="n"/>
    </row>
    <row r="65">
      <c r="A65" s="148" t="inlineStr">
        <is>
          <t xml:space="preserve">  IX.LIQUIDE MIDDELEN                 54/58</t>
        </is>
      </c>
      <c r="B65" s="833" t="n">
        <v>0</v>
      </c>
      <c r="C65" s="833" t="n">
        <v>0</v>
      </c>
      <c r="D65" s="833" t="n">
        <v>0</v>
      </c>
      <c r="E65" s="833" t="n">
        <v>0</v>
      </c>
      <c r="F65" s="833" t="n">
        <v>34615.33</v>
      </c>
      <c r="G65" s="833" t="n">
        <v>0</v>
      </c>
      <c r="H65" s="833" t="n">
        <v>0</v>
      </c>
      <c r="I65" s="833" t="n">
        <v>0</v>
      </c>
      <c r="J65" s="834" t="n">
        <v>0</v>
      </c>
      <c r="K65" s="834" t="n">
        <v>0</v>
      </c>
    </row>
    <row r="66" ht="12" customHeight="1">
      <c r="A66" s="155" t="inlineStr">
        <is>
          <t>                                            </t>
        </is>
      </c>
      <c r="B66" s="831" t="n"/>
      <c r="C66" s="831" t="n"/>
      <c r="D66" s="831" t="n"/>
      <c r="E66" s="831" t="n"/>
      <c r="F66" s="831" t="n"/>
      <c r="G66" s="831" t="n"/>
      <c r="H66" s="831" t="n"/>
      <c r="I66" s="831" t="n"/>
      <c r="J66" s="832" t="n"/>
      <c r="K66" s="832" t="n"/>
    </row>
    <row r="67">
      <c r="A67" s="148" t="inlineStr">
        <is>
          <t xml:space="preserve">   X.OVERLOPENDE REKENINGEN           490/1</t>
        </is>
      </c>
      <c r="B67" s="833" t="n">
        <v>0</v>
      </c>
      <c r="C67" s="833" t="n">
        <v>0</v>
      </c>
      <c r="D67" s="833" t="n">
        <v>0</v>
      </c>
      <c r="E67" s="833" t="n">
        <v>0</v>
      </c>
      <c r="F67" s="833" t="n">
        <v>6980.03</v>
      </c>
      <c r="G67" s="833" t="n">
        <v>0</v>
      </c>
      <c r="H67" s="833" t="n">
        <v>0</v>
      </c>
      <c r="I67" s="833" t="n">
        <v>0</v>
      </c>
      <c r="J67" s="834" t="n">
        <v>0</v>
      </c>
      <c r="K67" s="834" t="n">
        <v>0</v>
      </c>
    </row>
    <row r="68" ht="12" customHeight="1">
      <c r="A68" s="155" t="inlineStr">
        <is>
          <t>                                            </t>
        </is>
      </c>
      <c r="B68" s="831" t="n"/>
      <c r="C68" s="831" t="n"/>
      <c r="D68" s="831" t="n"/>
      <c r="E68" s="831" t="n"/>
      <c r="F68" s="831" t="n"/>
      <c r="G68" s="831" t="n"/>
      <c r="H68" s="831" t="n"/>
      <c r="I68" s="831" t="n"/>
      <c r="J68" s="839" t="n"/>
      <c r="K68" s="839" t="n"/>
    </row>
    <row r="69" ht="13.2" customHeight="1">
      <c r="A69" s="180" t="inlineStr">
        <is>
          <t xml:space="preserve">                   TOTAAL DER ACTIVA  20/58</t>
        </is>
      </c>
      <c r="B69" s="840">
        <f>B41+B15</f>
        <v/>
      </c>
      <c r="C69" s="840">
        <f>C41+C15</f>
        <v/>
      </c>
      <c r="D69" s="840">
        <f>D41+D15</f>
        <v/>
      </c>
      <c r="E69" s="840">
        <f>E41+E15</f>
        <v/>
      </c>
      <c r="F69" s="840">
        <f>F41+F15</f>
        <v/>
      </c>
      <c r="G69" s="840">
        <f>G41+G15</f>
        <v/>
      </c>
      <c r="H69" s="840">
        <f>H41+H15</f>
        <v/>
      </c>
      <c r="I69" s="840">
        <f>I41+I15</f>
        <v/>
      </c>
      <c r="J69" s="841">
        <f>J41+J15</f>
        <v/>
      </c>
      <c r="K69" s="841">
        <f>K41+K15</f>
        <v/>
      </c>
    </row>
    <row r="70" ht="13.2" customFormat="1" customHeight="1" s="159">
      <c r="A70" s="156" t="inlineStr">
        <is>
          <t> </t>
        </is>
      </c>
      <c r="B70" s="157">
        <f>B7</f>
        <v/>
      </c>
      <c r="C70" s="157">
        <f>C7</f>
        <v/>
      </c>
      <c r="D70" s="157">
        <f>D7</f>
        <v/>
      </c>
      <c r="E70" s="157">
        <f>E7</f>
        <v/>
      </c>
      <c r="F70" s="157">
        <f>F7</f>
        <v/>
      </c>
      <c r="G70" s="157">
        <f>G7</f>
        <v/>
      </c>
      <c r="H70" s="157">
        <f>H7</f>
        <v/>
      </c>
      <c r="I70" s="157">
        <f>I7</f>
        <v/>
      </c>
      <c r="J70" s="158">
        <f>J7</f>
        <v/>
      </c>
      <c r="K70" s="158">
        <f>K7</f>
        <v/>
      </c>
    </row>
    <row r="71">
      <c r="A71" s="155" t="n"/>
      <c r="B71" s="183" t="n"/>
      <c r="C71" s="183" t="n"/>
      <c r="D71" s="183" t="n"/>
      <c r="E71" s="183" t="n"/>
      <c r="F71" s="183" t="n"/>
      <c r="G71" s="183" t="n"/>
      <c r="H71" s="183" t="n"/>
      <c r="I71" s="183" t="n"/>
      <c r="J71" s="184" t="n"/>
      <c r="K71" s="184" t="n"/>
    </row>
    <row r="72">
      <c r="A72" s="155" t="n"/>
      <c r="B72" s="166" t="n"/>
      <c r="C72" s="166" t="n"/>
      <c r="D72" s="166" t="n"/>
      <c r="E72" s="166" t="n"/>
      <c r="F72" s="166" t="n"/>
      <c r="G72" s="166" t="n"/>
      <c r="H72" s="166" t="n"/>
      <c r="I72" s="166" t="n"/>
      <c r="J72" s="185" t="n"/>
      <c r="K72" s="185" t="n"/>
    </row>
    <row r="73">
      <c r="A73" s="155" t="inlineStr">
        <is>
          <t xml:space="preserve">============ PASSIVA ================ CODES </t>
        </is>
      </c>
      <c r="B73" s="166" t="n"/>
      <c r="C73" s="166" t="n"/>
      <c r="D73" s="166" t="n"/>
      <c r="E73" s="166" t="n"/>
      <c r="F73" s="166" t="n"/>
      <c r="G73" s="166" t="n"/>
      <c r="H73" s="166" t="n"/>
      <c r="I73" s="166" t="n"/>
      <c r="J73" s="167" t="n"/>
      <c r="K73" s="167" t="n"/>
    </row>
    <row r="74">
      <c r="A74" s="155" t="inlineStr">
        <is>
          <t>                                            </t>
        </is>
      </c>
      <c r="B74" s="166" t="n"/>
      <c r="C74" s="166" t="n"/>
      <c r="D74" s="166" t="n"/>
      <c r="E74" s="166" t="n"/>
      <c r="F74" s="166" t="n"/>
      <c r="G74" s="166" t="n"/>
      <c r="H74" s="166" t="n"/>
      <c r="I74" s="166" t="n"/>
      <c r="J74" s="167" t="n"/>
      <c r="K74" s="167" t="n"/>
    </row>
    <row r="75" ht="13.8" customHeight="1">
      <c r="A75" s="168" t="inlineStr">
        <is>
          <t xml:space="preserve">       EIGEN VERMOGEN                 10/15</t>
        </is>
      </c>
      <c r="B75" s="829">
        <f>B77+B81+B83+B85+B91+B92+B94</f>
        <v/>
      </c>
      <c r="C75" s="829">
        <f>C77+C81+C83+C85+C91+C92+C94</f>
        <v/>
      </c>
      <c r="D75" s="829">
        <f>D77+D81+D83+D85+D91+D92+D94</f>
        <v/>
      </c>
      <c r="E75" s="829">
        <f>E77+E81+E83+E85+E91+E92+E94</f>
        <v/>
      </c>
      <c r="F75" s="829">
        <f>F77+F81+F83+F85+F91+F92+F94</f>
        <v/>
      </c>
      <c r="G75" s="829">
        <f>G77+G81+G83+G85+G91+G92+G94</f>
        <v/>
      </c>
      <c r="H75" s="829">
        <f>H77+H81+H83+H85+H91+H92+H94</f>
        <v/>
      </c>
      <c r="I75" s="829">
        <f>I77+I81+I83+I85+I91+I92+I94</f>
        <v/>
      </c>
      <c r="J75" s="830">
        <f>J77+J81+J83+J85+J91+J92+J94</f>
        <v/>
      </c>
      <c r="K75" s="830">
        <f>K77+K81+K83+K85+K91+K92+K94</f>
        <v/>
      </c>
    </row>
    <row r="76">
      <c r="A76" s="155" t="inlineStr">
        <is>
          <t>                                            </t>
        </is>
      </c>
      <c r="B76" s="831" t="n"/>
      <c r="C76" s="831" t="n"/>
      <c r="D76" s="831" t="n"/>
      <c r="E76" s="831" t="n"/>
      <c r="F76" s="831" t="n"/>
      <c r="G76" s="831" t="n"/>
      <c r="H76" s="831" t="n"/>
      <c r="I76" s="831" t="n"/>
      <c r="J76" s="832" t="n"/>
      <c r="K76" s="832" t="n"/>
    </row>
    <row r="77">
      <c r="A77" s="148" t="inlineStr">
        <is>
          <t xml:space="preserve">   I.KAPITAAL                            10</t>
        </is>
      </c>
      <c r="B77" s="835">
        <f>B78+B79</f>
        <v/>
      </c>
      <c r="C77" s="835">
        <f>C78+C79</f>
        <v/>
      </c>
      <c r="D77" s="835">
        <f>D78+D79</f>
        <v/>
      </c>
      <c r="E77" s="835">
        <f>E78+E79</f>
        <v/>
      </c>
      <c r="F77" s="835">
        <f>F78+F79</f>
        <v/>
      </c>
      <c r="G77" s="835">
        <f>G78+G79</f>
        <v/>
      </c>
      <c r="H77" s="835">
        <f>H78+H79</f>
        <v/>
      </c>
      <c r="I77" s="835">
        <f>I78+I79</f>
        <v/>
      </c>
      <c r="J77" s="836">
        <f>J78+J79</f>
        <v/>
      </c>
      <c r="K77" s="836">
        <f>K78+K79</f>
        <v/>
      </c>
    </row>
    <row r="78">
      <c r="A78" s="155" t="inlineStr">
        <is>
          <t xml:space="preserve">   A.Geplaatst kapitaal                 100</t>
        </is>
      </c>
      <c r="B78" s="837" t="n">
        <v>0</v>
      </c>
      <c r="C78" s="837" t="n">
        <v>0</v>
      </c>
      <c r="D78" s="837" t="n">
        <v>0</v>
      </c>
      <c r="E78" s="837" t="n">
        <v>0</v>
      </c>
      <c r="F78" s="837" t="n">
        <v>3.27</v>
      </c>
      <c r="G78" s="837" t="n">
        <v>0</v>
      </c>
      <c r="H78" s="837" t="n">
        <v>0</v>
      </c>
      <c r="I78" s="837" t="n">
        <v>0</v>
      </c>
      <c r="J78" s="837" t="n">
        <v>0</v>
      </c>
      <c r="K78" s="838" t="n">
        <v>0</v>
      </c>
    </row>
    <row r="79">
      <c r="A79" s="155" t="inlineStr">
        <is>
          <t xml:space="preserve">   B.Niet opgevraagd kapitaal  (-)      101</t>
        </is>
      </c>
      <c r="B79" s="837" t="n">
        <v>0</v>
      </c>
      <c r="C79" s="837" t="n">
        <v>0</v>
      </c>
      <c r="D79" s="837" t="n">
        <v>0</v>
      </c>
      <c r="E79" s="837" t="n">
        <v>0</v>
      </c>
      <c r="F79" s="837" t="n">
        <v>0</v>
      </c>
      <c r="G79" s="837" t="n">
        <v>0</v>
      </c>
      <c r="H79" s="837" t="n">
        <v>0</v>
      </c>
      <c r="I79" s="837" t="n">
        <v>0</v>
      </c>
      <c r="J79" s="838" t="n">
        <v>0</v>
      </c>
      <c r="K79" s="838" t="n">
        <v>0</v>
      </c>
    </row>
    <row r="80">
      <c r="A80" s="155" t="inlineStr">
        <is>
          <t>                                            </t>
        </is>
      </c>
      <c r="B80" s="831" t="n"/>
      <c r="C80" s="831" t="n"/>
      <c r="D80" s="831" t="n"/>
      <c r="E80" s="831" t="n"/>
      <c r="F80" s="831" t="n"/>
      <c r="G80" s="831" t="n"/>
      <c r="H80" s="831" t="n"/>
      <c r="I80" s="831" t="n"/>
      <c r="J80" s="832" t="n"/>
      <c r="K80" s="832" t="n"/>
    </row>
    <row r="81">
      <c r="A81" s="148" t="inlineStr">
        <is>
          <t xml:space="preserve">  II.UITGIFTEPREMIES                     11</t>
        </is>
      </c>
      <c r="B81" s="833" t="n">
        <v>0</v>
      </c>
      <c r="C81" s="833" t="n">
        <v>0</v>
      </c>
      <c r="D81" s="833" t="n">
        <v>0</v>
      </c>
      <c r="E81" s="833" t="n">
        <v>0</v>
      </c>
      <c r="F81" s="833" t="n">
        <v>977435.45</v>
      </c>
      <c r="G81" s="833" t="n">
        <v>0</v>
      </c>
      <c r="H81" s="833" t="n">
        <v>0</v>
      </c>
      <c r="I81" s="833" t="n">
        <v>0</v>
      </c>
      <c r="J81" s="833" t="n">
        <v>0</v>
      </c>
      <c r="K81" s="834" t="n">
        <v>0</v>
      </c>
    </row>
    <row r="82">
      <c r="A82" s="155" t="inlineStr">
        <is>
          <t>                                            </t>
        </is>
      </c>
      <c r="B82" s="831" t="n"/>
      <c r="C82" s="831" t="n"/>
      <c r="D82" s="831" t="n"/>
      <c r="E82" s="831" t="n"/>
      <c r="F82" s="831" t="n"/>
      <c r="G82" s="831" t="n"/>
      <c r="H82" s="831" t="n"/>
      <c r="I82" s="831" t="n"/>
      <c r="J82" s="832" t="n"/>
      <c r="K82" s="832" t="n"/>
    </row>
    <row r="83">
      <c r="A83" s="148" t="inlineStr">
        <is>
          <t xml:space="preserve"> III.HERWAARDERINGSMEERWAARDEN           12</t>
        </is>
      </c>
      <c r="B83" s="833" t="n">
        <v>0</v>
      </c>
      <c r="C83" s="833" t="n">
        <v>0</v>
      </c>
      <c r="D83" s="833" t="n">
        <v>0</v>
      </c>
      <c r="E83" s="833" t="n">
        <v>0</v>
      </c>
      <c r="F83" s="833" t="n">
        <v>4.91</v>
      </c>
      <c r="G83" s="833" t="n">
        <v>0</v>
      </c>
      <c r="H83" s="833" t="n">
        <v>0</v>
      </c>
      <c r="I83" s="833" t="n">
        <v>0</v>
      </c>
      <c r="J83" s="834" t="n">
        <v>0</v>
      </c>
      <c r="K83" s="834" t="n">
        <v>0</v>
      </c>
    </row>
    <row r="84">
      <c r="A84" s="155" t="inlineStr">
        <is>
          <t>                                            </t>
        </is>
      </c>
      <c r="B84" s="831" t="n"/>
      <c r="C84" s="831" t="n"/>
      <c r="D84" s="831" t="n"/>
      <c r="E84" s="831" t="n"/>
      <c r="F84" s="831" t="n"/>
      <c r="G84" s="831" t="n"/>
      <c r="H84" s="831" t="n"/>
      <c r="I84" s="831" t="n"/>
      <c r="J84" s="832" t="n"/>
      <c r="K84" s="832" t="n"/>
    </row>
    <row r="85">
      <c r="A85" s="148" t="inlineStr">
        <is>
          <t xml:space="preserve">  IV.RESERVES                            13</t>
        </is>
      </c>
      <c r="B85" s="835">
        <f>B86+B87+B88+B89</f>
        <v/>
      </c>
      <c r="C85" s="835">
        <f>C86+C87+C88+C89</f>
        <v/>
      </c>
      <c r="D85" s="835">
        <f>D86+D87+D88+D89</f>
        <v/>
      </c>
      <c r="E85" s="835">
        <f>E86+E87+E88+E89</f>
        <v/>
      </c>
      <c r="F85" s="835">
        <f>F86+F87+F88+F89</f>
        <v/>
      </c>
      <c r="G85" s="835">
        <f>G86+G87+G88+G89</f>
        <v/>
      </c>
      <c r="H85" s="835">
        <f>H86+H87+H88+H89</f>
        <v/>
      </c>
      <c r="I85" s="835">
        <f>I86+I87+I88+I89</f>
        <v/>
      </c>
      <c r="J85" s="836">
        <f>J86+J87+J88+J89</f>
        <v/>
      </c>
      <c r="K85" s="836">
        <f>K86+K87+K88+K89</f>
        <v/>
      </c>
    </row>
    <row r="86">
      <c r="A86" s="155" t="inlineStr">
        <is>
          <t xml:space="preserve">   A.Wettelijke reserve                 130</t>
        </is>
      </c>
      <c r="B86" s="837" t="n">
        <v>0</v>
      </c>
      <c r="C86" s="837" t="n">
        <v>0</v>
      </c>
      <c r="D86" s="837" t="n">
        <v>0</v>
      </c>
      <c r="E86" s="837" t="n">
        <v>0</v>
      </c>
      <c r="F86" s="837" t="n">
        <v>0</v>
      </c>
      <c r="G86" s="837" t="n">
        <v>0</v>
      </c>
      <c r="H86" s="837" t="n">
        <v>0</v>
      </c>
      <c r="I86" s="837" t="n">
        <v>0</v>
      </c>
      <c r="J86" s="837" t="n">
        <v>0</v>
      </c>
      <c r="K86" s="838" t="n">
        <v>0</v>
      </c>
    </row>
    <row r="87">
      <c r="A87" s="155" t="inlineStr">
        <is>
          <t xml:space="preserve">   B.Onbeschikbare reserves             131</t>
        </is>
      </c>
      <c r="B87" s="837" t="n">
        <v>0</v>
      </c>
      <c r="C87" s="837" t="n">
        <v>0</v>
      </c>
      <c r="D87" s="837" t="n">
        <v>0</v>
      </c>
      <c r="E87" s="837" t="n">
        <v>0</v>
      </c>
      <c r="F87" s="837" t="n">
        <v>0</v>
      </c>
      <c r="G87" s="837" t="n">
        <v>0</v>
      </c>
      <c r="H87" s="837" t="n">
        <v>0</v>
      </c>
      <c r="I87" s="837" t="n">
        <v>0</v>
      </c>
      <c r="J87" s="838" t="n">
        <v>0</v>
      </c>
      <c r="K87" s="838" t="n">
        <v>0</v>
      </c>
    </row>
    <row r="88">
      <c r="A88" s="155" t="inlineStr">
        <is>
          <t xml:space="preserve">   C.Belastingvrije reserves            132</t>
        </is>
      </c>
      <c r="B88" s="837" t="n">
        <v>0</v>
      </c>
      <c r="C88" s="837" t="n">
        <v>0</v>
      </c>
      <c r="D88" s="837" t="n">
        <v>0</v>
      </c>
      <c r="E88" s="837" t="n">
        <v>0</v>
      </c>
      <c r="F88" s="837" t="n">
        <v>0</v>
      </c>
      <c r="G88" s="837" t="n">
        <v>0</v>
      </c>
      <c r="H88" s="837" t="n">
        <v>0</v>
      </c>
      <c r="I88" s="837" t="n">
        <v>0</v>
      </c>
      <c r="J88" s="838" t="n">
        <v>0</v>
      </c>
      <c r="K88" s="838" t="n">
        <v>0</v>
      </c>
    </row>
    <row r="89">
      <c r="A89" s="155" t="inlineStr">
        <is>
          <t xml:space="preserve">   D.Beschikbare reserves               133</t>
        </is>
      </c>
      <c r="B89" s="837" t="n">
        <v>0</v>
      </c>
      <c r="C89" s="837" t="n">
        <v>0</v>
      </c>
      <c r="D89" s="837" t="n">
        <v>0</v>
      </c>
      <c r="E89" s="837" t="n">
        <v>0</v>
      </c>
      <c r="F89" s="837" t="n">
        <v>0</v>
      </c>
      <c r="G89" s="837" t="n">
        <v>0</v>
      </c>
      <c r="H89" s="837" t="n">
        <v>0</v>
      </c>
      <c r="I89" s="837" t="n">
        <v>0</v>
      </c>
      <c r="J89" s="838" t="n">
        <v>0</v>
      </c>
      <c r="K89" s="838" t="n">
        <v>0</v>
      </c>
    </row>
    <row r="90">
      <c r="A90" s="155" t="inlineStr">
        <is>
          <t>                                            </t>
        </is>
      </c>
      <c r="B90" s="831" t="n"/>
      <c r="C90" s="831" t="n"/>
      <c r="D90" s="831" t="n"/>
      <c r="E90" s="831" t="n"/>
      <c r="F90" s="831" t="n"/>
      <c r="G90" s="831" t="n"/>
      <c r="H90" s="831" t="n"/>
      <c r="I90" s="831" t="n"/>
      <c r="J90" s="832" t="n"/>
      <c r="K90" s="832" t="n"/>
    </row>
    <row r="91">
      <c r="A91" s="148" t="inlineStr">
        <is>
          <t xml:space="preserve">   V.OVERGEDRAGEN WINST                 140</t>
        </is>
      </c>
      <c r="B91" s="833" t="n">
        <v>0</v>
      </c>
      <c r="C91" s="833" t="n">
        <v>0</v>
      </c>
      <c r="D91" s="833" t="n">
        <v>0</v>
      </c>
      <c r="E91" s="833" t="n">
        <v>0</v>
      </c>
      <c r="F91" s="833" t="n">
        <v>8.9</v>
      </c>
      <c r="G91" s="833" t="n">
        <v>0</v>
      </c>
      <c r="H91" s="833" t="n">
        <v>0</v>
      </c>
      <c r="I91" s="833" t="n">
        <v>0</v>
      </c>
      <c r="J91" s="834" t="n">
        <v>0</v>
      </c>
      <c r="K91" s="834" t="n">
        <v>0</v>
      </c>
    </row>
    <row r="92">
      <c r="A92" s="148" t="inlineStr">
        <is>
          <t xml:space="preserve">     OVERGEDRAGEN VERLIES  (-)          141</t>
        </is>
      </c>
      <c r="B92" s="833" t="n">
        <v>0</v>
      </c>
      <c r="C92" s="833" t="n">
        <v>0</v>
      </c>
      <c r="D92" s="833" t="n">
        <v>0</v>
      </c>
      <c r="E92" s="833" t="n">
        <v>0</v>
      </c>
      <c r="F92" s="833" t="n">
        <v>0</v>
      </c>
      <c r="G92" s="833" t="n">
        <v>0</v>
      </c>
      <c r="H92" s="833" t="n">
        <v>0</v>
      </c>
      <c r="I92" s="833" t="n">
        <v>0</v>
      </c>
      <c r="J92" s="834" t="n">
        <v>0</v>
      </c>
      <c r="K92" s="834" t="n">
        <v>0</v>
      </c>
    </row>
    <row r="93">
      <c r="A93" s="155" t="inlineStr">
        <is>
          <t>                                            </t>
        </is>
      </c>
      <c r="B93" s="831" t="n"/>
      <c r="C93" s="831" t="n"/>
      <c r="D93" s="831" t="n"/>
      <c r="E93" s="831" t="n"/>
      <c r="F93" s="831" t="n"/>
      <c r="G93" s="831" t="n"/>
      <c r="H93" s="831" t="n"/>
      <c r="I93" s="831" t="n"/>
      <c r="J93" s="832" t="n"/>
      <c r="K93" s="832" t="n"/>
    </row>
    <row r="94">
      <c r="A94" s="148" t="inlineStr">
        <is>
          <t xml:space="preserve">  VI.KAPITAALSUBSIDIES                   15</t>
        </is>
      </c>
      <c r="B94" s="833" t="n">
        <v>0</v>
      </c>
      <c r="C94" s="833" t="n">
        <v>0</v>
      </c>
      <c r="D94" s="833" t="n">
        <v>0</v>
      </c>
      <c r="E94" s="833" t="n">
        <v>0</v>
      </c>
      <c r="F94" s="833" t="n">
        <v>0</v>
      </c>
      <c r="G94" s="833" t="n">
        <v>0</v>
      </c>
      <c r="H94" s="833" t="n">
        <v>0</v>
      </c>
      <c r="I94" s="833" t="n">
        <v>0</v>
      </c>
      <c r="J94" s="834" t="n">
        <v>0</v>
      </c>
      <c r="K94" s="834" t="n">
        <v>0</v>
      </c>
    </row>
    <row r="95">
      <c r="A95" s="155" t="inlineStr">
        <is>
          <t>                                            </t>
        </is>
      </c>
      <c r="B95" s="831" t="n"/>
      <c r="C95" s="831" t="n"/>
      <c r="D95" s="831" t="n"/>
      <c r="E95" s="831" t="n"/>
      <c r="F95" s="831" t="n"/>
      <c r="G95" s="831" t="n"/>
      <c r="H95" s="831" t="n"/>
      <c r="I95" s="831" t="n"/>
      <c r="J95" s="832" t="n"/>
      <c r="K95" s="832" t="n"/>
    </row>
    <row r="96" ht="13.8" customHeight="1">
      <c r="A96" s="168" t="inlineStr">
        <is>
          <t xml:space="preserve">     VOORZIENINGEN EN UITGESTELDE BELAST.16</t>
        </is>
      </c>
      <c r="B96" s="829">
        <f>B98+B103</f>
        <v/>
      </c>
      <c r="C96" s="829">
        <f>C98+C103</f>
        <v/>
      </c>
      <c r="D96" s="829">
        <f>D98+D103</f>
        <v/>
      </c>
      <c r="E96" s="829">
        <f>E98+E103</f>
        <v/>
      </c>
      <c r="F96" s="829">
        <f>F98+F103</f>
        <v/>
      </c>
      <c r="G96" s="829">
        <f>G98+G103</f>
        <v/>
      </c>
      <c r="H96" s="829">
        <f>H98+H103</f>
        <v/>
      </c>
      <c r="I96" s="829">
        <f>I98+I103</f>
        <v/>
      </c>
      <c r="J96" s="830">
        <f>J98+J103</f>
        <v/>
      </c>
      <c r="K96" s="830">
        <f>K98+K103</f>
        <v/>
      </c>
    </row>
    <row r="97">
      <c r="A97" s="155" t="inlineStr">
        <is>
          <t>                                            </t>
        </is>
      </c>
      <c r="B97" s="831" t="n"/>
      <c r="C97" s="831" t="n"/>
      <c r="D97" s="831" t="n"/>
      <c r="E97" s="831" t="n"/>
      <c r="F97" s="831" t="n"/>
      <c r="G97" s="831" t="n"/>
      <c r="H97" s="831" t="n"/>
      <c r="I97" s="831" t="n"/>
      <c r="J97" s="832" t="n"/>
      <c r="K97" s="832" t="n"/>
    </row>
    <row r="98">
      <c r="A98" s="148" t="inlineStr">
        <is>
          <t xml:space="preserve"> VII.A.VOORZIEN. V RISICO'S &amp; KOSTEN  160/5</t>
        </is>
      </c>
      <c r="B98" s="835">
        <f>SUM(B99:B102)</f>
        <v/>
      </c>
      <c r="C98" s="835">
        <f>SUM(C99:C102)</f>
        <v/>
      </c>
      <c r="D98" s="835">
        <f>SUM(D99:D102)</f>
        <v/>
      </c>
      <c r="E98" s="835">
        <f>SUM(E99:E102)</f>
        <v/>
      </c>
      <c r="F98" s="835">
        <f>SUM(F99:F102)</f>
        <v/>
      </c>
      <c r="G98" s="835">
        <f>SUM(G99:G102)</f>
        <v/>
      </c>
      <c r="H98" s="835">
        <f>SUM(H99:H102)</f>
        <v/>
      </c>
      <c r="I98" s="835">
        <f>SUM(I99:I102)</f>
        <v/>
      </c>
      <c r="J98" s="836">
        <f>SUM(J99:J102)</f>
        <v/>
      </c>
      <c r="K98" s="836">
        <f>SUM(K99:K102)</f>
        <v/>
      </c>
    </row>
    <row r="99">
      <c r="A99" s="155" t="inlineStr">
        <is>
          <t xml:space="preserve"> 1.Pensioen. &amp; soortgel. verplichting   160</t>
        </is>
      </c>
      <c r="B99" s="837" t="n">
        <v>0</v>
      </c>
      <c r="C99" s="837" t="n">
        <v>0</v>
      </c>
      <c r="D99" s="837" t="n">
        <v>0</v>
      </c>
      <c r="E99" s="837" t="n">
        <v>0</v>
      </c>
      <c r="F99" s="837" t="n">
        <v>0</v>
      </c>
      <c r="G99" s="837" t="n">
        <v>0</v>
      </c>
      <c r="H99" s="837" t="n">
        <v>0</v>
      </c>
      <c r="I99" s="837" t="n">
        <v>0</v>
      </c>
      <c r="J99" s="838" t="n">
        <v>0</v>
      </c>
      <c r="K99" s="838" t="n">
        <v>0</v>
      </c>
    </row>
    <row r="100">
      <c r="A100" s="155" t="inlineStr">
        <is>
          <t xml:space="preserve"> 2.Belastingen                          161</t>
        </is>
      </c>
      <c r="B100" s="837" t="n">
        <v>0</v>
      </c>
      <c r="C100" s="837" t="n">
        <v>0</v>
      </c>
      <c r="D100" s="837" t="n">
        <v>0</v>
      </c>
      <c r="E100" s="837" t="n">
        <v>0</v>
      </c>
      <c r="F100" s="837" t="n">
        <v>0</v>
      </c>
      <c r="G100" s="837" t="n">
        <v>0</v>
      </c>
      <c r="H100" s="837" t="n">
        <v>0</v>
      </c>
      <c r="I100" s="837" t="n">
        <v>0</v>
      </c>
      <c r="J100" s="838" t="n">
        <v>0</v>
      </c>
      <c r="K100" s="838" t="n">
        <v>0</v>
      </c>
    </row>
    <row r="101">
      <c r="A101" s="155" t="inlineStr">
        <is>
          <t xml:space="preserve"> 3.Grote herstel- en onderhoudswerken   162</t>
        </is>
      </c>
      <c r="B101" s="837" t="n">
        <v>0</v>
      </c>
      <c r="C101" s="837" t="n">
        <v>0</v>
      </c>
      <c r="D101" s="837" t="n">
        <v>0</v>
      </c>
      <c r="E101" s="837" t="n">
        <v>0</v>
      </c>
      <c r="F101" s="837" t="n">
        <v>0</v>
      </c>
      <c r="G101" s="837" t="n">
        <v>0</v>
      </c>
      <c r="H101" s="837" t="n">
        <v>0</v>
      </c>
      <c r="I101" s="837" t="n">
        <v>0</v>
      </c>
      <c r="J101" s="838" t="n">
        <v>0</v>
      </c>
      <c r="K101" s="838" t="n">
        <v>0</v>
      </c>
    </row>
    <row r="102">
      <c r="A102" s="155" t="inlineStr">
        <is>
          <t xml:space="preserve"> 4.Overige risico's &amp; kosten 163/9 ou 163/5</t>
        </is>
      </c>
      <c r="B102" s="837" t="n">
        <v>0</v>
      </c>
      <c r="C102" s="837" t="n">
        <v>0</v>
      </c>
      <c r="D102" s="837" t="n">
        <v>0</v>
      </c>
      <c r="E102" s="837" t="n">
        <v>0</v>
      </c>
      <c r="F102" s="837" t="n">
        <v>0</v>
      </c>
      <c r="G102" s="837" t="n">
        <v>0</v>
      </c>
      <c r="H102" s="837" t="n">
        <v>0</v>
      </c>
      <c r="I102" s="837" t="n">
        <v>0</v>
      </c>
      <c r="J102" s="838" t="n">
        <v>0</v>
      </c>
      <c r="K102" s="838" t="n">
        <v>0</v>
      </c>
    </row>
    <row r="103">
      <c r="A103" s="148" t="inlineStr">
        <is>
          <t xml:space="preserve">     B.UITGESTELDE BELASTINGEN          168</t>
        </is>
      </c>
      <c r="B103" s="833" t="n">
        <v>0</v>
      </c>
      <c r="C103" s="833" t="n">
        <v>0</v>
      </c>
      <c r="D103" s="833" t="n">
        <v>0</v>
      </c>
      <c r="E103" s="833" t="n">
        <v>0</v>
      </c>
      <c r="F103" s="833" t="n">
        <v>0</v>
      </c>
      <c r="G103" s="833" t="n">
        <v>0</v>
      </c>
      <c r="H103" s="833" t="n">
        <v>0</v>
      </c>
      <c r="I103" s="833" t="n">
        <v>0</v>
      </c>
      <c r="J103" s="834" t="n">
        <v>0</v>
      </c>
      <c r="K103" s="834" t="n">
        <v>0</v>
      </c>
    </row>
    <row r="104">
      <c r="A104" s="155" t="inlineStr">
        <is>
          <t>                                            </t>
        </is>
      </c>
      <c r="B104" s="831" t="n"/>
      <c r="C104" s="831" t="n"/>
      <c r="D104" s="831" t="n"/>
      <c r="E104" s="831" t="n"/>
      <c r="F104" s="831" t="n"/>
      <c r="G104" s="831" t="n"/>
      <c r="H104" s="831" t="n"/>
      <c r="I104" s="831" t="n"/>
      <c r="J104" s="832" t="n"/>
      <c r="K104" s="832" t="n"/>
    </row>
    <row r="105" ht="13.8" customHeight="1">
      <c r="A105" s="168" t="inlineStr">
        <is>
          <t xml:space="preserve">      SCHULDEN                        17/49</t>
        </is>
      </c>
      <c r="B105" s="829">
        <f>B107+B120+B134</f>
        <v/>
      </c>
      <c r="C105" s="829">
        <f>C107+C120+C134</f>
        <v/>
      </c>
      <c r="D105" s="829">
        <f>D107+D120+D134</f>
        <v/>
      </c>
      <c r="E105" s="829">
        <f>E107+E120+E134</f>
        <v/>
      </c>
      <c r="F105" s="829">
        <f>F107+F120+F134</f>
        <v/>
      </c>
      <c r="G105" s="829">
        <f>G107+G120+G134</f>
        <v/>
      </c>
      <c r="H105" s="829">
        <f>H107+H120+H134</f>
        <v/>
      </c>
      <c r="I105" s="829">
        <f>I107+I120+I134</f>
        <v/>
      </c>
      <c r="J105" s="830">
        <f>J107+J120+J134</f>
        <v/>
      </c>
      <c r="K105" s="830">
        <f>K107+K120+K134</f>
        <v/>
      </c>
    </row>
    <row r="106">
      <c r="A106" s="155" t="inlineStr">
        <is>
          <t>                                            </t>
        </is>
      </c>
      <c r="B106" s="831" t="n"/>
      <c r="C106" s="831" t="n"/>
      <c r="D106" s="831" t="n"/>
      <c r="E106" s="831" t="n"/>
      <c r="F106" s="831" t="n"/>
      <c r="G106" s="831" t="n"/>
      <c r="H106" s="831" t="n"/>
      <c r="I106" s="831" t="n"/>
      <c r="J106" s="832" t="n"/>
      <c r="K106" s="832" t="n"/>
    </row>
    <row r="107">
      <c r="A107" s="148" t="inlineStr">
        <is>
          <t>VIII.SCHULDEN OP MEER DAN EEN JAAR       17</t>
        </is>
      </c>
      <c r="B107" s="835">
        <f>B108+B114+B117+B118</f>
        <v/>
      </c>
      <c r="C107" s="835">
        <f>C108+C114+C117+C118</f>
        <v/>
      </c>
      <c r="D107" s="835">
        <f>D108+D114+D117+D118</f>
        <v/>
      </c>
      <c r="E107" s="835">
        <f>E108+E114+E117+E118</f>
        <v/>
      </c>
      <c r="F107" s="835">
        <f>F108+F114+F117+F118</f>
        <v/>
      </c>
      <c r="G107" s="835">
        <f>G108+G114+G117+G118</f>
        <v/>
      </c>
      <c r="H107" s="835">
        <f>H108+H114+H117+H118</f>
        <v/>
      </c>
      <c r="I107" s="835">
        <f>I108+I114+I117+I118</f>
        <v/>
      </c>
      <c r="J107" s="836">
        <f>J108+J114+J117+J118</f>
        <v/>
      </c>
      <c r="K107" s="836">
        <f>K108+K114+K117+K118</f>
        <v/>
      </c>
    </row>
    <row r="108">
      <c r="A108" s="155" t="inlineStr">
        <is>
          <t xml:space="preserve">   A.Financiele schulden              170/4</t>
        </is>
      </c>
      <c r="B108" s="831">
        <f>SUM(B109:B113)</f>
        <v/>
      </c>
      <c r="C108" s="831">
        <f>SUM(C109:C113)</f>
        <v/>
      </c>
      <c r="D108" s="831">
        <f>SUM(D109:D113)</f>
        <v/>
      </c>
      <c r="E108" s="831">
        <f>SUM(E109:E113)</f>
        <v/>
      </c>
      <c r="F108" s="831">
        <f>SUM(F109:F113)</f>
        <v/>
      </c>
      <c r="G108" s="831">
        <f>SUM(G109:G113)</f>
        <v/>
      </c>
      <c r="H108" s="831">
        <f>SUM(H109:H113)</f>
        <v/>
      </c>
      <c r="I108" s="831">
        <f>SUM(I109:I113)</f>
        <v/>
      </c>
      <c r="J108" s="832">
        <f>SUM(J109:J113)</f>
        <v/>
      </c>
      <c r="K108" s="832">
        <f>SUM(K109:K113)</f>
        <v/>
      </c>
    </row>
    <row r="109">
      <c r="A109" s="155" t="inlineStr">
        <is>
          <t xml:space="preserve">     1.Achtergestelde leningen         170</t>
        </is>
      </c>
      <c r="B109" s="837" t="n">
        <v>0</v>
      </c>
      <c r="C109" s="837" t="n">
        <v>0</v>
      </c>
      <c r="D109" s="837" t="n">
        <v>0</v>
      </c>
      <c r="E109" s="837" t="n">
        <v>0</v>
      </c>
      <c r="F109" s="837" t="n">
        <v>53000</v>
      </c>
      <c r="G109" s="837" t="n">
        <v>0</v>
      </c>
      <c r="H109" s="837" t="n">
        <v>0</v>
      </c>
      <c r="I109" s="837" t="n">
        <v>0</v>
      </c>
      <c r="J109" s="838" t="n">
        <v>0</v>
      </c>
      <c r="K109" s="838" t="n">
        <v>0</v>
      </c>
    </row>
    <row r="110">
      <c r="A110" s="155" t="inlineStr">
        <is>
          <t xml:space="preserve">     2.Niet achtergestelde obl. leningen   171</t>
        </is>
      </c>
      <c r="B110" s="837" t="n">
        <v>0</v>
      </c>
      <c r="C110" s="837" t="n">
        <v>0</v>
      </c>
      <c r="D110" s="837" t="n">
        <v>0</v>
      </c>
      <c r="E110" s="837" t="n">
        <v>0</v>
      </c>
      <c r="F110" s="837" t="n">
        <v>0</v>
      </c>
      <c r="G110" s="837" t="n">
        <v>0</v>
      </c>
      <c r="H110" s="837" t="n">
        <v>0</v>
      </c>
      <c r="I110" s="837" t="n">
        <v>0</v>
      </c>
      <c r="J110" s="838" t="n">
        <v>0</v>
      </c>
      <c r="K110" s="838" t="n">
        <v>0</v>
      </c>
    </row>
    <row r="111">
      <c r="A111" s="155" t="inlineStr">
        <is>
          <t xml:space="preserve">     3.Leasingschulden                     172</t>
        </is>
      </c>
      <c r="B111" s="837" t="n">
        <v>0</v>
      </c>
      <c r="C111" s="837" t="n">
        <v>0</v>
      </c>
      <c r="D111" s="837" t="n">
        <v>0</v>
      </c>
      <c r="E111" s="837" t="n">
        <v>0</v>
      </c>
      <c r="F111" s="837" t="n">
        <v>0</v>
      </c>
      <c r="G111" s="837" t="n">
        <v>0</v>
      </c>
      <c r="H111" s="837" t="n">
        <v>0</v>
      </c>
      <c r="I111" s="837" t="n">
        <v>0</v>
      </c>
      <c r="J111" s="838" t="n">
        <v>0</v>
      </c>
      <c r="K111" s="838" t="n">
        <v>0</v>
      </c>
    </row>
    <row r="112">
      <c r="A112" s="155" t="inlineStr">
        <is>
          <t xml:space="preserve">     4.Kredietinstellingen         173</t>
        </is>
      </c>
      <c r="B112" s="837" t="n">
        <v>0</v>
      </c>
      <c r="C112" s="837" t="n">
        <v>0</v>
      </c>
      <c r="D112" s="837" t="n">
        <v>0</v>
      </c>
      <c r="E112" s="837" t="n">
        <v>0</v>
      </c>
      <c r="F112" s="837" t="n">
        <v>154074.18</v>
      </c>
      <c r="G112" s="837" t="n">
        <v>0</v>
      </c>
      <c r="H112" s="837" t="n">
        <v>0</v>
      </c>
      <c r="I112" s="837" t="n">
        <v>0</v>
      </c>
      <c r="J112" s="838" t="n">
        <v>0</v>
      </c>
      <c r="K112" s="838" t="n">
        <v>0</v>
      </c>
    </row>
    <row r="113">
      <c r="A113" s="155" t="inlineStr">
        <is>
          <t xml:space="preserve">     5.Overige leningen               174</t>
        </is>
      </c>
      <c r="B113" s="837" t="n">
        <v>0</v>
      </c>
      <c r="C113" s="837" t="n">
        <v>0</v>
      </c>
      <c r="D113" s="837" t="n">
        <v>0</v>
      </c>
      <c r="E113" s="837" t="n">
        <v>0</v>
      </c>
      <c r="F113" s="837" t="n">
        <v>9000</v>
      </c>
      <c r="G113" s="837" t="n">
        <v>0</v>
      </c>
      <c r="H113" s="837" t="n">
        <v>0</v>
      </c>
      <c r="I113" s="837" t="n">
        <v>0</v>
      </c>
      <c r="J113" s="838" t="n">
        <v>0</v>
      </c>
      <c r="K113" s="838" t="n">
        <v>0</v>
      </c>
    </row>
    <row r="114">
      <c r="A114" s="155" t="inlineStr">
        <is>
          <t xml:space="preserve">   B.Handelsschulden                    175</t>
        </is>
      </c>
      <c r="B114" s="831">
        <f>B115+B116</f>
        <v/>
      </c>
      <c r="C114" s="831">
        <f>C115+C116</f>
        <v/>
      </c>
      <c r="D114" s="831">
        <f>D115+D116</f>
        <v/>
      </c>
      <c r="E114" s="831">
        <f>E115+E116</f>
        <v/>
      </c>
      <c r="F114" s="831">
        <f>F115+F116</f>
        <v/>
      </c>
      <c r="G114" s="831">
        <f>G115+G116</f>
        <v/>
      </c>
      <c r="H114" s="831">
        <f>H115+H116</f>
        <v/>
      </c>
      <c r="I114" s="831">
        <f>I115+I116</f>
        <v/>
      </c>
      <c r="J114" s="832">
        <f>J115+J116</f>
        <v/>
      </c>
      <c r="K114" s="832">
        <f>K115+K116</f>
        <v/>
      </c>
    </row>
    <row r="115">
      <c r="A115" s="155" t="inlineStr">
        <is>
          <t xml:space="preserve">     1.Leveranciers                    1750</t>
        </is>
      </c>
      <c r="B115" s="837" t="n">
        <v>0</v>
      </c>
      <c r="C115" s="837" t="n">
        <v>0</v>
      </c>
      <c r="D115" s="837" t="n">
        <v>0</v>
      </c>
      <c r="E115" s="837" t="n">
        <v>0</v>
      </c>
      <c r="F115" s="837" t="n">
        <v>0</v>
      </c>
      <c r="G115" s="837" t="n">
        <v>0</v>
      </c>
      <c r="H115" s="837" t="n">
        <v>0</v>
      </c>
      <c r="I115" s="837" t="n">
        <v>0</v>
      </c>
      <c r="J115" s="838" t="n">
        <v>0</v>
      </c>
      <c r="K115" s="838" t="n">
        <v>0</v>
      </c>
    </row>
    <row r="116">
      <c r="A116" s="155" t="inlineStr">
        <is>
          <t xml:space="preserve">     2.Te betalen wissels              1751</t>
        </is>
      </c>
      <c r="B116" s="837" t="n">
        <v>0</v>
      </c>
      <c r="C116" s="837" t="n">
        <v>0</v>
      </c>
      <c r="D116" s="837" t="n">
        <v>0</v>
      </c>
      <c r="E116" s="837" t="n">
        <v>0</v>
      </c>
      <c r="F116" s="837" t="n">
        <v>0</v>
      </c>
      <c r="G116" s="837" t="n">
        <v>0</v>
      </c>
      <c r="H116" s="837" t="n">
        <v>0</v>
      </c>
      <c r="I116" s="837" t="n">
        <v>0</v>
      </c>
      <c r="J116" s="838" t="n">
        <v>0</v>
      </c>
      <c r="K116" s="838" t="n">
        <v>0</v>
      </c>
    </row>
    <row r="117">
      <c r="A117" s="155" t="inlineStr">
        <is>
          <t xml:space="preserve">   C.Ontvangen vooruitbetal. op bestel. 176</t>
        </is>
      </c>
      <c r="B117" s="837" t="n">
        <v>0</v>
      </c>
      <c r="C117" s="837" t="n">
        <v>0</v>
      </c>
      <c r="D117" s="837" t="n">
        <v>0</v>
      </c>
      <c r="E117" s="837" t="n">
        <v>0</v>
      </c>
      <c r="F117" s="837" t="n">
        <v>0</v>
      </c>
      <c r="G117" s="837" t="n">
        <v>0</v>
      </c>
      <c r="H117" s="837" t="n">
        <v>0</v>
      </c>
      <c r="I117" s="837" t="n">
        <v>0</v>
      </c>
      <c r="J117" s="838" t="n">
        <v>0</v>
      </c>
      <c r="K117" s="838" t="n">
        <v>0</v>
      </c>
    </row>
    <row r="118">
      <c r="A118" s="155" t="inlineStr">
        <is>
          <t xml:space="preserve">   D.Overige schulden                 178/9</t>
        </is>
      </c>
      <c r="B118" s="837" t="n">
        <v>0</v>
      </c>
      <c r="C118" s="837" t="n">
        <v>0</v>
      </c>
      <c r="D118" s="837" t="n">
        <v>0</v>
      </c>
      <c r="E118" s="837" t="n">
        <v>0</v>
      </c>
      <c r="F118" s="837" t="n">
        <v>0</v>
      </c>
      <c r="G118" s="837" t="n">
        <v>0</v>
      </c>
      <c r="H118" s="837" t="n">
        <v>0</v>
      </c>
      <c r="I118" s="837" t="n">
        <v>0</v>
      </c>
      <c r="J118" s="838" t="n">
        <v>0</v>
      </c>
      <c r="K118" s="838" t="n">
        <v>0</v>
      </c>
    </row>
    <row r="119">
      <c r="A119" s="155" t="inlineStr">
        <is>
          <t>                                            </t>
        </is>
      </c>
      <c r="B119" s="831" t="n"/>
      <c r="C119" s="831" t="n"/>
      <c r="D119" s="831" t="n"/>
      <c r="E119" s="831" t="n"/>
      <c r="F119" s="831" t="n"/>
      <c r="G119" s="831" t="n"/>
      <c r="H119" s="831" t="n"/>
      <c r="I119" s="831" t="n"/>
      <c r="J119" s="832" t="n"/>
      <c r="K119" s="832" t="n"/>
    </row>
    <row r="120">
      <c r="A120" s="148" t="inlineStr">
        <is>
          <t xml:space="preserve">  IX.SCHULDEN OP TEN HOOGSTE EEN JAAR 42/48</t>
        </is>
      </c>
      <c r="B120" s="835">
        <f>B121+B122+B125+B128+B129+B132</f>
        <v/>
      </c>
      <c r="C120" s="835">
        <f>C121+C122+C125+C128+C129+C132</f>
        <v/>
      </c>
      <c r="D120" s="835">
        <f>D121+D122+D125+D128+D129+D132</f>
        <v/>
      </c>
      <c r="E120" s="835">
        <f>E121+E122+E125+E128+E129+E132</f>
        <v/>
      </c>
      <c r="F120" s="835">
        <f>F121+F122+F125+F128+F129+F132</f>
        <v/>
      </c>
      <c r="G120" s="835">
        <f>G121+G122+G125+G128+G129+G132</f>
        <v/>
      </c>
      <c r="H120" s="835">
        <f>H121+H122+H125+H128+H129+H132</f>
        <v/>
      </c>
      <c r="I120" s="835">
        <f>I121+I122+I125+I128+I129+I132</f>
        <v/>
      </c>
      <c r="J120" s="836">
        <f>J121+J122+J125+J128+J129+J132</f>
        <v/>
      </c>
      <c r="K120" s="836">
        <f>K121+K122+K125+K128+K129+K132</f>
        <v/>
      </c>
    </row>
    <row r="121">
      <c r="A121" s="155" t="inlineStr">
        <is>
          <t xml:space="preserve">   A.Schuld + 1 jr,vervallen - 1 jr      42</t>
        </is>
      </c>
      <c r="B121" s="837" t="n">
        <v>0</v>
      </c>
      <c r="C121" s="837" t="n">
        <v>0</v>
      </c>
      <c r="D121" s="837" t="n">
        <v>0</v>
      </c>
      <c r="E121" s="837" t="n">
        <v>0</v>
      </c>
      <c r="F121" s="837" t="n">
        <v>84181.14999999999</v>
      </c>
      <c r="G121" s="837" t="n">
        <v>0</v>
      </c>
      <c r="H121" s="837" t="n">
        <v>0</v>
      </c>
      <c r="I121" s="837" t="n">
        <v>0</v>
      </c>
      <c r="J121" s="838" t="n">
        <v>0</v>
      </c>
      <c r="K121" s="838" t="n">
        <v>0</v>
      </c>
    </row>
    <row r="122">
      <c r="A122" s="155" t="inlineStr">
        <is>
          <t xml:space="preserve">   B.Financiele schulden                 43</t>
        </is>
      </c>
      <c r="B122" s="831">
        <f>B123+B124</f>
        <v/>
      </c>
      <c r="C122" s="831">
        <f>C123+C124</f>
        <v/>
      </c>
      <c r="D122" s="831">
        <f>D123+D124</f>
        <v/>
      </c>
      <c r="E122" s="831">
        <f>E123+E124</f>
        <v/>
      </c>
      <c r="F122" s="831">
        <f>F123+F124</f>
        <v/>
      </c>
      <c r="G122" s="831">
        <f>G123+G124</f>
        <v/>
      </c>
      <c r="H122" s="831">
        <f>H123+H124</f>
        <v/>
      </c>
      <c r="I122" s="831">
        <f>I123+I124</f>
        <v/>
      </c>
      <c r="J122" s="832">
        <f>J123+J124</f>
        <v/>
      </c>
      <c r="K122" s="832">
        <f>K123+K124</f>
        <v/>
      </c>
    </row>
    <row r="123">
      <c r="A123" s="155" t="inlineStr">
        <is>
          <t xml:space="preserve">     1.Kredietinstellingen            430/8</t>
        </is>
      </c>
      <c r="B123" s="837" t="n">
        <v>0</v>
      </c>
      <c r="C123" s="837" t="n">
        <v>0</v>
      </c>
      <c r="D123" s="837" t="n">
        <v>0</v>
      </c>
      <c r="E123" s="837" t="n">
        <v>0</v>
      </c>
      <c r="F123" s="837" t="n">
        <v>150000</v>
      </c>
      <c r="G123" s="837" t="n">
        <v>0</v>
      </c>
      <c r="H123" s="837" t="n">
        <v>0</v>
      </c>
      <c r="I123" s="837" t="n">
        <v>0</v>
      </c>
      <c r="J123" s="838" t="n">
        <v>0</v>
      </c>
      <c r="K123" s="838" t="n">
        <v>0</v>
      </c>
    </row>
    <row r="124">
      <c r="A124" s="155" t="inlineStr">
        <is>
          <t xml:space="preserve">     2.Overige leningen                 439</t>
        </is>
      </c>
      <c r="B124" s="837" t="n">
        <v>0</v>
      </c>
      <c r="C124" s="837" t="n">
        <v>0</v>
      </c>
      <c r="D124" s="837" t="n">
        <v>0</v>
      </c>
      <c r="E124" s="837" t="n">
        <v>0</v>
      </c>
      <c r="F124" s="837" t="n">
        <v>0</v>
      </c>
      <c r="G124" s="837" t="n">
        <v>0</v>
      </c>
      <c r="H124" s="837" t="n">
        <v>0</v>
      </c>
      <c r="I124" s="837" t="n">
        <v>0</v>
      </c>
      <c r="J124" s="838" t="n">
        <v>0</v>
      </c>
      <c r="K124" s="838" t="n">
        <v>0</v>
      </c>
    </row>
    <row r="125">
      <c r="A125" s="155" t="inlineStr">
        <is>
          <t xml:space="preserve">   C.Handelsschulden                     44</t>
        </is>
      </c>
      <c r="B125" s="831">
        <f>B126+B127</f>
        <v/>
      </c>
      <c r="C125" s="831">
        <f>C126+C127</f>
        <v/>
      </c>
      <c r="D125" s="831">
        <f>D126+D127</f>
        <v/>
      </c>
      <c r="E125" s="831">
        <f>E126+E127</f>
        <v/>
      </c>
      <c r="F125" s="831">
        <f>F126+F127</f>
        <v/>
      </c>
      <c r="G125" s="831">
        <f>G126+G127</f>
        <v/>
      </c>
      <c r="H125" s="831">
        <f>H126+H127</f>
        <v/>
      </c>
      <c r="I125" s="831">
        <f>I126+I127</f>
        <v/>
      </c>
      <c r="J125" s="831">
        <f>J126+J127</f>
        <v/>
      </c>
      <c r="K125" s="832">
        <f>K126+K127</f>
        <v/>
      </c>
    </row>
    <row r="126">
      <c r="A126" s="155" t="inlineStr">
        <is>
          <t xml:space="preserve">     1.Leveranciers                   440/4</t>
        </is>
      </c>
      <c r="B126" s="837" t="n">
        <v>0</v>
      </c>
      <c r="C126" s="837" t="n">
        <v>0</v>
      </c>
      <c r="D126" s="837" t="n">
        <v>0</v>
      </c>
      <c r="E126" s="837" t="n">
        <v>0</v>
      </c>
      <c r="F126" s="837" t="n">
        <v>361174.32</v>
      </c>
      <c r="G126" s="837" t="n">
        <v>0</v>
      </c>
      <c r="H126" s="837" t="n">
        <v>0</v>
      </c>
      <c r="I126" s="837" t="n">
        <v>0</v>
      </c>
      <c r="J126" s="832" t="n">
        <v>0</v>
      </c>
      <c r="K126" s="838" t="n">
        <v>0</v>
      </c>
    </row>
    <row r="127">
      <c r="A127" s="155" t="inlineStr">
        <is>
          <t xml:space="preserve">     2.Te betalen wissels               441</t>
        </is>
      </c>
      <c r="B127" s="837" t="n">
        <v>0</v>
      </c>
      <c r="C127" s="837" t="n">
        <v>0</v>
      </c>
      <c r="D127" s="837" t="n">
        <v>0</v>
      </c>
      <c r="E127" s="837" t="n">
        <v>0</v>
      </c>
      <c r="F127" s="837" t="n">
        <v>0</v>
      </c>
      <c r="G127" s="837" t="n">
        <v>0</v>
      </c>
      <c r="H127" s="837" t="n">
        <v>0</v>
      </c>
      <c r="I127" s="837" t="n">
        <v>0</v>
      </c>
      <c r="J127" s="838" t="n">
        <v>0</v>
      </c>
      <c r="K127" s="838" t="n">
        <v>0</v>
      </c>
    </row>
    <row r="128">
      <c r="A128" s="155" t="inlineStr">
        <is>
          <t xml:space="preserve">   D.Ontvangen vooruitbetal. op bestell. 46</t>
        </is>
      </c>
      <c r="B128" s="837" t="n">
        <v>0</v>
      </c>
      <c r="C128" s="837" t="n">
        <v>0</v>
      </c>
      <c r="D128" s="837" t="n">
        <v>0</v>
      </c>
      <c r="E128" s="837" t="n">
        <v>0</v>
      </c>
      <c r="F128" s="837" t="n">
        <v>0</v>
      </c>
      <c r="G128" s="837" t="n">
        <v>0</v>
      </c>
      <c r="H128" s="837" t="n">
        <v>0</v>
      </c>
      <c r="I128" s="837" t="n">
        <v>0</v>
      </c>
      <c r="J128" s="838" t="n">
        <v>0</v>
      </c>
      <c r="K128" s="838" t="n">
        <v>0</v>
      </c>
    </row>
    <row r="129">
      <c r="A129" s="155" t="inlineStr">
        <is>
          <t xml:space="preserve">   E.Schuld belasting, bezold, soc. last 45</t>
        </is>
      </c>
      <c r="B129" s="831">
        <f>B130+B131</f>
        <v/>
      </c>
      <c r="C129" s="831">
        <f>C130+C131</f>
        <v/>
      </c>
      <c r="D129" s="831">
        <f>D130+D131</f>
        <v/>
      </c>
      <c r="E129" s="831">
        <f>E130+E131</f>
        <v/>
      </c>
      <c r="F129" s="831">
        <f>F130+F131</f>
        <v/>
      </c>
      <c r="G129" s="831">
        <f>G130+G131</f>
        <v/>
      </c>
      <c r="H129" s="831">
        <f>H130+H131</f>
        <v/>
      </c>
      <c r="I129" s="831">
        <f>I130+I131</f>
        <v/>
      </c>
      <c r="J129" s="832">
        <f>J130+J131</f>
        <v/>
      </c>
      <c r="K129" s="832">
        <f>K130+K131</f>
        <v/>
      </c>
    </row>
    <row r="130">
      <c r="A130" s="155" t="inlineStr">
        <is>
          <t xml:space="preserve">     1.Belastingen                    450/3</t>
        </is>
      </c>
      <c r="B130" s="837" t="n">
        <v>0</v>
      </c>
      <c r="C130" s="837" t="n">
        <v>0</v>
      </c>
      <c r="D130" s="837" t="n">
        <v>0</v>
      </c>
      <c r="E130" s="837" t="n">
        <v>0</v>
      </c>
      <c r="F130" s="837" t="n">
        <v>23833.02</v>
      </c>
      <c r="G130" s="837" t="n">
        <v>0</v>
      </c>
      <c r="H130" s="837" t="n">
        <v>0</v>
      </c>
      <c r="I130" s="837" t="n">
        <v>0</v>
      </c>
      <c r="J130" s="838" t="n">
        <v>0</v>
      </c>
      <c r="K130" s="838" t="n">
        <v>0</v>
      </c>
    </row>
    <row r="131">
      <c r="A131" s="155" t="inlineStr">
        <is>
          <t xml:space="preserve">     2.Bezoldigingen &amp; sociale lasten 454/9</t>
        </is>
      </c>
      <c r="B131" s="837" t="n">
        <v>0</v>
      </c>
      <c r="C131" s="837" t="n">
        <v>0</v>
      </c>
      <c r="D131" s="837" t="n">
        <v>0</v>
      </c>
      <c r="E131" s="837" t="n">
        <v>0</v>
      </c>
      <c r="F131" s="837" t="n">
        <v>24060.64</v>
      </c>
      <c r="G131" s="837" t="n">
        <v>0</v>
      </c>
      <c r="H131" s="837" t="n">
        <v>0</v>
      </c>
      <c r="I131" s="837" t="n">
        <v>0</v>
      </c>
      <c r="J131" s="838" t="n">
        <v>0</v>
      </c>
      <c r="K131" s="838" t="n">
        <v>0</v>
      </c>
    </row>
    <row r="132">
      <c r="A132" s="155" t="inlineStr">
        <is>
          <t xml:space="preserve">   F.Overige schulden                 47/48</t>
        </is>
      </c>
      <c r="B132" s="837" t="n">
        <v>0</v>
      </c>
      <c r="C132" s="837" t="n">
        <v>0</v>
      </c>
      <c r="D132" s="837" t="n">
        <v>0</v>
      </c>
      <c r="E132" s="837" t="n">
        <v>0</v>
      </c>
      <c r="F132" s="837" t="n">
        <v>47066</v>
      </c>
      <c r="G132" s="837" t="n">
        <v>0</v>
      </c>
      <c r="H132" s="837" t="n">
        <v>0</v>
      </c>
      <c r="I132" s="837" t="n">
        <v>0</v>
      </c>
      <c r="J132" s="838" t="n">
        <v>0</v>
      </c>
      <c r="K132" s="838" t="n">
        <v>0</v>
      </c>
    </row>
    <row r="133">
      <c r="A133" s="155" t="inlineStr">
        <is>
          <t>                                            </t>
        </is>
      </c>
      <c r="B133" s="831" t="n"/>
      <c r="C133" s="831" t="n"/>
      <c r="D133" s="831" t="n"/>
      <c r="E133" s="831" t="n"/>
      <c r="F133" s="831" t="n"/>
      <c r="G133" s="831" t="n"/>
      <c r="H133" s="831" t="n"/>
      <c r="I133" s="831" t="n"/>
      <c r="J133" s="832" t="n"/>
      <c r="K133" s="832" t="n"/>
    </row>
    <row r="134">
      <c r="A134" s="148" t="inlineStr">
        <is>
          <t xml:space="preserve">   X.OVERLOPENDE REKENINGEN           492/3</t>
        </is>
      </c>
      <c r="B134" s="833" t="n">
        <v>0</v>
      </c>
      <c r="C134" s="833" t="n">
        <v>0</v>
      </c>
      <c r="D134" s="833" t="n">
        <v>0</v>
      </c>
      <c r="E134" s="833" t="n">
        <v>0</v>
      </c>
      <c r="F134" s="833" t="n">
        <v>62511.42</v>
      </c>
      <c r="G134" s="833" t="n">
        <v>0</v>
      </c>
      <c r="H134" s="833" t="n">
        <v>0</v>
      </c>
      <c r="I134" s="833" t="n">
        <v>0</v>
      </c>
      <c r="J134" s="834" t="n">
        <v>0</v>
      </c>
      <c r="K134" s="834" t="n">
        <v>0</v>
      </c>
    </row>
    <row r="135">
      <c r="A135" s="155" t="inlineStr">
        <is>
          <t>                                            </t>
        </is>
      </c>
      <c r="B135" s="831" t="n"/>
      <c r="C135" s="831" t="n"/>
      <c r="D135" s="831" t="n"/>
      <c r="E135" s="831" t="n"/>
      <c r="F135" s="831" t="n"/>
      <c r="G135" s="831" t="n"/>
      <c r="H135" s="831" t="n"/>
      <c r="I135" s="831" t="n"/>
      <c r="J135" s="832" t="n"/>
      <c r="K135" s="832" t="n"/>
    </row>
    <row r="136" ht="13.2" customHeight="1">
      <c r="A136" s="180" t="inlineStr">
        <is>
          <t xml:space="preserve">                  TOTAAL DER PASSIVA  10/49</t>
        </is>
      </c>
      <c r="B136" s="840">
        <f>B105+B75+B96</f>
        <v/>
      </c>
      <c r="C136" s="840">
        <f>C105+C75+C96</f>
        <v/>
      </c>
      <c r="D136" s="840">
        <f>D105+D75+D96</f>
        <v/>
      </c>
      <c r="E136" s="840">
        <f>E105+E75+E96</f>
        <v/>
      </c>
      <c r="F136" s="840">
        <f>F105+F75+F96</f>
        <v/>
      </c>
      <c r="G136" s="840">
        <f>G105+G75+G96</f>
        <v/>
      </c>
      <c r="H136" s="840">
        <f>H105+H75+H96</f>
        <v/>
      </c>
      <c r="I136" s="840">
        <f>I105+I75+I96</f>
        <v/>
      </c>
      <c r="J136" s="841">
        <f>J105+J75+J96</f>
        <v/>
      </c>
      <c r="K136" s="841">
        <f>K105+K75+K96</f>
        <v/>
      </c>
    </row>
    <row r="137" ht="13.2" customHeight="1">
      <c r="A137" s="180" t="n"/>
      <c r="B137" s="842" t="n"/>
      <c r="C137" s="842" t="n"/>
      <c r="D137" s="842" t="n"/>
      <c r="E137" s="842" t="n"/>
      <c r="F137" s="842" t="n"/>
      <c r="G137" s="842" t="n"/>
      <c r="H137" s="842" t="n"/>
      <c r="I137" s="842" t="n"/>
      <c r="J137" s="842" t="n"/>
      <c r="K137" s="842" t="n"/>
    </row>
    <row r="138" ht="13.2" customHeight="1">
      <c r="A138" s="187" t="inlineStr">
        <is>
          <t>Controle : verschil op balans</t>
        </is>
      </c>
      <c r="B138" s="843">
        <f>B69-B136</f>
        <v/>
      </c>
      <c r="C138" s="843">
        <f>C69-C136</f>
        <v/>
      </c>
      <c r="D138" s="843">
        <f>D69-D136</f>
        <v/>
      </c>
      <c r="E138" s="843">
        <f>E69-E136</f>
        <v/>
      </c>
      <c r="F138" s="843">
        <f>F69-F136</f>
        <v/>
      </c>
      <c r="G138" s="843">
        <f>G69-G136</f>
        <v/>
      </c>
      <c r="H138" s="843">
        <f>H69-H136</f>
        <v/>
      </c>
      <c r="I138" s="843">
        <f>I69-I136</f>
        <v/>
      </c>
      <c r="J138" s="843">
        <f>J69-J136</f>
        <v/>
      </c>
      <c r="K138" s="843">
        <f>K69-K136</f>
        <v/>
      </c>
    </row>
    <row r="139" ht="13.2" customFormat="1" customHeight="1" s="159">
      <c r="A139" s="189" t="n"/>
      <c r="B139" s="157">
        <f>B7</f>
        <v/>
      </c>
      <c r="C139" s="157">
        <f>C7</f>
        <v/>
      </c>
      <c r="D139" s="157">
        <f>D7</f>
        <v/>
      </c>
      <c r="E139" s="157">
        <f>E7</f>
        <v/>
      </c>
      <c r="F139" s="157">
        <f>F7</f>
        <v/>
      </c>
      <c r="G139" s="157">
        <f>G7</f>
        <v/>
      </c>
      <c r="H139" s="157">
        <f>H7</f>
        <v/>
      </c>
      <c r="I139" s="157">
        <f>I7</f>
        <v/>
      </c>
      <c r="J139" s="158">
        <f>J7</f>
        <v/>
      </c>
      <c r="K139" s="158">
        <f>K7</f>
        <v/>
      </c>
    </row>
    <row r="140">
      <c r="A140" s="155" t="n"/>
      <c r="B140" s="183" t="n"/>
      <c r="C140" s="183" t="n"/>
      <c r="D140" s="183" t="n"/>
      <c r="E140" s="183" t="n"/>
      <c r="F140" s="183" t="n"/>
      <c r="G140" s="183" t="n"/>
      <c r="H140" s="183" t="n"/>
      <c r="I140" s="183" t="n"/>
      <c r="J140" s="184" t="n"/>
      <c r="K140" s="184" t="n"/>
    </row>
    <row r="141">
      <c r="A141" s="155" t="inlineStr">
        <is>
          <t xml:space="preserve">   2.RESULTATENREKENING                     </t>
        </is>
      </c>
      <c r="B141" s="166" t="n"/>
      <c r="C141" s="166" t="n"/>
      <c r="D141" s="166" t="n"/>
      <c r="E141" s="166" t="n"/>
      <c r="F141" s="166" t="n"/>
      <c r="G141" s="166" t="n"/>
      <c r="H141" s="166" t="n"/>
      <c r="I141" s="166" t="n"/>
      <c r="J141" s="167" t="n"/>
      <c r="K141" s="167" t="n"/>
    </row>
    <row r="142">
      <c r="A142" s="155" t="inlineStr">
        <is>
          <t>                                            </t>
        </is>
      </c>
      <c r="B142" s="166" t="n"/>
      <c r="C142" s="166" t="n"/>
      <c r="D142" s="166" t="n"/>
      <c r="E142" s="166" t="n"/>
      <c r="F142" s="166" t="n"/>
      <c r="G142" s="166" t="n"/>
      <c r="H142" s="166" t="n"/>
      <c r="I142" s="166" t="n"/>
      <c r="J142" s="167" t="n"/>
      <c r="K142" s="167" t="n"/>
      <c r="V142" s="844" t="n"/>
    </row>
    <row r="143">
      <c r="A143" s="155">
        <f>"============ RESULTATEN ========== CODES"</f>
        <v/>
      </c>
      <c r="B143" s="166" t="n"/>
      <c r="C143" s="166" t="n"/>
      <c r="D143" s="166" t="n"/>
      <c r="E143" s="166" t="n"/>
      <c r="F143" s="166" t="n"/>
      <c r="G143" s="166" t="n"/>
      <c r="H143" s="166" t="n"/>
      <c r="I143" s="166" t="n"/>
      <c r="J143" s="167" t="n"/>
      <c r="K143" s="167" t="n"/>
      <c r="V143" s="844" t="n"/>
      <c r="X143" s="844" t="n"/>
      <c r="Y143" s="845" t="n"/>
    </row>
    <row r="144">
      <c r="A144" s="155" t="inlineStr">
        <is>
          <t>                                            </t>
        </is>
      </c>
      <c r="B144" s="166" t="n"/>
      <c r="C144" s="166" t="n"/>
      <c r="D144" s="166" t="n"/>
      <c r="E144" s="166" t="n"/>
      <c r="F144" s="166" t="n"/>
      <c r="G144" s="166" t="n"/>
      <c r="H144" s="166" t="n"/>
      <c r="I144" s="166" t="n"/>
      <c r="J144" s="167" t="n"/>
      <c r="K144" s="167" t="n"/>
      <c r="V144" s="844" t="n"/>
      <c r="X144" s="844" t="n"/>
    </row>
    <row r="145">
      <c r="A145" s="155" t="inlineStr">
        <is>
          <t xml:space="preserve">     Bruto exploitatie marge  (+)     70/61</t>
        </is>
      </c>
      <c r="B145" s="837">
        <f>B147-B156-B159-B155</f>
        <v/>
      </c>
      <c r="C145" s="837">
        <f>C147-C156-C159-C155</f>
        <v/>
      </c>
      <c r="D145" s="837">
        <f>D147-D156-D159-D155</f>
        <v/>
      </c>
      <c r="E145" s="837">
        <f>E147-E156-E159-E155</f>
        <v/>
      </c>
      <c r="F145" s="837">
        <f>F147-F156-F159-F155</f>
        <v/>
      </c>
      <c r="G145" s="837">
        <f>G147-G156-G159-G155</f>
        <v/>
      </c>
      <c r="H145" s="837">
        <f>H147-H156-H159-H155</f>
        <v/>
      </c>
      <c r="I145" s="837">
        <f>I147-I156-I159-I155</f>
        <v/>
      </c>
      <c r="J145" s="838">
        <f>J147-J156-J159-J155</f>
        <v/>
      </c>
      <c r="K145" s="838">
        <f>K147-K156-K159-K155</f>
        <v/>
      </c>
      <c r="X145" s="844" t="n"/>
    </row>
    <row r="146">
      <c r="A146" s="155" t="inlineStr">
        <is>
          <t>                                            </t>
        </is>
      </c>
      <c r="B146" s="831" t="n"/>
      <c r="C146" s="831" t="n"/>
      <c r="D146" s="831" t="n"/>
      <c r="E146" s="831" t="n"/>
      <c r="F146" s="831" t="n"/>
      <c r="G146" s="831" t="n"/>
      <c r="H146" s="831" t="n"/>
      <c r="I146" s="831" t="n"/>
      <c r="J146" s="832" t="n"/>
      <c r="K146" s="832" t="n"/>
      <c r="X146" s="844" t="n"/>
      <c r="Y146" s="845" t="n"/>
    </row>
    <row r="147">
      <c r="A147" s="148" t="inlineStr">
        <is>
          <t xml:space="preserve">   I.BEDRIJFSOPBRENGSTEN              70/74</t>
        </is>
      </c>
      <c r="B147" s="835">
        <f>SUM(B148:B151)</f>
        <v/>
      </c>
      <c r="C147" s="835">
        <f>SUM(C148:C151)</f>
        <v/>
      </c>
      <c r="D147" s="835">
        <f>SUM(D148:D151)</f>
        <v/>
      </c>
      <c r="E147" s="835">
        <f>SUM(E148:E151)</f>
        <v/>
      </c>
      <c r="F147" s="835">
        <f>SUM(F148:F151)</f>
        <v/>
      </c>
      <c r="G147" s="835">
        <f>SUM(G148:G151)</f>
        <v/>
      </c>
      <c r="H147" s="835">
        <f>SUM(H148:H151)</f>
        <v/>
      </c>
      <c r="I147" s="835">
        <f>SUM(I148:I151)</f>
        <v/>
      </c>
      <c r="J147" s="836">
        <f>SUM(J148:J151)</f>
        <v/>
      </c>
      <c r="K147" s="836">
        <f>SUM(K148:K151)</f>
        <v/>
      </c>
    </row>
    <row r="148">
      <c r="A148" s="155" t="inlineStr">
        <is>
          <t xml:space="preserve">   A.Omzet                               70</t>
        </is>
      </c>
      <c r="B148" s="837" t="n">
        <v>0</v>
      </c>
      <c r="C148" s="837" t="n">
        <v>0</v>
      </c>
      <c r="D148" s="837" t="n">
        <v>0</v>
      </c>
      <c r="E148" s="837" t="n">
        <v>0</v>
      </c>
      <c r="F148" s="837" t="n">
        <v>689999.5699999999</v>
      </c>
      <c r="G148" s="837" t="n">
        <v>0</v>
      </c>
      <c r="H148" s="837" t="n">
        <v>0</v>
      </c>
      <c r="I148" s="837" t="n">
        <v>0</v>
      </c>
      <c r="J148" s="838" t="n">
        <v>0</v>
      </c>
      <c r="K148" s="838" t="n">
        <v>0</v>
      </c>
    </row>
    <row r="149">
      <c r="A149" s="155" t="inlineStr">
        <is>
          <t xml:space="preserve">   B.Voorraadwijzigingen (+) (-)    71   </t>
        </is>
      </c>
      <c r="B149" s="837" t="n">
        <v>0</v>
      </c>
      <c r="C149" s="837" t="n">
        <v>0</v>
      </c>
      <c r="D149" s="837" t="n">
        <v>0</v>
      </c>
      <c r="E149" s="837" t="n">
        <v>0</v>
      </c>
      <c r="F149" s="837" t="n">
        <v>0</v>
      </c>
      <c r="G149" s="837" t="n">
        <v>0</v>
      </c>
      <c r="H149" s="837" t="n">
        <v>0</v>
      </c>
      <c r="I149" s="837" t="n">
        <v>0</v>
      </c>
      <c r="J149" s="838" t="n">
        <v>0</v>
      </c>
      <c r="K149" s="838" t="n">
        <v>0</v>
      </c>
    </row>
    <row r="150">
      <c r="A150" s="155" t="inlineStr">
        <is>
          <t xml:space="preserve">   C.Geproduceerde vaste activa          72</t>
        </is>
      </c>
      <c r="B150" s="837" t="n">
        <v>0</v>
      </c>
      <c r="C150" s="837" t="n">
        <v>0</v>
      </c>
      <c r="D150" s="837" t="n">
        <v>0</v>
      </c>
      <c r="E150" s="837" t="n">
        <v>0</v>
      </c>
      <c r="F150" s="837" t="n">
        <v>0</v>
      </c>
      <c r="G150" s="837" t="n">
        <v>0</v>
      </c>
      <c r="H150" s="837" t="n">
        <v>0</v>
      </c>
      <c r="I150" s="837" t="n">
        <v>0</v>
      </c>
      <c r="J150" s="838" t="n">
        <v>0</v>
      </c>
      <c r="K150" s="838" t="n">
        <v>0</v>
      </c>
    </row>
    <row r="151">
      <c r="A151" s="155" t="inlineStr">
        <is>
          <t xml:space="preserve">   D.Andere bedrijfsopbrengsten          74</t>
        </is>
      </c>
      <c r="B151" s="837" t="n">
        <v>0</v>
      </c>
      <c r="C151" s="837" t="n">
        <v>0</v>
      </c>
      <c r="D151" s="837" t="n">
        <v>0</v>
      </c>
      <c r="E151" s="837" t="n">
        <v>0</v>
      </c>
      <c r="F151" s="837" t="n">
        <v>137421.86</v>
      </c>
      <c r="G151" s="837" t="n">
        <v>0</v>
      </c>
      <c r="H151" s="837" t="n">
        <v>0</v>
      </c>
      <c r="I151" s="837" t="n">
        <v>0</v>
      </c>
      <c r="J151" s="838" t="n">
        <v>0</v>
      </c>
      <c r="K151" s="838" t="n">
        <v>0</v>
      </c>
    </row>
    <row r="152">
      <c r="A152" s="155" t="inlineStr">
        <is>
          <t>                                            </t>
        </is>
      </c>
      <c r="B152" s="831" t="n"/>
      <c r="C152" s="831" t="n"/>
      <c r="D152" s="831" t="n"/>
      <c r="E152" s="831" t="n"/>
      <c r="F152" s="831" t="n"/>
      <c r="G152" s="831" t="n"/>
      <c r="H152" s="831" t="n"/>
      <c r="I152" s="831" t="n"/>
      <c r="J152" s="832" t="n"/>
      <c r="K152" s="832" t="n"/>
    </row>
    <row r="153" ht="13.2" customHeight="1">
      <c r="A153" s="148" t="inlineStr">
        <is>
          <t xml:space="preserve">  II.BEDRIJFSKOSTEN                   60/64</t>
        </is>
      </c>
      <c r="B153" s="835">
        <f>B155+B157+B158+B159+B160+B161+B162+B163+B164+B165</f>
        <v/>
      </c>
      <c r="C153" s="835">
        <f>C155+C157+C158+C159+C160+C161+C162+C163+C164+C165</f>
        <v/>
      </c>
      <c r="D153" s="835">
        <f>D155+D157+D158+D159+D160+D161+D162+D163+D164+D165</f>
        <v/>
      </c>
      <c r="E153" s="835">
        <f>E155+E157+E158+E159+E160+E161+E162+E163+E164+E165</f>
        <v/>
      </c>
      <c r="F153" s="835">
        <f>F155+F157+F158+F159+F160+F161+F162+F163+F164+F165</f>
        <v/>
      </c>
      <c r="G153" s="835">
        <f>G155+G157+G158+G159+G160+G161+G162+G163+G164+G165</f>
        <v/>
      </c>
      <c r="H153" s="835">
        <f>H155+H157+H158+H159+H160+H161+H162+H163+H164+H165</f>
        <v/>
      </c>
      <c r="I153" s="835">
        <f>I155+I157+I158+I159+I160+I161+I162+I163+I164+I165</f>
        <v/>
      </c>
      <c r="J153" s="836">
        <f>J155+J157+J158+J159+J160+J161+J162+J163+J164+J165</f>
        <v/>
      </c>
      <c r="K153" s="836">
        <f>K155+K157+K158+K159+K160+K161+K162+K163+K164+K165</f>
        <v/>
      </c>
      <c r="S153" s="192" t="n"/>
      <c r="T153" s="846" t="n"/>
    </row>
    <row r="154">
      <c r="A154" s="155" t="inlineStr">
        <is>
          <t xml:space="preserve">   A/B.Handelsgoederen,grond-&amp; hulpst.      </t>
        </is>
      </c>
      <c r="B154" s="831" t="n"/>
      <c r="C154" s="831" t="n"/>
      <c r="D154" s="831" t="n"/>
      <c r="E154" s="831" t="n"/>
      <c r="F154" s="831" t="n"/>
      <c r="G154" s="831" t="n"/>
      <c r="H154" s="831" t="n"/>
      <c r="I154" s="831" t="n"/>
      <c r="J154" s="832" t="n"/>
      <c r="K154" s="832" t="n"/>
    </row>
    <row r="155">
      <c r="A155" s="155" t="inlineStr">
        <is>
          <t xml:space="preserve">       diensten en diverse goederen   60/61</t>
        </is>
      </c>
      <c r="B155" s="837" t="n">
        <v>0</v>
      </c>
      <c r="C155" s="837" t="n">
        <v>0</v>
      </c>
      <c r="D155" s="837" t="n">
        <v>0</v>
      </c>
      <c r="E155" s="837" t="n">
        <v>0</v>
      </c>
      <c r="F155" s="837" t="n">
        <v>0</v>
      </c>
      <c r="G155" s="837" t="n">
        <v>0</v>
      </c>
      <c r="H155" s="837" t="n">
        <v>0</v>
      </c>
      <c r="I155" s="837" t="n">
        <v>0</v>
      </c>
      <c r="J155" s="838" t="n">
        <v>0</v>
      </c>
      <c r="K155" s="838" t="n">
        <v>0</v>
      </c>
      <c r="S155" s="194" t="n"/>
      <c r="T155" s="847" t="n"/>
    </row>
    <row r="156">
      <c r="A156" s="155" t="inlineStr">
        <is>
          <t xml:space="preserve">   A.Handelsg.,grond &amp; hulpst.           60</t>
        </is>
      </c>
      <c r="B156" s="831">
        <f>B157+B158</f>
        <v/>
      </c>
      <c r="C156" s="831">
        <f>C157+C158</f>
        <v/>
      </c>
      <c r="D156" s="831">
        <f>D157+D158</f>
        <v/>
      </c>
      <c r="E156" s="831">
        <f>E157+E158</f>
        <v/>
      </c>
      <c r="F156" s="831">
        <f>F157+F158</f>
        <v/>
      </c>
      <c r="G156" s="831">
        <f>G157+G158</f>
        <v/>
      </c>
      <c r="H156" s="831">
        <f>H157+H158</f>
        <v/>
      </c>
      <c r="I156" s="831">
        <f>I157+I158</f>
        <v/>
      </c>
      <c r="J156" s="832">
        <f>J157+J158</f>
        <v/>
      </c>
      <c r="K156" s="832">
        <f>K157+K158</f>
        <v/>
      </c>
    </row>
    <row r="157">
      <c r="A157" s="155" t="inlineStr">
        <is>
          <t xml:space="preserve">     Inkopen                           6008</t>
        </is>
      </c>
      <c r="B157" s="837" t="n">
        <v>0</v>
      </c>
      <c r="C157" s="837" t="n">
        <v>0</v>
      </c>
      <c r="D157" s="837" t="n">
        <v>0</v>
      </c>
      <c r="E157" s="837" t="n">
        <v>0</v>
      </c>
      <c r="F157" s="837" t="n">
        <v>189000.9</v>
      </c>
      <c r="G157" s="837" t="n">
        <v>0</v>
      </c>
      <c r="H157" s="837" t="n">
        <v>0</v>
      </c>
      <c r="I157" s="837" t="n">
        <v>0</v>
      </c>
      <c r="J157" s="838" t="n">
        <v>0</v>
      </c>
      <c r="K157" s="838" t="n">
        <v>0</v>
      </c>
    </row>
    <row r="158">
      <c r="A158" s="155" t="inlineStr">
        <is>
          <t xml:space="preserve">     Wijziging in de voorraad  (+)(-)   609</t>
        </is>
      </c>
      <c r="B158" s="837" t="n">
        <v>0</v>
      </c>
      <c r="C158" s="837" t="n">
        <v>0</v>
      </c>
      <c r="D158" s="837" t="n">
        <v>0</v>
      </c>
      <c r="E158" s="837" t="n">
        <v>0</v>
      </c>
      <c r="F158" s="837" t="n">
        <v>-39013.93</v>
      </c>
      <c r="G158" s="837" t="n">
        <v>0</v>
      </c>
      <c r="H158" s="837" t="n">
        <v>0</v>
      </c>
      <c r="I158" s="837" t="n">
        <v>0</v>
      </c>
      <c r="J158" s="838" t="n">
        <v>0</v>
      </c>
      <c r="K158" s="838" t="n">
        <v>0</v>
      </c>
      <c r="W158" s="845" t="n"/>
      <c r="Y158" s="845" t="n"/>
    </row>
    <row r="159">
      <c r="A159" s="155" t="inlineStr">
        <is>
          <t xml:space="preserve">   B.Diensten en diverse goed.           61</t>
        </is>
      </c>
      <c r="B159" s="837" t="n">
        <v>0</v>
      </c>
      <c r="C159" s="837" t="n">
        <v>0</v>
      </c>
      <c r="D159" s="837" t="n">
        <v>0</v>
      </c>
      <c r="E159" s="837" t="n">
        <v>0</v>
      </c>
      <c r="F159" s="837" t="n">
        <v>545703.08</v>
      </c>
      <c r="G159" s="837" t="n">
        <v>0</v>
      </c>
      <c r="H159" s="837" t="n">
        <v>0</v>
      </c>
      <c r="I159" s="837" t="n">
        <v>0</v>
      </c>
      <c r="J159" s="838" t="n">
        <v>0</v>
      </c>
      <c r="K159" s="838" t="n">
        <v>0</v>
      </c>
      <c r="V159" s="845" t="n"/>
      <c r="W159" s="845" t="n"/>
    </row>
    <row r="160">
      <c r="A160" s="155" t="inlineStr">
        <is>
          <t xml:space="preserve">   C.Bezoldig., soc. lasten en pensioen. 62</t>
        </is>
      </c>
      <c r="B160" s="837" t="n">
        <v>0</v>
      </c>
      <c r="C160" s="837" t="n">
        <v>0</v>
      </c>
      <c r="D160" s="837" t="n">
        <v>0</v>
      </c>
      <c r="E160" s="837" t="n">
        <v>0</v>
      </c>
      <c r="F160" s="837" t="n">
        <v>376519.62</v>
      </c>
      <c r="G160" s="837" t="n">
        <v>0</v>
      </c>
      <c r="H160" s="837" t="n">
        <v>0</v>
      </c>
      <c r="I160" s="837" t="n">
        <v>0</v>
      </c>
      <c r="J160" s="838" t="n">
        <v>0</v>
      </c>
      <c r="K160" s="838" t="n">
        <v>0</v>
      </c>
      <c r="T160" s="848" t="n"/>
      <c r="W160" s="845" t="n"/>
    </row>
    <row r="161">
      <c r="A161" s="155" t="inlineStr">
        <is>
          <t xml:space="preserve">   D.Afschrijvingen en waardevermi.     630      </t>
        </is>
      </c>
      <c r="B161" s="837" t="n">
        <v>0</v>
      </c>
      <c r="C161" s="837" t="n">
        <v>0</v>
      </c>
      <c r="D161" s="837" t="n">
        <v>0</v>
      </c>
      <c r="E161" s="837" t="n">
        <v>0</v>
      </c>
      <c r="F161" s="837" t="n">
        <v>223656.55</v>
      </c>
      <c r="G161" s="837" t="n">
        <v>0</v>
      </c>
      <c r="H161" s="837" t="n">
        <v>0</v>
      </c>
      <c r="I161" s="837" t="n">
        <v>0</v>
      </c>
      <c r="J161" s="838" t="n">
        <v>0</v>
      </c>
      <c r="K161" s="838" t="n">
        <v>0</v>
      </c>
      <c r="W161" s="845" t="n"/>
    </row>
    <row r="162">
      <c r="A162" s="155" t="inlineStr">
        <is>
          <t xml:space="preserve">   E.Waardevermind. op voorraden, b.i.u.    631/4    </t>
        </is>
      </c>
      <c r="B162" s="837" t="n">
        <v>0</v>
      </c>
      <c r="C162" s="837" t="n">
        <v>0</v>
      </c>
      <c r="D162" s="837" t="n">
        <v>0</v>
      </c>
      <c r="E162" s="837" t="n">
        <v>0</v>
      </c>
      <c r="F162" s="837" t="n">
        <v>0</v>
      </c>
      <c r="G162" s="837" t="n">
        <v>0</v>
      </c>
      <c r="H162" s="837" t="n">
        <v>0</v>
      </c>
      <c r="I162" s="837" t="n">
        <v>0</v>
      </c>
      <c r="J162" s="838" t="n">
        <v>0</v>
      </c>
      <c r="K162" s="838" t="n">
        <v>0</v>
      </c>
    </row>
    <row r="163" ht="13.2" customHeight="1">
      <c r="A163" s="155" t="inlineStr">
        <is>
          <t xml:space="preserve">   F.Voorz.vr risico's en kosten      635/7</t>
        </is>
      </c>
      <c r="B163" s="837" t="n">
        <v>0</v>
      </c>
      <c r="C163" s="837" t="n">
        <v>0</v>
      </c>
      <c r="D163" s="837" t="n">
        <v>0</v>
      </c>
      <c r="E163" s="837" t="n">
        <v>0</v>
      </c>
      <c r="F163" s="837" t="n">
        <v>0</v>
      </c>
      <c r="G163" s="837" t="n">
        <v>0</v>
      </c>
      <c r="H163" s="837" t="n">
        <v>0</v>
      </c>
      <c r="I163" s="837" t="n">
        <v>0</v>
      </c>
      <c r="J163" s="838" t="n">
        <v>0</v>
      </c>
      <c r="K163" s="838" t="n">
        <v>0</v>
      </c>
      <c r="S163" s="192" t="n"/>
      <c r="T163" s="846" t="n"/>
    </row>
    <row r="164">
      <c r="A164" s="155" t="inlineStr">
        <is>
          <t xml:space="preserve">   G.Andere bedrijfskosten            640/8</t>
        </is>
      </c>
      <c r="B164" s="837" t="n">
        <v>0</v>
      </c>
      <c r="C164" s="837" t="n">
        <v>0</v>
      </c>
      <c r="D164" s="837" t="n">
        <v>0</v>
      </c>
      <c r="E164" s="837" t="n">
        <v>0</v>
      </c>
      <c r="F164" s="837" t="n">
        <v>53366.25</v>
      </c>
      <c r="G164" s="837" t="n">
        <v>0</v>
      </c>
      <c r="H164" s="837" t="n">
        <v>0</v>
      </c>
      <c r="I164" s="837" t="n">
        <v>0</v>
      </c>
      <c r="J164" s="838" t="n">
        <v>0</v>
      </c>
      <c r="K164" s="838" t="n">
        <v>0</v>
      </c>
      <c r="T164" s="848" t="n"/>
    </row>
    <row r="165">
      <c r="A165" s="155" t="inlineStr">
        <is>
          <t xml:space="preserve">   H.Geactiveerde bedrijfskosten    (-)   649   </t>
        </is>
      </c>
      <c r="B165" s="837" t="n">
        <v>0</v>
      </c>
      <c r="C165" s="837" t="n">
        <v>0</v>
      </c>
      <c r="D165" s="837" t="n">
        <v>0</v>
      </c>
      <c r="E165" s="837" t="n">
        <v>0</v>
      </c>
      <c r="F165" s="837" t="n">
        <v>0</v>
      </c>
      <c r="G165" s="837" t="n">
        <v>0</v>
      </c>
      <c r="H165" s="837" t="n">
        <v>0</v>
      </c>
      <c r="I165" s="837" t="n">
        <v>0</v>
      </c>
      <c r="J165" s="838" t="n">
        <v>0</v>
      </c>
      <c r="K165" s="838" t="n">
        <v>0</v>
      </c>
      <c r="T165" s="844" t="n"/>
    </row>
    <row r="166">
      <c r="A166" s="155" t="inlineStr">
        <is>
          <t>                                            </t>
        </is>
      </c>
      <c r="B166" s="831" t="n"/>
      <c r="C166" s="831" t="n"/>
      <c r="D166" s="831" t="n"/>
      <c r="E166" s="831" t="n"/>
      <c r="F166" s="831" t="n"/>
      <c r="G166" s="831" t="n"/>
      <c r="H166" s="831" t="n"/>
      <c r="I166" s="831" t="n"/>
      <c r="J166" s="832" t="n"/>
      <c r="K166" s="832" t="n"/>
    </row>
    <row r="167" ht="13.8" customHeight="1">
      <c r="A167" s="168" t="inlineStr">
        <is>
          <t xml:space="preserve"> III.BEDRIJFSRESULTAAT+(-)          70/64</t>
        </is>
      </c>
      <c r="B167" s="849">
        <f>B147-B153</f>
        <v/>
      </c>
      <c r="C167" s="849">
        <f>C147-C153</f>
        <v/>
      </c>
      <c r="D167" s="849">
        <f>D147-D153</f>
        <v/>
      </c>
      <c r="E167" s="849">
        <f>E147-E153</f>
        <v/>
      </c>
      <c r="F167" s="849">
        <f>F147-F153</f>
        <v/>
      </c>
      <c r="G167" s="849">
        <f>G147-G153</f>
        <v/>
      </c>
      <c r="H167" s="849">
        <f>H147-H153</f>
        <v/>
      </c>
      <c r="I167" s="849">
        <f>I147-I153</f>
        <v/>
      </c>
      <c r="J167" s="850">
        <f>J147-J153</f>
        <v/>
      </c>
      <c r="K167" s="850">
        <f>K147-K153</f>
        <v/>
      </c>
    </row>
    <row r="168">
      <c r="A168" s="155" t="inlineStr">
        <is>
          <t>                                            </t>
        </is>
      </c>
      <c r="B168" s="831" t="n"/>
      <c r="C168" s="831" t="n"/>
      <c r="D168" s="831" t="n"/>
      <c r="E168" s="831" t="n"/>
      <c r="F168" s="831" t="n"/>
      <c r="G168" s="831" t="n"/>
      <c r="H168" s="831" t="n"/>
      <c r="I168" s="831" t="n"/>
      <c r="J168" s="832" t="n"/>
      <c r="K168" s="832" t="n"/>
    </row>
    <row r="169">
      <c r="A169" s="148" t="inlineStr">
        <is>
          <t xml:space="preserve">  IV.FINANCIELE OPBRENGSTEN              75</t>
        </is>
      </c>
      <c r="B169" s="835">
        <f>SUM(B170:B172)</f>
        <v/>
      </c>
      <c r="C169" s="835">
        <f>SUM(C170:C172)</f>
        <v/>
      </c>
      <c r="D169" s="835">
        <f>SUM(D170:D172)</f>
        <v/>
      </c>
      <c r="E169" s="835">
        <f>SUM(E170:E172)</f>
        <v/>
      </c>
      <c r="F169" s="835">
        <f>SUM(F170:F172)</f>
        <v/>
      </c>
      <c r="G169" s="835">
        <f>SUM(G170:G172)</f>
        <v/>
      </c>
      <c r="H169" s="835">
        <f>SUM(H170:H172)</f>
        <v/>
      </c>
      <c r="I169" s="835">
        <f>SUM(I170:I172)</f>
        <v/>
      </c>
      <c r="J169" s="836">
        <f>SUM(J170:J172)</f>
        <v/>
      </c>
      <c r="K169" s="836">
        <f>SUM(K170:K172)</f>
        <v/>
      </c>
    </row>
    <row r="170">
      <c r="A170" s="155" t="inlineStr">
        <is>
          <t xml:space="preserve">   A.Opbrengsten uit fin. vaste activa  750</t>
        </is>
      </c>
      <c r="B170" s="837" t="n">
        <v>0</v>
      </c>
      <c r="C170" s="837" t="n">
        <v>0</v>
      </c>
      <c r="D170" s="837" t="n">
        <v>0</v>
      </c>
      <c r="E170" s="837" t="n">
        <v>0</v>
      </c>
      <c r="F170" s="837" t="n">
        <v>0</v>
      </c>
      <c r="G170" s="837" t="n">
        <v>0</v>
      </c>
      <c r="H170" s="837" t="n">
        <v>0</v>
      </c>
      <c r="I170" s="837" t="n">
        <v>0</v>
      </c>
      <c r="J170" s="838" t="n">
        <v>0</v>
      </c>
      <c r="K170" s="838" t="n">
        <v>0</v>
      </c>
    </row>
    <row r="171">
      <c r="A171" s="155" t="inlineStr">
        <is>
          <t xml:space="preserve">   B.Opbrengsten uit vlottende activa   751</t>
        </is>
      </c>
      <c r="B171" s="837" t="n">
        <v>0</v>
      </c>
      <c r="C171" s="837" t="n">
        <v>0</v>
      </c>
      <c r="D171" s="837" t="n">
        <v>0</v>
      </c>
      <c r="E171" s="837" t="n">
        <v>0</v>
      </c>
      <c r="F171" s="837" t="n">
        <v>0</v>
      </c>
      <c r="G171" s="837" t="n">
        <v>0</v>
      </c>
      <c r="H171" s="837" t="n">
        <v>0</v>
      </c>
      <c r="I171" s="837" t="n">
        <v>0</v>
      </c>
      <c r="J171" s="838" t="n">
        <v>0</v>
      </c>
      <c r="K171" s="838" t="n">
        <v>0</v>
      </c>
    </row>
    <row r="172">
      <c r="A172" s="155" t="inlineStr">
        <is>
          <t xml:space="preserve">   C.Andere financiele opbrengsten    752/9</t>
        </is>
      </c>
      <c r="B172" s="837" t="n">
        <v>0</v>
      </c>
      <c r="C172" s="837" t="n">
        <v>0</v>
      </c>
      <c r="D172" s="837" t="n">
        <v>0</v>
      </c>
      <c r="E172" s="837" t="n">
        <v>0</v>
      </c>
      <c r="F172" s="837" t="n">
        <v>10020.57</v>
      </c>
      <c r="G172" s="837" t="n">
        <v>0</v>
      </c>
      <c r="H172" s="837" t="n">
        <v>0</v>
      </c>
      <c r="I172" s="837" t="n">
        <v>0</v>
      </c>
      <c r="J172" s="838" t="n">
        <v>0</v>
      </c>
      <c r="K172" s="838" t="n">
        <v>0</v>
      </c>
      <c r="T172" s="848" t="n"/>
    </row>
    <row r="173">
      <c r="A173" s="155" t="inlineStr">
        <is>
          <t>                                            </t>
        </is>
      </c>
      <c r="B173" s="837" t="n"/>
      <c r="C173" s="831" t="n"/>
      <c r="D173" s="837" t="n"/>
      <c r="E173" s="837" t="n"/>
      <c r="F173" s="837" t="n"/>
      <c r="G173" s="837" t="n"/>
      <c r="H173" s="837" t="n"/>
      <c r="I173" s="837" t="n"/>
      <c r="J173" s="838" t="n"/>
      <c r="K173" s="838" t="n"/>
      <c r="S173" s="194" t="n"/>
      <c r="T173" s="194" t="n"/>
    </row>
    <row r="174">
      <c r="A174" s="148" t="inlineStr">
        <is>
          <t xml:space="preserve">   V.FINANCIELE KOSTEN  (-)              65</t>
        </is>
      </c>
      <c r="B174" s="835">
        <f>SUM(B175:B177)</f>
        <v/>
      </c>
      <c r="C174" s="835">
        <f>SUM(C175:C177)</f>
        <v/>
      </c>
      <c r="D174" s="835">
        <f>SUM(D175:D177)</f>
        <v/>
      </c>
      <c r="E174" s="835">
        <f>SUM(E175:E177)</f>
        <v/>
      </c>
      <c r="F174" s="835">
        <f>SUM(F175:F177)</f>
        <v/>
      </c>
      <c r="G174" s="835">
        <f>SUM(G175:G177)</f>
        <v/>
      </c>
      <c r="H174" s="835">
        <f>SUM(H175:H177)</f>
        <v/>
      </c>
      <c r="I174" s="835">
        <f>SUM(I175:I177)</f>
        <v/>
      </c>
      <c r="J174" s="836">
        <f>SUM(J175:J177)</f>
        <v/>
      </c>
      <c r="K174" s="836">
        <f>SUM(K175:K177)</f>
        <v/>
      </c>
    </row>
    <row r="175">
      <c r="A175" s="155" t="inlineStr">
        <is>
          <t xml:space="preserve">   A.Kosten van schulden                650</t>
        </is>
      </c>
      <c r="B175" s="837" t="n">
        <v>0</v>
      </c>
      <c r="C175" s="837" t="n">
        <v>0</v>
      </c>
      <c r="D175" s="837" t="n">
        <v>0</v>
      </c>
      <c r="E175" s="837" t="n">
        <v>0</v>
      </c>
      <c r="F175" s="837" t="n">
        <v>113751.44</v>
      </c>
      <c r="G175" s="837" t="n">
        <v>0</v>
      </c>
      <c r="H175" s="837" t="n">
        <v>0</v>
      </c>
      <c r="I175" s="837" t="n">
        <v>0</v>
      </c>
      <c r="J175" s="838" t="n">
        <v>0</v>
      </c>
      <c r="K175" s="838" t="n">
        <v>0</v>
      </c>
      <c r="T175" s="845" t="n"/>
      <c r="U175" s="845" t="n"/>
      <c r="V175" s="194" t="n"/>
    </row>
    <row r="176">
      <c r="A176" s="155" t="inlineStr">
        <is>
          <t xml:space="preserve">   B.Waardeverminderingen op vlottende act.   </t>
        </is>
      </c>
      <c r="B176" s="837" t="n">
        <v>0</v>
      </c>
      <c r="C176" s="837" t="n">
        <v>0</v>
      </c>
      <c r="D176" s="837" t="n">
        <v>0</v>
      </c>
      <c r="E176" s="837" t="n">
        <v>0</v>
      </c>
      <c r="F176" s="837" t="n">
        <v>0</v>
      </c>
      <c r="G176" s="837" t="n">
        <v>0</v>
      </c>
      <c r="H176" s="837" t="n">
        <v>0</v>
      </c>
      <c r="I176" s="837" t="n">
        <v>0</v>
      </c>
      <c r="J176" s="838" t="n">
        <v>0</v>
      </c>
      <c r="K176" s="838" t="n">
        <v>0</v>
      </c>
    </row>
    <row r="177">
      <c r="A177" s="155" t="inlineStr">
        <is>
          <t xml:space="preserve">   C.Andere financiele kosten         652/9</t>
        </is>
      </c>
      <c r="B177" s="837" t="n">
        <v>0</v>
      </c>
      <c r="C177" s="837" t="n">
        <v>0</v>
      </c>
      <c r="D177" s="837" t="n">
        <v>0</v>
      </c>
      <c r="E177" s="837" t="n">
        <v>0</v>
      </c>
      <c r="F177" s="837" t="n">
        <v>9858.709999999999</v>
      </c>
      <c r="G177" s="837" t="n">
        <v>0</v>
      </c>
      <c r="H177" s="837" t="n">
        <v>0</v>
      </c>
      <c r="I177" s="837" t="n">
        <v>0</v>
      </c>
      <c r="J177" s="838" t="n">
        <v>0</v>
      </c>
      <c r="K177" s="838" t="n">
        <v>0</v>
      </c>
    </row>
    <row r="178">
      <c r="A178" s="155" t="inlineStr">
        <is>
          <t>                                            </t>
        </is>
      </c>
      <c r="B178" s="831" t="n"/>
      <c r="C178" s="831" t="n"/>
      <c r="D178" s="831" t="n"/>
      <c r="E178" s="831" t="n"/>
      <c r="F178" s="831" t="n"/>
      <c r="G178" s="831" t="n"/>
      <c r="H178" s="831" t="n"/>
      <c r="I178" s="831" t="n"/>
      <c r="J178" s="832" t="n"/>
      <c r="K178" s="832" t="n"/>
    </row>
    <row r="179" ht="13.8" customHeight="1">
      <c r="A179" s="168" t="inlineStr">
        <is>
          <t xml:space="preserve">  VI.COURANT RESULTAAT  VR. BELAST.  (+)  70/65</t>
        </is>
      </c>
      <c r="B179" s="849">
        <f>B167+B169-B174</f>
        <v/>
      </c>
      <c r="C179" s="849">
        <f>C167+C169-C174</f>
        <v/>
      </c>
      <c r="D179" s="849">
        <f>D167+D169-D174</f>
        <v/>
      </c>
      <c r="E179" s="849">
        <f>E167+E169-E174</f>
        <v/>
      </c>
      <c r="F179" s="849">
        <f>F167+F169-F174</f>
        <v/>
      </c>
      <c r="G179" s="849">
        <f>G167+G169-G174</f>
        <v/>
      </c>
      <c r="H179" s="849">
        <f>H167+H169-H174</f>
        <v/>
      </c>
      <c r="I179" s="849">
        <f>I167+I169-I174</f>
        <v/>
      </c>
      <c r="J179" s="850">
        <f>J167+J169-J174</f>
        <v/>
      </c>
      <c r="K179" s="850">
        <f>K167+K169-K174</f>
        <v/>
      </c>
    </row>
    <row r="180">
      <c r="A180" s="155" t="inlineStr">
        <is>
          <t>                                            </t>
        </is>
      </c>
      <c r="B180" s="831" t="n"/>
      <c r="C180" s="831" t="n"/>
      <c r="D180" s="831" t="n"/>
      <c r="E180" s="831" t="n"/>
      <c r="F180" s="831" t="n"/>
      <c r="G180" s="831" t="n"/>
      <c r="H180" s="831" t="n"/>
      <c r="I180" s="831" t="n"/>
      <c r="J180" s="832" t="n"/>
      <c r="K180" s="832" t="n"/>
      <c r="T180" s="848" t="n"/>
    </row>
    <row r="181">
      <c r="A181" s="148" t="inlineStr">
        <is>
          <t xml:space="preserve"> VII.UITZONDERLIJKE OPBRENGSTEN          76</t>
        </is>
      </c>
      <c r="B181" s="835">
        <f>SUM(B182:B186)</f>
        <v/>
      </c>
      <c r="C181" s="835">
        <f>SUM(C182:C186)</f>
        <v/>
      </c>
      <c r="D181" s="835">
        <f>SUM(D182:D186)</f>
        <v/>
      </c>
      <c r="E181" s="835">
        <f>SUM(E182:E186)</f>
        <v/>
      </c>
      <c r="F181" s="835">
        <f>SUM(F182:F186)</f>
        <v/>
      </c>
      <c r="G181" s="835">
        <f>SUM(G182:G186)</f>
        <v/>
      </c>
      <c r="H181" s="835">
        <f>SUM(H182:H186)</f>
        <v/>
      </c>
      <c r="I181" s="835">
        <f>SUM(I182:I186)</f>
        <v/>
      </c>
      <c r="J181" s="836">
        <f>SUM(J182:J186)</f>
        <v/>
      </c>
      <c r="K181" s="836">
        <f>SUM(K182:K186)</f>
        <v/>
      </c>
    </row>
    <row r="182">
      <c r="A182" s="155" t="inlineStr">
        <is>
          <t xml:space="preserve">   A.Terugnem. afschr.en waardevermind. (im)mat.v.a.  760  </t>
        </is>
      </c>
      <c r="B182" s="837" t="n">
        <v>0</v>
      </c>
      <c r="C182" s="837" t="n">
        <v>0</v>
      </c>
      <c r="D182" s="837" t="n">
        <v>0</v>
      </c>
      <c r="E182" s="837" t="n">
        <v>0</v>
      </c>
      <c r="F182" s="837" t="n">
        <v>0</v>
      </c>
      <c r="G182" s="837" t="n">
        <v>0</v>
      </c>
      <c r="H182" s="837" t="n">
        <v>0</v>
      </c>
      <c r="I182" s="837" t="n">
        <v>0</v>
      </c>
      <c r="J182" s="838" t="n">
        <v>0</v>
      </c>
      <c r="K182" s="838" t="n">
        <v>0</v>
      </c>
      <c r="T182" s="845" t="n"/>
      <c r="V182" s="845" t="n"/>
    </row>
    <row r="183">
      <c r="A183" s="155" t="inlineStr">
        <is>
          <t xml:space="preserve">   B.Terugneming waardeverm.op fin.v.a. 761         </t>
        </is>
      </c>
      <c r="B183" s="837" t="n">
        <v>0</v>
      </c>
      <c r="C183" s="837" t="n">
        <v>0</v>
      </c>
      <c r="D183" s="837" t="n">
        <v>0</v>
      </c>
      <c r="E183" s="837" t="n">
        <v>0</v>
      </c>
      <c r="F183" s="837" t="n">
        <v>0</v>
      </c>
      <c r="G183" s="837" t="n">
        <v>0</v>
      </c>
      <c r="H183" s="837" t="n">
        <v>0</v>
      </c>
      <c r="I183" s="837" t="n">
        <v>0</v>
      </c>
      <c r="J183" s="838" t="n">
        <v>0</v>
      </c>
      <c r="K183" s="838" t="n">
        <v>0</v>
      </c>
    </row>
    <row r="184">
      <c r="A184" s="155" t="inlineStr">
        <is>
          <t xml:space="preserve">   C.Terugnem. voorz.vr uitz. kosten    762         </t>
        </is>
      </c>
      <c r="B184" s="837" t="n">
        <v>0</v>
      </c>
      <c r="C184" s="837" t="n">
        <v>0</v>
      </c>
      <c r="D184" s="837" t="n">
        <v>0</v>
      </c>
      <c r="E184" s="837" t="n">
        <v>0</v>
      </c>
      <c r="F184" s="837" t="n">
        <v>0</v>
      </c>
      <c r="G184" s="837" t="n">
        <v>0</v>
      </c>
      <c r="H184" s="837" t="n">
        <v>0</v>
      </c>
      <c r="I184" s="837" t="n">
        <v>0</v>
      </c>
      <c r="J184" s="838" t="n">
        <v>0</v>
      </c>
      <c r="K184" s="838" t="n">
        <v>0</v>
      </c>
    </row>
    <row r="185">
      <c r="A185" s="155" t="inlineStr">
        <is>
          <t xml:space="preserve">   D.Meerwaarde bij realis. vaste act.  763</t>
        </is>
      </c>
      <c r="B185" s="837" t="n">
        <v>0</v>
      </c>
      <c r="C185" s="837" t="n">
        <v>0</v>
      </c>
      <c r="D185" s="837" t="n">
        <v>0</v>
      </c>
      <c r="E185" s="837" t="n">
        <v>0</v>
      </c>
      <c r="F185" s="837" t="n">
        <v>0</v>
      </c>
      <c r="G185" s="837" t="n">
        <v>0</v>
      </c>
      <c r="H185" s="837" t="n">
        <v>0</v>
      </c>
      <c r="I185" s="837" t="n">
        <v>0</v>
      </c>
      <c r="J185" s="838" t="n">
        <v>0</v>
      </c>
      <c r="K185" s="838" t="n">
        <v>0</v>
      </c>
    </row>
    <row r="186">
      <c r="A186" s="155" t="inlineStr">
        <is>
          <t xml:space="preserve">   E.And. uitzonderlijke opbrengsten  764/9</t>
        </is>
      </c>
      <c r="B186" s="837" t="n">
        <v>0</v>
      </c>
      <c r="C186" s="837" t="n">
        <v>0</v>
      </c>
      <c r="D186" s="837" t="n">
        <v>0</v>
      </c>
      <c r="E186" s="837" t="n">
        <v>0</v>
      </c>
      <c r="F186" s="837" t="n">
        <v>163.97</v>
      </c>
      <c r="G186" s="837" t="n">
        <v>0</v>
      </c>
      <c r="H186" s="837" t="n">
        <v>0</v>
      </c>
      <c r="I186" s="837" t="n">
        <v>0</v>
      </c>
      <c r="J186" s="838" t="n">
        <v>0</v>
      </c>
      <c r="K186" s="838" t="n">
        <v>0</v>
      </c>
    </row>
    <row r="187">
      <c r="A187" s="155" t="inlineStr">
        <is>
          <t>                                            </t>
        </is>
      </c>
      <c r="B187" s="831" t="n"/>
      <c r="C187" s="831" t="n"/>
      <c r="D187" s="831" t="n"/>
      <c r="E187" s="831" t="n"/>
      <c r="F187" s="831" t="n"/>
      <c r="G187" s="831" t="n"/>
      <c r="H187" s="831" t="n"/>
      <c r="I187" s="831" t="n"/>
      <c r="J187" s="832" t="n"/>
      <c r="K187" s="832" t="n"/>
    </row>
    <row r="188">
      <c r="A188" s="148" t="inlineStr">
        <is>
          <t>VIII.UITZONDERLIJKE KOSTEN  (-)          66</t>
        </is>
      </c>
      <c r="B188" s="835">
        <f>SUM(B189:B194)</f>
        <v/>
      </c>
      <c r="C188" s="835">
        <f>SUM(C189:C194)</f>
        <v/>
      </c>
      <c r="D188" s="835">
        <f>SUM(D189:D194)</f>
        <v/>
      </c>
      <c r="E188" s="835">
        <f>SUM(E189:E194)</f>
        <v/>
      </c>
      <c r="F188" s="835">
        <f>SUM(F189:F194)</f>
        <v/>
      </c>
      <c r="G188" s="835">
        <f>SUM(G189:G194)</f>
        <v/>
      </c>
      <c r="H188" s="835">
        <f>SUM(H189:H194)</f>
        <v/>
      </c>
      <c r="I188" s="835">
        <f>SUM(I189:I194)</f>
        <v/>
      </c>
      <c r="J188" s="836">
        <f>SUM(J189:J194)</f>
        <v/>
      </c>
      <c r="K188" s="836">
        <f>SUM(K189:K194)</f>
        <v/>
      </c>
      <c r="T188" s="845" t="n"/>
      <c r="U188" s="845" t="n"/>
    </row>
    <row r="189">
      <c r="A189" s="155" t="inlineStr">
        <is>
          <t xml:space="preserve">  A.Uitz. afschrijvingen                660</t>
        </is>
      </c>
      <c r="B189" s="837" t="n">
        <v>0</v>
      </c>
      <c r="C189" s="837" t="n">
        <v>0</v>
      </c>
      <c r="D189" s="837" t="n">
        <v>0</v>
      </c>
      <c r="E189" s="837" t="n">
        <v>0</v>
      </c>
      <c r="F189" s="837" t="n">
        <v>0</v>
      </c>
      <c r="G189" s="837" t="n">
        <v>0</v>
      </c>
      <c r="H189" s="837" t="n">
        <v>0</v>
      </c>
      <c r="I189" s="837" t="n">
        <v>0</v>
      </c>
      <c r="J189" s="838" t="n">
        <v>0</v>
      </c>
      <c r="K189" s="838" t="n">
        <v>0</v>
      </c>
      <c r="T189" s="844" t="n"/>
    </row>
    <row r="190">
      <c r="A190" s="155" t="inlineStr">
        <is>
          <t xml:space="preserve">  B.Waardeverminder. op fin. vaste act. 661</t>
        </is>
      </c>
      <c r="B190" s="837" t="n">
        <v>0</v>
      </c>
      <c r="C190" s="837" t="n">
        <v>0</v>
      </c>
      <c r="D190" s="837" t="n">
        <v>0</v>
      </c>
      <c r="E190" s="837" t="n">
        <v>0</v>
      </c>
      <c r="F190" s="837" t="n">
        <v>0</v>
      </c>
      <c r="G190" s="837" t="n">
        <v>0</v>
      </c>
      <c r="H190" s="837" t="n">
        <v>0</v>
      </c>
      <c r="I190" s="837" t="n">
        <v>0</v>
      </c>
      <c r="J190" s="838" t="n">
        <v>0</v>
      </c>
      <c r="K190" s="838" t="n">
        <v>0</v>
      </c>
      <c r="T190" s="844" t="n"/>
    </row>
    <row r="191">
      <c r="A191" s="155" t="inlineStr">
        <is>
          <t xml:space="preserve">  C.Voorz. vr uitz. risico's en kosten  662</t>
        </is>
      </c>
      <c r="B191" s="837" t="n">
        <v>0</v>
      </c>
      <c r="C191" s="837" t="n">
        <v>0</v>
      </c>
      <c r="D191" s="837" t="n">
        <v>0</v>
      </c>
      <c r="E191" s="837" t="n">
        <v>0</v>
      </c>
      <c r="F191" s="837" t="n">
        <v>0</v>
      </c>
      <c r="G191" s="837" t="n">
        <v>0</v>
      </c>
      <c r="H191" s="837" t="n">
        <v>0</v>
      </c>
      <c r="I191" s="837" t="n">
        <v>0</v>
      </c>
      <c r="J191" s="838" t="n">
        <v>0</v>
      </c>
      <c r="K191" s="838" t="n">
        <v>0</v>
      </c>
      <c r="T191" s="844" t="n"/>
    </row>
    <row r="192">
      <c r="A192" s="155" t="inlineStr">
        <is>
          <t xml:space="preserve">  D.Minderw. bij realisatie vaste act.  663</t>
        </is>
      </c>
      <c r="B192" s="837" t="n">
        <v>0</v>
      </c>
      <c r="C192" s="837" t="n">
        <v>0</v>
      </c>
      <c r="D192" s="837" t="n">
        <v>0</v>
      </c>
      <c r="E192" s="837" t="n">
        <v>0</v>
      </c>
      <c r="F192" s="837" t="n">
        <v>0</v>
      </c>
      <c r="G192" s="837" t="n">
        <v>0</v>
      </c>
      <c r="H192" s="837" t="n">
        <v>0</v>
      </c>
      <c r="I192" s="837" t="n">
        <v>0</v>
      </c>
      <c r="J192" s="838" t="n">
        <v>0</v>
      </c>
      <c r="K192" s="838" t="n">
        <v>0</v>
      </c>
    </row>
    <row r="193">
      <c r="A193" s="155" t="inlineStr">
        <is>
          <t xml:space="preserve">  E.Andere uitzonderlijke kosten      664/8</t>
        </is>
      </c>
      <c r="B193" s="837" t="n">
        <v>0</v>
      </c>
      <c r="C193" s="837" t="n">
        <v>0</v>
      </c>
      <c r="D193" s="837" t="n">
        <v>0</v>
      </c>
      <c r="E193" s="837" t="n">
        <v>0</v>
      </c>
      <c r="F193" s="837" t="n">
        <v>30000</v>
      </c>
      <c r="G193" s="837" t="n">
        <v>0</v>
      </c>
      <c r="H193" s="837" t="n">
        <v>0</v>
      </c>
      <c r="I193" s="837" t="n">
        <v>0</v>
      </c>
      <c r="J193" s="838" t="n">
        <v>0</v>
      </c>
      <c r="K193" s="838" t="n">
        <v>0</v>
      </c>
    </row>
    <row r="194">
      <c r="A194" s="155" t="inlineStr">
        <is>
          <t xml:space="preserve">  F.Geactiveerde uitzonderlijke kosten  (-)  669  </t>
        </is>
      </c>
      <c r="B194" s="837" t="n">
        <v>0</v>
      </c>
      <c r="C194" s="837" t="n">
        <v>0</v>
      </c>
      <c r="D194" s="837" t="n">
        <v>0</v>
      </c>
      <c r="E194" s="837" t="n">
        <v>0</v>
      </c>
      <c r="F194" s="837" t="n">
        <v>0</v>
      </c>
      <c r="G194" s="837" t="n">
        <v>0</v>
      </c>
      <c r="H194" s="837" t="n">
        <v>0</v>
      </c>
      <c r="I194" s="837" t="n">
        <v>0</v>
      </c>
      <c r="J194" s="838" t="n">
        <v>0</v>
      </c>
      <c r="K194" s="838" t="n">
        <v>0</v>
      </c>
    </row>
    <row r="195">
      <c r="A195" s="155" t="inlineStr">
        <is>
          <t>                                            </t>
        </is>
      </c>
      <c r="B195" s="831" t="n"/>
      <c r="C195" s="831" t="n"/>
      <c r="D195" s="831" t="n"/>
      <c r="E195" s="831" t="n"/>
      <c r="F195" s="831" t="n"/>
      <c r="G195" s="831" t="n"/>
      <c r="H195" s="831" t="n"/>
      <c r="I195" s="831" t="n"/>
      <c r="J195" s="832" t="n"/>
      <c r="K195" s="832" t="n"/>
    </row>
    <row r="196" ht="13.8" customHeight="1">
      <c r="A196" s="168" t="inlineStr">
        <is>
          <t>IX.RESULTAAT VH BOEKJR VOOR BELASTING (+) 70/66</t>
        </is>
      </c>
      <c r="B196" s="849">
        <f>B179+B181-B188</f>
        <v/>
      </c>
      <c r="C196" s="849">
        <f>C179+C181-C188</f>
        <v/>
      </c>
      <c r="D196" s="849">
        <f>D179+D181-D188</f>
        <v/>
      </c>
      <c r="E196" s="849">
        <f>E179+E181-E188</f>
        <v/>
      </c>
      <c r="F196" s="849">
        <f>F179+F181-F188</f>
        <v/>
      </c>
      <c r="G196" s="849">
        <f>G179+G181-G188</f>
        <v/>
      </c>
      <c r="H196" s="849">
        <f>H179+H181-H188</f>
        <v/>
      </c>
      <c r="I196" s="849">
        <f>I179+I181-I188</f>
        <v/>
      </c>
      <c r="J196" s="850">
        <f>J179+J181-J188</f>
        <v/>
      </c>
      <c r="K196" s="850">
        <f>K179+K181-K188</f>
        <v/>
      </c>
    </row>
    <row r="197" ht="13.8" customHeight="1">
      <c r="A197" s="168" t="n"/>
      <c r="B197" s="168" t="n"/>
      <c r="C197" s="168" t="n"/>
      <c r="D197" s="168" t="n"/>
      <c r="E197" s="168" t="n"/>
      <c r="F197" s="168" t="n"/>
      <c r="G197" s="168" t="n"/>
      <c r="H197" s="168" t="n"/>
      <c r="I197" s="168" t="n"/>
      <c r="J197" s="168" t="n"/>
      <c r="K197" s="168" t="n"/>
    </row>
    <row r="198" ht="13.2" customFormat="1" customHeight="1" s="159">
      <c r="A198" s="189" t="n"/>
      <c r="B198" s="157">
        <f>B7</f>
        <v/>
      </c>
      <c r="C198" s="157">
        <f>C7</f>
        <v/>
      </c>
      <c r="D198" s="157">
        <f>D7</f>
        <v/>
      </c>
      <c r="E198" s="157">
        <f>E7</f>
        <v/>
      </c>
      <c r="F198" s="157">
        <f>F7</f>
        <v/>
      </c>
      <c r="G198" s="157">
        <f>G7</f>
        <v/>
      </c>
      <c r="H198" s="157">
        <f>H7</f>
        <v/>
      </c>
      <c r="I198" s="157">
        <f>I7</f>
        <v/>
      </c>
      <c r="J198" s="158">
        <f>J7</f>
        <v/>
      </c>
      <c r="K198" s="158">
        <f>K7</f>
        <v/>
      </c>
    </row>
    <row r="199">
      <c r="A199" s="155" t="n"/>
      <c r="B199" s="183" t="n"/>
      <c r="C199" s="183" t="n"/>
      <c r="D199" s="183" t="n"/>
      <c r="E199" s="183" t="n"/>
      <c r="F199" s="183" t="n"/>
      <c r="G199" s="183" t="n"/>
      <c r="H199" s="183" t="n"/>
      <c r="I199" s="183" t="n"/>
      <c r="J199" s="184" t="n"/>
      <c r="K199" s="184" t="n"/>
    </row>
    <row r="200" ht="13.8" customHeight="1">
      <c r="A200" s="168" t="n"/>
      <c r="B200" s="199" t="n"/>
      <c r="C200" s="199" t="n"/>
      <c r="D200" s="199" t="n"/>
      <c r="E200" s="199" t="n"/>
      <c r="F200" s="199" t="n"/>
      <c r="G200" s="199" t="n"/>
      <c r="H200" s="199" t="n"/>
      <c r="I200" s="199" t="n"/>
      <c r="J200" s="200" t="n"/>
      <c r="K200" s="200" t="n"/>
    </row>
    <row r="201" ht="13.8" customHeight="1">
      <c r="A201" s="168" t="n"/>
      <c r="B201" s="199" t="n"/>
      <c r="C201" s="199" t="n"/>
      <c r="D201" s="199" t="n"/>
      <c r="E201" s="199" t="n"/>
      <c r="F201" s="199" t="n"/>
      <c r="G201" s="199" t="n"/>
      <c r="H201" s="199" t="n"/>
      <c r="I201" s="199" t="n"/>
      <c r="J201" s="200" t="n"/>
      <c r="K201" s="200" t="n"/>
    </row>
    <row r="202" ht="13.8" customHeight="1">
      <c r="A202" s="168" t="inlineStr">
        <is>
          <t>IX.RESULTAAT VH BOEKJR VOOR BELASTING (+) 70/66</t>
        </is>
      </c>
      <c r="B202" s="849">
        <f>B196</f>
        <v/>
      </c>
      <c r="C202" s="849">
        <f>C196</f>
        <v/>
      </c>
      <c r="D202" s="849">
        <f>D196</f>
        <v/>
      </c>
      <c r="E202" s="849">
        <f>E196</f>
        <v/>
      </c>
      <c r="F202" s="849">
        <f>F196</f>
        <v/>
      </c>
      <c r="G202" s="849">
        <f>G196</f>
        <v/>
      </c>
      <c r="H202" s="849">
        <f>H196</f>
        <v/>
      </c>
      <c r="I202" s="849">
        <f>I196</f>
        <v/>
      </c>
      <c r="J202" s="850">
        <f>J196</f>
        <v/>
      </c>
      <c r="K202" s="850">
        <f>K196</f>
        <v/>
      </c>
    </row>
    <row r="203" ht="13.8" customHeight="1">
      <c r="A203" s="168" t="n"/>
      <c r="B203" s="851" t="n"/>
      <c r="C203" s="851" t="n"/>
      <c r="D203" s="851" t="n"/>
      <c r="E203" s="851" t="n"/>
      <c r="F203" s="851" t="n"/>
      <c r="G203" s="851" t="n"/>
      <c r="H203" s="851" t="n"/>
      <c r="I203" s="851" t="n"/>
      <c r="J203" s="852" t="n"/>
      <c r="K203" s="852" t="n"/>
    </row>
    <row r="204">
      <c r="A204" s="155" t="inlineStr">
        <is>
          <t xml:space="preserve"> IX.bis.A.Onttrek. a/d uitg.belast. (+) 780</t>
        </is>
      </c>
      <c r="B204" s="837" t="n">
        <v>0</v>
      </c>
      <c r="C204" s="837" t="n">
        <v>0</v>
      </c>
      <c r="D204" s="837" t="n">
        <v>0</v>
      </c>
      <c r="E204" s="837" t="n">
        <v>0</v>
      </c>
      <c r="F204" s="837" t="n">
        <v>0</v>
      </c>
      <c r="G204" s="837" t="n">
        <v>0</v>
      </c>
      <c r="H204" s="837" t="n">
        <v>0</v>
      </c>
      <c r="I204" s="837" t="n">
        <v>0</v>
      </c>
      <c r="J204" s="838" t="n">
        <v>0</v>
      </c>
      <c r="K204" s="838" t="n">
        <v>0</v>
      </c>
    </row>
    <row r="205">
      <c r="A205" s="155" t="inlineStr">
        <is>
          <t xml:space="preserve">        B.Overboek. n/d uitg.belast.(-) 680</t>
        </is>
      </c>
      <c r="B205" s="837" t="n">
        <v>0</v>
      </c>
      <c r="C205" s="837" t="n">
        <v>0</v>
      </c>
      <c r="D205" s="837" t="n">
        <v>0</v>
      </c>
      <c r="E205" s="837" t="n">
        <v>0</v>
      </c>
      <c r="F205" s="837" t="n">
        <v>0</v>
      </c>
      <c r="G205" s="837" t="n">
        <v>0</v>
      </c>
      <c r="H205" s="837" t="n">
        <v>0</v>
      </c>
      <c r="I205" s="837" t="n">
        <v>0</v>
      </c>
      <c r="J205" s="838" t="n">
        <v>0</v>
      </c>
      <c r="K205" s="838" t="n">
        <v>0</v>
      </c>
    </row>
    <row r="206">
      <c r="A206" s="155" t="inlineStr">
        <is>
          <t>                                            </t>
        </is>
      </c>
      <c r="B206" s="831" t="n"/>
      <c r="C206" s="831" t="n"/>
      <c r="D206" s="831" t="n"/>
      <c r="E206" s="831" t="n"/>
      <c r="F206" s="831" t="n"/>
      <c r="G206" s="831" t="n"/>
      <c r="H206" s="831" t="n"/>
      <c r="I206" s="831" t="n"/>
      <c r="J206" s="832" t="n"/>
      <c r="K206" s="832" t="n"/>
    </row>
    <row r="207">
      <c r="A207" s="148" t="inlineStr">
        <is>
          <t>X.BELASTINGEN OP HET RESULTAAT (-)(+) 67/77</t>
        </is>
      </c>
      <c r="B207" s="835">
        <f>B208+B210</f>
        <v/>
      </c>
      <c r="C207" s="835">
        <f>C208+C210</f>
        <v/>
      </c>
      <c r="D207" s="835">
        <f>D208+D210</f>
        <v/>
      </c>
      <c r="E207" s="835">
        <f>E208+E210</f>
        <v/>
      </c>
      <c r="F207" s="835">
        <f>F208+F210</f>
        <v/>
      </c>
      <c r="G207" s="835">
        <f>G208+G210</f>
        <v/>
      </c>
      <c r="H207" s="835">
        <f>H208+H210</f>
        <v/>
      </c>
      <c r="I207" s="835">
        <f>I208+I210</f>
        <v/>
      </c>
      <c r="J207" s="836">
        <f>J208+J210</f>
        <v/>
      </c>
      <c r="K207" s="836">
        <f>K208+K210</f>
        <v/>
      </c>
    </row>
    <row r="208">
      <c r="A208" s="155" t="inlineStr">
        <is>
          <t xml:space="preserve">   A.Belastingen  (-)                 670/3</t>
        </is>
      </c>
      <c r="B208" s="837" t="n">
        <v>0</v>
      </c>
      <c r="C208" s="837" t="n">
        <v>0</v>
      </c>
      <c r="D208" s="837" t="n">
        <v>0</v>
      </c>
      <c r="E208" s="837" t="n">
        <v>0</v>
      </c>
      <c r="F208" s="837" t="n">
        <v>0</v>
      </c>
      <c r="G208" s="837" t="n">
        <v>0</v>
      </c>
      <c r="H208" s="837" t="n">
        <v>0</v>
      </c>
      <c r="I208" s="837" t="n">
        <v>0</v>
      </c>
      <c r="J208" s="838" t="n">
        <v>0</v>
      </c>
      <c r="K208" s="838" t="n">
        <v>0</v>
      </c>
    </row>
    <row r="209">
      <c r="A209" s="155" t="inlineStr">
        <is>
          <t xml:space="preserve">   B.Regulariser. vn belast. &amp; terugne-     </t>
        </is>
      </c>
      <c r="B209" s="831" t="n"/>
      <c r="C209" s="831" t="n"/>
      <c r="D209" s="831" t="n"/>
      <c r="E209" s="831" t="n"/>
      <c r="F209" s="831" t="n"/>
      <c r="G209" s="831" t="n"/>
      <c r="H209" s="831" t="n"/>
      <c r="I209" s="831" t="n"/>
      <c r="J209" s="832" t="n"/>
      <c r="K209" s="832" t="n"/>
    </row>
    <row r="210">
      <c r="A210" s="155" t="inlineStr">
        <is>
          <t xml:space="preserve">     mingen vn voorziening. voor belast. 77</t>
        </is>
      </c>
      <c r="B210" s="837" t="n">
        <v>0</v>
      </c>
      <c r="C210" s="837" t="n">
        <v>0</v>
      </c>
      <c r="D210" s="837" t="n">
        <v>0</v>
      </c>
      <c r="E210" s="837" t="n">
        <v>0</v>
      </c>
      <c r="F210" s="837" t="n">
        <v>0</v>
      </c>
      <c r="G210" s="837" t="n">
        <v>0</v>
      </c>
      <c r="H210" s="837" t="n">
        <v>0</v>
      </c>
      <c r="I210" s="837" t="n">
        <v>0</v>
      </c>
      <c r="J210" s="838" t="n">
        <v>0</v>
      </c>
      <c r="K210" s="838" t="n">
        <v>0</v>
      </c>
    </row>
    <row r="211">
      <c r="A211" s="155" t="inlineStr">
        <is>
          <t>                                            </t>
        </is>
      </c>
      <c r="B211" s="831" t="n"/>
      <c r="C211" s="831" t="n"/>
      <c r="D211" s="831" t="n"/>
      <c r="E211" s="831" t="n"/>
      <c r="F211" s="831" t="n"/>
      <c r="G211" s="831" t="n"/>
      <c r="H211" s="831" t="n"/>
      <c r="I211" s="831" t="n"/>
      <c r="J211" s="832" t="n"/>
      <c r="K211" s="832" t="n"/>
    </row>
    <row r="212" ht="13.8" customHeight="1">
      <c r="A212" s="168" t="inlineStr">
        <is>
          <t xml:space="preserve"> XI.RESULTAAT VAN HET BOEKJAAR  (+)       70/67</t>
        </is>
      </c>
      <c r="B212" s="849">
        <f>B202+B207+B204+B205</f>
        <v/>
      </c>
      <c r="C212" s="849">
        <f>C202+C207+C204+C205</f>
        <v/>
      </c>
      <c r="D212" s="849">
        <f>D202+D207+D204+D205</f>
        <v/>
      </c>
      <c r="E212" s="849">
        <f>E202+E207+E204+E205</f>
        <v/>
      </c>
      <c r="F212" s="849">
        <f>F202+F207+F204+F205</f>
        <v/>
      </c>
      <c r="G212" s="849">
        <f>G202+G207+G204+G205</f>
        <v/>
      </c>
      <c r="H212" s="849">
        <f>H202+H207+H204+H205</f>
        <v/>
      </c>
      <c r="I212" s="849">
        <f>I202+I207+I204+I205</f>
        <v/>
      </c>
      <c r="J212" s="850">
        <f>J202+J207+J204+J205</f>
        <v/>
      </c>
      <c r="K212" s="850">
        <f>K202+K207+K204+K205</f>
        <v/>
      </c>
    </row>
    <row r="213">
      <c r="A213" s="155" t="inlineStr">
        <is>
          <t>                                            </t>
        </is>
      </c>
      <c r="B213" s="831" t="n"/>
      <c r="C213" s="831" t="n"/>
      <c r="D213" s="831" t="n"/>
      <c r="E213" s="831" t="n"/>
      <c r="F213" s="831" t="n"/>
      <c r="G213" s="831" t="n"/>
      <c r="H213" s="831" t="n"/>
      <c r="I213" s="831" t="n"/>
      <c r="J213" s="832" t="n"/>
      <c r="K213" s="832" t="n"/>
    </row>
    <row r="214">
      <c r="A214" s="148" t="inlineStr">
        <is>
          <t xml:space="preserve"> XII. BELASTINGVRIJE RESERVES</t>
        </is>
      </c>
      <c r="B214" s="831" t="n"/>
      <c r="C214" s="831" t="n"/>
      <c r="D214" s="831" t="n"/>
      <c r="E214" s="831" t="n"/>
      <c r="F214" s="831" t="n"/>
      <c r="G214" s="831" t="n"/>
      <c r="H214" s="831" t="n"/>
      <c r="I214" s="831" t="n"/>
      <c r="J214" s="832" t="n"/>
      <c r="K214" s="832" t="n"/>
    </row>
    <row r="215">
      <c r="A215" s="155" t="inlineStr">
        <is>
          <t xml:space="preserve">A..ONTTREKKING AAN DE RESERVES (+) 789         </t>
        </is>
      </c>
      <c r="B215" s="837" t="n">
        <v>0</v>
      </c>
      <c r="C215" s="837" t="n">
        <v>0</v>
      </c>
      <c r="D215" s="837" t="n">
        <v>0</v>
      </c>
      <c r="E215" s="837" t="n">
        <v>0</v>
      </c>
      <c r="F215" s="837" t="n">
        <v>0</v>
      </c>
      <c r="G215" s="837" t="n">
        <v>0</v>
      </c>
      <c r="H215" s="837" t="n">
        <v>0</v>
      </c>
      <c r="I215" s="837" t="n">
        <v>0</v>
      </c>
      <c r="J215" s="838" t="n">
        <v>0</v>
      </c>
      <c r="K215" s="838" t="n">
        <v>0</v>
      </c>
    </row>
    <row r="216">
      <c r="A216" s="155" t="inlineStr">
        <is>
          <t>B. OVERBOEKING NAAR DE RESERVES (-) 689</t>
        </is>
      </c>
      <c r="B216" s="837" t="n">
        <v>0</v>
      </c>
      <c r="C216" s="837" t="n">
        <v>0</v>
      </c>
      <c r="D216" s="837" t="n">
        <v>0</v>
      </c>
      <c r="E216" s="837" t="n">
        <v>0</v>
      </c>
      <c r="F216" s="837" t="n">
        <v>0</v>
      </c>
      <c r="G216" s="837" t="n">
        <v>0</v>
      </c>
      <c r="H216" s="837" t="n">
        <v>0</v>
      </c>
      <c r="I216" s="837" t="n">
        <v>0</v>
      </c>
      <c r="J216" s="838" t="n">
        <v>0</v>
      </c>
      <c r="K216" s="838" t="n">
        <v>0</v>
      </c>
    </row>
    <row r="217">
      <c r="A217" s="203" t="n"/>
      <c r="B217" s="853" t="n"/>
      <c r="C217" s="853" t="n"/>
      <c r="D217" s="853" t="n"/>
      <c r="E217" s="853" t="n"/>
      <c r="F217" s="853" t="n"/>
      <c r="G217" s="853" t="n"/>
      <c r="H217" s="853" t="n"/>
      <c r="I217" s="853" t="n"/>
      <c r="J217" s="854" t="n"/>
      <c r="K217" s="854" t="n"/>
    </row>
    <row r="218">
      <c r="A218" s="155" t="inlineStr">
        <is>
          <t>                                            </t>
        </is>
      </c>
      <c r="B218" s="855" t="n"/>
      <c r="C218" s="831" t="n"/>
      <c r="D218" s="855" t="n"/>
      <c r="E218" s="855" t="n"/>
      <c r="F218" s="855" t="n"/>
      <c r="G218" s="855" t="n"/>
      <c r="H218" s="855" t="n"/>
      <c r="I218" s="855" t="n"/>
      <c r="J218" s="832" t="n"/>
      <c r="K218" s="832" t="n"/>
    </row>
    <row r="219" ht="13.2" customHeight="1">
      <c r="A219" s="180" t="inlineStr">
        <is>
          <t xml:space="preserve">     RESULTAATVERWERKING                    </t>
        </is>
      </c>
      <c r="B219" s="855" t="n"/>
      <c r="C219" s="831" t="n"/>
      <c r="D219" s="855" t="n"/>
      <c r="E219" s="855" t="n"/>
      <c r="F219" s="855" t="n"/>
      <c r="G219" s="855" t="n"/>
      <c r="H219" s="855" t="n"/>
      <c r="I219" s="855" t="n"/>
      <c r="J219" s="832" t="n"/>
      <c r="K219" s="832" t="n"/>
    </row>
    <row r="220">
      <c r="A220" s="155" t="inlineStr">
        <is>
          <t>                                            </t>
        </is>
      </c>
      <c r="B220" s="855" t="n"/>
      <c r="C220" s="831" t="n"/>
      <c r="D220" s="855" t="n"/>
      <c r="E220" s="855" t="n"/>
      <c r="F220" s="855" t="n"/>
      <c r="G220" s="855" t="n"/>
      <c r="H220" s="855" t="n"/>
      <c r="I220" s="855" t="n"/>
      <c r="J220" s="832" t="n"/>
      <c r="K220" s="832" t="n"/>
    </row>
    <row r="221">
      <c r="A221" s="207" t="inlineStr">
        <is>
          <t>A.TE BESTEMMEN WINST/VERLIES SALDO             70/69</t>
        </is>
      </c>
      <c r="B221" s="856">
        <f>SUM(B222:B223)</f>
        <v/>
      </c>
      <c r="C221" s="835">
        <f>SUM(C222:C223)</f>
        <v/>
      </c>
      <c r="D221" s="856">
        <f>SUM(D222:D223)</f>
        <v/>
      </c>
      <c r="E221" s="856">
        <f>SUM(E222:E223)</f>
        <v/>
      </c>
      <c r="F221" s="856">
        <f>SUM(F222:F223)</f>
        <v/>
      </c>
      <c r="G221" s="856">
        <f>SUM(G222:G223)</f>
        <v/>
      </c>
      <c r="H221" s="856">
        <f>SUM(H222:H223)</f>
        <v/>
      </c>
      <c r="I221" s="856">
        <f>SUM(I222:I223)</f>
        <v/>
      </c>
      <c r="J221" s="836">
        <f>SUM(J222:J223)</f>
        <v/>
      </c>
      <c r="K221" s="836">
        <f>SUM(K222:K223)</f>
        <v/>
      </c>
    </row>
    <row r="222">
      <c r="A222" s="155" t="inlineStr">
        <is>
          <t xml:space="preserve">  1.Te bestemmen resultaat van het boekjr 70/68</t>
        </is>
      </c>
      <c r="B222" s="857">
        <f>B212+B215+B216</f>
        <v/>
      </c>
      <c r="C222" s="837">
        <f>C212+C215+C216</f>
        <v/>
      </c>
      <c r="D222" s="857">
        <f>D212+D215+D216</f>
        <v/>
      </c>
      <c r="E222" s="857">
        <f>E212+E215+E216</f>
        <v/>
      </c>
      <c r="F222" s="857">
        <f>F212+F215+F216</f>
        <v/>
      </c>
      <c r="G222" s="857">
        <f>G212+G215+G216</f>
        <v/>
      </c>
      <c r="H222" s="857">
        <f>H212+H215+H216</f>
        <v/>
      </c>
      <c r="I222" s="857">
        <f>I212+I215+I216</f>
        <v/>
      </c>
      <c r="J222" s="838">
        <f>J212+J215+J216</f>
        <v/>
      </c>
      <c r="K222" s="838">
        <f>K212+K215+K216</f>
        <v/>
      </c>
    </row>
    <row r="223">
      <c r="A223" s="155" t="inlineStr">
        <is>
          <t xml:space="preserve">  2.Overgedragen resultaat  vh vor. boekjr   790/690</t>
        </is>
      </c>
      <c r="B223" s="858" t="n">
        <v>0</v>
      </c>
      <c r="C223" s="837" t="n">
        <v>0</v>
      </c>
      <c r="D223" s="857" t="n">
        <v>0</v>
      </c>
      <c r="E223" s="857" t="n">
        <v>0</v>
      </c>
      <c r="F223" s="857" t="n">
        <v>0</v>
      </c>
      <c r="G223" s="857" t="n">
        <v>0</v>
      </c>
      <c r="H223" s="857" t="n">
        <v>0</v>
      </c>
      <c r="I223" s="857" t="n">
        <v>0</v>
      </c>
      <c r="J223" s="838" t="n">
        <v>0</v>
      </c>
      <c r="K223" s="838" t="n">
        <v>0</v>
      </c>
    </row>
    <row r="224">
      <c r="A224" s="155" t="n"/>
      <c r="B224" s="857" t="n"/>
      <c r="C224" s="837" t="n"/>
      <c r="D224" s="857" t="n"/>
      <c r="E224" s="857" t="n"/>
      <c r="F224" s="857" t="n"/>
      <c r="G224" s="857" t="n"/>
      <c r="H224" s="857" t="n"/>
      <c r="I224" s="857" t="n"/>
      <c r="J224" s="838" t="n"/>
      <c r="K224" s="838" t="n"/>
    </row>
    <row r="225">
      <c r="A225" s="148" t="inlineStr">
        <is>
          <t>B.ONTTREKKING AAN DE EIGEN MIDDELEN   791/2</t>
        </is>
      </c>
      <c r="B225" s="856">
        <f>SUM(B226:B227)</f>
        <v/>
      </c>
      <c r="C225" s="835">
        <f>SUM(C226:C227)</f>
        <v/>
      </c>
      <c r="D225" s="856">
        <f>SUM(D226:D227)</f>
        <v/>
      </c>
      <c r="E225" s="856">
        <f>SUM(E226:E227)</f>
        <v/>
      </c>
      <c r="F225" s="856">
        <f>SUM(F226:F227)</f>
        <v/>
      </c>
      <c r="G225" s="856">
        <f>SUM(G226:G227)</f>
        <v/>
      </c>
      <c r="H225" s="856">
        <f>SUM(H226:H227)</f>
        <v/>
      </c>
      <c r="I225" s="856">
        <f>SUM(I226:I227)</f>
        <v/>
      </c>
      <c r="J225" s="836">
        <f>SUM(J226:J227)</f>
        <v/>
      </c>
      <c r="K225" s="836">
        <f>SUM(K226:K227)</f>
        <v/>
      </c>
    </row>
    <row r="226">
      <c r="A226" s="211" t="inlineStr">
        <is>
          <t xml:space="preserve">  1.aan kapitaal &amp; aan uitgiftepremies (+)  791</t>
        </is>
      </c>
      <c r="B226" s="857" t="n">
        <v>0</v>
      </c>
      <c r="C226" s="837" t="n">
        <v>0</v>
      </c>
      <c r="D226" s="857" t="n">
        <v>0</v>
      </c>
      <c r="E226" s="857" t="n">
        <v>0</v>
      </c>
      <c r="F226" s="857" t="n">
        <v>0</v>
      </c>
      <c r="G226" s="857" t="n">
        <v>0</v>
      </c>
      <c r="H226" s="857" t="n">
        <v>0</v>
      </c>
      <c r="I226" s="857" t="n">
        <v>0</v>
      </c>
      <c r="J226" s="838" t="n">
        <v>0</v>
      </c>
      <c r="K226" s="838" t="n">
        <v>0</v>
      </c>
    </row>
    <row r="227">
      <c r="A227" s="211" t="inlineStr">
        <is>
          <t xml:space="preserve">  2.aan de reserves  (+)                   792</t>
        </is>
      </c>
      <c r="B227" s="857" t="n">
        <v>0</v>
      </c>
      <c r="C227" s="837" t="n">
        <v>0</v>
      </c>
      <c r="D227" s="857" t="n">
        <v>0</v>
      </c>
      <c r="E227" s="857" t="n">
        <v>0</v>
      </c>
      <c r="F227" s="857" t="n">
        <v>0</v>
      </c>
      <c r="G227" s="857" t="n">
        <v>0</v>
      </c>
      <c r="H227" s="857" t="n">
        <v>0</v>
      </c>
      <c r="I227" s="857" t="n">
        <v>0</v>
      </c>
      <c r="J227" s="838" t="n">
        <v>0</v>
      </c>
      <c r="K227" s="838" t="n">
        <v>0</v>
      </c>
    </row>
    <row r="228">
      <c r="A228" s="155" t="n"/>
      <c r="B228" s="857" t="n"/>
      <c r="C228" s="837" t="n"/>
      <c r="D228" s="857" t="n"/>
      <c r="E228" s="857" t="n"/>
      <c r="F228" s="857" t="n"/>
      <c r="G228" s="857" t="n"/>
      <c r="H228" s="857" t="n"/>
      <c r="I228" s="857" t="n"/>
      <c r="J228" s="838" t="n"/>
      <c r="K228" s="838" t="n"/>
    </row>
    <row r="229">
      <c r="A229" s="148" t="inlineStr">
        <is>
          <t xml:space="preserve">C.TOEVOEGING AAN HET EIGEN VERMOGEN   691/2   (-) </t>
        </is>
      </c>
      <c r="B229" s="856">
        <f>SUM(B230:B232)</f>
        <v/>
      </c>
      <c r="C229" s="835">
        <f>SUM(C230:C232)</f>
        <v/>
      </c>
      <c r="D229" s="856">
        <f>SUM(D230:D232)</f>
        <v/>
      </c>
      <c r="E229" s="856">
        <f>SUM(E230:E232)</f>
        <v/>
      </c>
      <c r="F229" s="856">
        <f>SUM(F230:F232)</f>
        <v/>
      </c>
      <c r="G229" s="856">
        <f>SUM(G230:G232)</f>
        <v/>
      </c>
      <c r="H229" s="856">
        <f>SUM(H230:H232)</f>
        <v/>
      </c>
      <c r="I229" s="856">
        <f>SUM(I230:I232)</f>
        <v/>
      </c>
      <c r="J229" s="836">
        <f>SUM(J230:J232)</f>
        <v/>
      </c>
      <c r="K229" s="836">
        <f>SUM(K230:K232)</f>
        <v/>
      </c>
    </row>
    <row r="230">
      <c r="A230" s="211" t="inlineStr">
        <is>
          <t xml:space="preserve">  1. aan kapitaal en uitgiftepremies (-)   691</t>
        </is>
      </c>
      <c r="B230" s="857" t="n">
        <v>0</v>
      </c>
      <c r="C230" s="837" t="n">
        <v>0</v>
      </c>
      <c r="D230" s="857" t="n">
        <v>0</v>
      </c>
      <c r="E230" s="857" t="n">
        <v>0</v>
      </c>
      <c r="F230" s="857" t="n">
        <v>0</v>
      </c>
      <c r="G230" s="857" t="n">
        <v>0</v>
      </c>
      <c r="H230" s="857" t="n">
        <v>0</v>
      </c>
      <c r="I230" s="857" t="n">
        <v>0</v>
      </c>
      <c r="J230" s="838" t="n">
        <v>0</v>
      </c>
      <c r="K230" s="838" t="n">
        <v>0</v>
      </c>
    </row>
    <row r="231">
      <c r="A231" s="211" t="inlineStr">
        <is>
          <t xml:space="preserve">  2. aan de wettelijke reserve (-)        6920</t>
        </is>
      </c>
      <c r="B231" s="837" t="n">
        <v>0</v>
      </c>
      <c r="C231" s="837" t="n">
        <v>0</v>
      </c>
      <c r="D231" s="837" t="n">
        <v>0</v>
      </c>
      <c r="E231" s="837" t="n">
        <v>0</v>
      </c>
      <c r="F231" s="837" t="n">
        <v>0</v>
      </c>
      <c r="G231" s="837" t="n">
        <v>0</v>
      </c>
      <c r="H231" s="837" t="n">
        <v>0</v>
      </c>
      <c r="I231" s="837" t="n">
        <v>0</v>
      </c>
      <c r="J231" s="838" t="n">
        <v>0</v>
      </c>
      <c r="K231" s="838" t="n">
        <v>0</v>
      </c>
    </row>
    <row r="232">
      <c r="A232" s="211" t="inlineStr">
        <is>
          <t xml:space="preserve">  3. aan de overige reserves (-)          6921</t>
        </is>
      </c>
      <c r="B232" s="857" t="n">
        <v>0</v>
      </c>
      <c r="C232" s="837" t="n">
        <v>0</v>
      </c>
      <c r="D232" s="857" t="n">
        <v>0</v>
      </c>
      <c r="E232" s="857" t="n">
        <v>0</v>
      </c>
      <c r="F232" s="857" t="n">
        <v>0</v>
      </c>
      <c r="G232" s="857" t="n">
        <v>0</v>
      </c>
      <c r="H232" s="857" t="n">
        <v>0</v>
      </c>
      <c r="I232" s="857" t="n">
        <v>0</v>
      </c>
      <c r="J232" s="838" t="n">
        <v>0</v>
      </c>
      <c r="K232" s="838" t="n">
        <v>0</v>
      </c>
    </row>
    <row r="233">
      <c r="A233" s="155" t="n"/>
      <c r="B233" s="857" t="n"/>
      <c r="C233" s="837" t="n"/>
      <c r="D233" s="857" t="n"/>
      <c r="E233" s="857" t="n"/>
      <c r="F233" s="857" t="n"/>
      <c r="G233" s="857" t="n"/>
      <c r="H233" s="857" t="n"/>
      <c r="I233" s="857" t="n"/>
      <c r="J233" s="838" t="n"/>
      <c r="K233" s="838" t="n"/>
    </row>
    <row r="234">
      <c r="A234" s="148" t="inlineStr">
        <is>
          <t xml:space="preserve">D.OVER TE DRAGEN RESULTAAT                  </t>
        </is>
      </c>
      <c r="B234" s="856">
        <f>B235+B236</f>
        <v/>
      </c>
      <c r="C234" s="835">
        <f>C235+C236</f>
        <v/>
      </c>
      <c r="D234" s="856">
        <f>D235+D236</f>
        <v/>
      </c>
      <c r="E234" s="856">
        <f>E235+E236</f>
        <v/>
      </c>
      <c r="F234" s="856">
        <f>F235+F236</f>
        <v/>
      </c>
      <c r="G234" s="856">
        <f>G235+G236</f>
        <v/>
      </c>
      <c r="H234" s="856">
        <f>H235+H236</f>
        <v/>
      </c>
      <c r="I234" s="856">
        <f>I235+I236</f>
        <v/>
      </c>
      <c r="J234" s="836">
        <f>J235+J236</f>
        <v/>
      </c>
      <c r="K234" s="836">
        <f>K235+K236</f>
        <v/>
      </c>
    </row>
    <row r="235">
      <c r="A235" s="155" t="inlineStr">
        <is>
          <t xml:space="preserve">  1.Over te dragen winst  (-)           693</t>
        </is>
      </c>
      <c r="B235" s="837" t="n">
        <v>0</v>
      </c>
      <c r="C235" s="837" t="n">
        <v>0</v>
      </c>
      <c r="D235" s="837" t="n">
        <v>0</v>
      </c>
      <c r="E235" s="837" t="n">
        <v>0</v>
      </c>
      <c r="F235" s="837" t="n">
        <v>0</v>
      </c>
      <c r="G235" s="837" t="n">
        <v>0</v>
      </c>
      <c r="H235" s="837" t="n">
        <v>0</v>
      </c>
      <c r="I235" s="837" t="n">
        <v>0</v>
      </c>
      <c r="J235" s="838" t="n">
        <v>0</v>
      </c>
      <c r="K235" s="838" t="n">
        <v>0</v>
      </c>
    </row>
    <row r="236">
      <c r="A236" s="211" t="inlineStr">
        <is>
          <t xml:space="preserve">  2.Over te dragen verlies  (+)            793</t>
        </is>
      </c>
      <c r="B236" s="857" t="n">
        <v>0</v>
      </c>
      <c r="C236" s="837" t="n">
        <v>0</v>
      </c>
      <c r="D236" s="857" t="n">
        <v>0</v>
      </c>
      <c r="E236" s="857" t="n">
        <v>0</v>
      </c>
      <c r="F236" s="857" t="n">
        <v>0</v>
      </c>
      <c r="G236" s="857" t="n">
        <v>0</v>
      </c>
      <c r="H236" s="857" t="n">
        <v>0</v>
      </c>
      <c r="I236" s="857" t="n">
        <v>0</v>
      </c>
      <c r="J236" s="838" t="n">
        <v>0</v>
      </c>
      <c r="K236" s="838" t="n">
        <v>0</v>
      </c>
    </row>
    <row r="237">
      <c r="A237" s="155" t="n"/>
      <c r="B237" s="857" t="n"/>
      <c r="C237" s="837" t="n"/>
      <c r="D237" s="857" t="n"/>
      <c r="E237" s="857" t="n"/>
      <c r="F237" s="857" t="n"/>
      <c r="G237" s="857" t="n"/>
      <c r="H237" s="857" t="n"/>
      <c r="I237" s="857" t="n"/>
      <c r="J237" s="838" t="n"/>
      <c r="K237" s="838" t="n"/>
    </row>
    <row r="238">
      <c r="A238" s="207" t="inlineStr">
        <is>
          <t>E.TUSSENKOMST VENNOTEN IN VERLIES (+)  794</t>
        </is>
      </c>
      <c r="B238" s="859" t="n">
        <v>0</v>
      </c>
      <c r="C238" s="833" t="n">
        <v>0</v>
      </c>
      <c r="D238" s="859" t="n">
        <v>0</v>
      </c>
      <c r="E238" s="859" t="n">
        <v>0</v>
      </c>
      <c r="F238" s="859" t="n">
        <v>0</v>
      </c>
      <c r="G238" s="859" t="n">
        <v>0</v>
      </c>
      <c r="H238" s="859" t="n">
        <v>0</v>
      </c>
      <c r="I238" s="859" t="n">
        <v>0</v>
      </c>
      <c r="J238" s="834" t="n">
        <v>0</v>
      </c>
      <c r="K238" s="834" t="n">
        <v>0</v>
      </c>
    </row>
    <row r="239">
      <c r="A239" s="148" t="n"/>
      <c r="B239" s="859" t="n"/>
      <c r="C239" s="833" t="n"/>
      <c r="D239" s="859" t="n"/>
      <c r="E239" s="859" t="n"/>
      <c r="F239" s="859" t="n"/>
      <c r="G239" s="859" t="n"/>
      <c r="H239" s="859" t="n"/>
      <c r="I239" s="859" t="n"/>
      <c r="J239" s="834" t="n"/>
      <c r="K239" s="834" t="n"/>
    </row>
    <row r="240">
      <c r="A240" s="207" t="inlineStr">
        <is>
          <t>F.UIT TE KEREN WINST               694/6</t>
        </is>
      </c>
      <c r="B240" s="856">
        <f>SUM(B241:B243)</f>
        <v/>
      </c>
      <c r="C240" s="835">
        <f>SUM(C241:C243)</f>
        <v/>
      </c>
      <c r="D240" s="856">
        <f>SUM(D241:D243)</f>
        <v/>
      </c>
      <c r="E240" s="856">
        <f>SUM(E241:E243)</f>
        <v/>
      </c>
      <c r="F240" s="856">
        <f>SUM(F241:F243)</f>
        <v/>
      </c>
      <c r="G240" s="856">
        <f>SUM(G241:G243)</f>
        <v/>
      </c>
      <c r="H240" s="856">
        <f>SUM(H241:H243)</f>
        <v/>
      </c>
      <c r="I240" s="856">
        <f>SUM(I241:I243)</f>
        <v/>
      </c>
      <c r="J240" s="836">
        <f>SUM(J241:J243)</f>
        <v/>
      </c>
      <c r="K240" s="836">
        <f>SUM(K241:K243)</f>
        <v/>
      </c>
    </row>
    <row r="241">
      <c r="A241" s="211" t="inlineStr">
        <is>
          <t xml:space="preserve">  1.Vergoeding vh kapitaal (-)             694</t>
        </is>
      </c>
      <c r="B241" s="857" t="n">
        <v>0</v>
      </c>
      <c r="C241" s="837" t="n">
        <v>0</v>
      </c>
      <c r="D241" s="857" t="n">
        <v>0</v>
      </c>
      <c r="E241" s="857" t="n">
        <v>0</v>
      </c>
      <c r="F241" s="857" t="n">
        <v>0</v>
      </c>
      <c r="G241" s="857" t="n">
        <v>0</v>
      </c>
      <c r="H241" s="857" t="n">
        <v>0</v>
      </c>
      <c r="I241" s="857" t="n">
        <v>0</v>
      </c>
      <c r="J241" s="838" t="n">
        <v>0</v>
      </c>
      <c r="K241" s="838" t="n">
        <v>0</v>
      </c>
    </row>
    <row r="242">
      <c r="A242" s="211" t="inlineStr">
        <is>
          <t xml:space="preserve">  2.Bestuurders of zaakvoerders (-)        695</t>
        </is>
      </c>
      <c r="B242" s="857" t="n">
        <v>0</v>
      </c>
      <c r="C242" s="837" t="n">
        <v>0</v>
      </c>
      <c r="D242" s="857" t="n">
        <v>0</v>
      </c>
      <c r="E242" s="857" t="n">
        <v>0</v>
      </c>
      <c r="F242" s="857" t="n">
        <v>0</v>
      </c>
      <c r="G242" s="857" t="n">
        <v>0</v>
      </c>
      <c r="H242" s="857" t="n">
        <v>0</v>
      </c>
      <c r="I242" s="857" t="n">
        <v>0</v>
      </c>
      <c r="J242" s="838" t="n">
        <v>0</v>
      </c>
      <c r="K242" s="838" t="n">
        <v>0</v>
      </c>
    </row>
    <row r="243">
      <c r="A243" s="211" t="inlineStr">
        <is>
          <t xml:space="preserve">  3.Andere rechthebbenden (-)              696</t>
        </is>
      </c>
      <c r="B243" s="857" t="n">
        <v>0</v>
      </c>
      <c r="C243" s="837" t="n">
        <v>0</v>
      </c>
      <c r="D243" s="857" t="n">
        <v>0</v>
      </c>
      <c r="E243" s="857" t="n">
        <v>0</v>
      </c>
      <c r="F243" s="857" t="n">
        <v>0</v>
      </c>
      <c r="G243" s="857" t="n">
        <v>0</v>
      </c>
      <c r="H243" s="857" t="n">
        <v>0</v>
      </c>
      <c r="I243" s="857" t="n">
        <v>0</v>
      </c>
      <c r="J243" s="838" t="n">
        <v>0</v>
      </c>
      <c r="K243" s="838" t="n">
        <v>0</v>
      </c>
    </row>
    <row r="244">
      <c r="B244" s="860" t="n"/>
      <c r="C244" s="861" t="n"/>
      <c r="D244" s="860" t="n"/>
      <c r="E244" s="860" t="n"/>
      <c r="F244" s="860" t="n"/>
      <c r="G244" s="860" t="n"/>
      <c r="H244" s="860" t="n"/>
      <c r="I244" s="860" t="n"/>
      <c r="J244" s="839" t="n"/>
      <c r="K244" s="839" t="n"/>
    </row>
    <row r="245">
      <c r="B245" s="862" t="n"/>
      <c r="C245" s="862" t="n"/>
      <c r="D245" s="862" t="n"/>
      <c r="E245" s="862" t="n"/>
      <c r="F245" s="862" t="n"/>
      <c r="G245" s="862" t="n"/>
      <c r="H245" s="862" t="n"/>
      <c r="I245" s="862" t="n"/>
      <c r="J245" s="862" t="n"/>
      <c r="K245" s="862" t="n"/>
    </row>
    <row r="246">
      <c r="A246" s="146" t="inlineStr">
        <is>
          <t>Controle : verschil op totaal resultaatverwerking</t>
        </is>
      </c>
      <c r="B246" s="862">
        <f>B221+B225+B229+B234+B238+B240</f>
        <v/>
      </c>
      <c r="C246" s="862">
        <f>C221+C225+C229+C234+C238+C240</f>
        <v/>
      </c>
      <c r="D246" s="862">
        <f>D221+D225+D229+D234+D238+D240</f>
        <v/>
      </c>
      <c r="E246" s="862">
        <f>E221+E225+E229+E234+E238+E240</f>
        <v/>
      </c>
      <c r="F246" s="862">
        <f>F221+F225+F229+F234+F238+F240</f>
        <v/>
      </c>
      <c r="G246" s="862">
        <f>G221+G225+G229+G234+G238+G240</f>
        <v/>
      </c>
      <c r="H246" s="862">
        <f>H221+H225+H229+H234+H238+H240</f>
        <v/>
      </c>
      <c r="I246" s="862">
        <f>I221+I225+I229+I234+I238+I240</f>
        <v/>
      </c>
      <c r="J246" s="862">
        <f>J221+J225+J229+J234+J238+J240</f>
        <v/>
      </c>
      <c r="K246" s="862">
        <f>K221+K225+K229+K234+K238+K240</f>
        <v/>
      </c>
    </row>
    <row r="247">
      <c r="A247" s="146" t="inlineStr">
        <is>
          <t>Controle : verschil resultaat met balans</t>
        </is>
      </c>
      <c r="B247" s="862">
        <f>-B234-(B91+B92)</f>
        <v/>
      </c>
      <c r="C247" s="862">
        <f>-C234-(C91+C92)</f>
        <v/>
      </c>
      <c r="D247" s="862">
        <f>-D234-(D91+D92)</f>
        <v/>
      </c>
      <c r="E247" s="862">
        <f>-E234-(E91+E92)</f>
        <v/>
      </c>
      <c r="F247" s="862">
        <f>-F234-(F91+F92)</f>
        <v/>
      </c>
      <c r="G247" s="862">
        <f>-G234-(G91+G92)</f>
        <v/>
      </c>
      <c r="H247" s="862">
        <f>-H234-(H91+H92)</f>
        <v/>
      </c>
      <c r="I247" s="862">
        <f>-I234-(I91+I92)</f>
        <v/>
      </c>
      <c r="J247" s="862">
        <f>-J234-(J91+J92)</f>
        <v/>
      </c>
      <c r="K247" s="862">
        <f>-K234-(K91+K92)</f>
        <v/>
      </c>
    </row>
    <row r="249" ht="13.2" customHeight="1">
      <c r="A249" s="180" t="inlineStr">
        <is>
          <t>TOELICHTING</t>
        </is>
      </c>
    </row>
    <row r="251" ht="13.2" customFormat="1" customHeight="1" s="159">
      <c r="A251" s="216" t="inlineStr">
        <is>
          <t>MUTATIE VASTE ACTIVA  (VOL 6)</t>
        </is>
      </c>
      <c r="B251" s="217">
        <f>B7</f>
        <v/>
      </c>
      <c r="C251" s="217">
        <f>C7</f>
        <v/>
      </c>
      <c r="D251" s="217">
        <f>D7</f>
        <v/>
      </c>
      <c r="E251" s="217">
        <f>E7</f>
        <v/>
      </c>
      <c r="F251" s="217">
        <f>F7</f>
        <v/>
      </c>
      <c r="G251" s="217">
        <f>G7</f>
        <v/>
      </c>
      <c r="H251" s="217">
        <f>H7</f>
        <v/>
      </c>
      <c r="I251" s="217">
        <f>I7</f>
        <v/>
      </c>
      <c r="J251" s="158">
        <f>J7</f>
        <v/>
      </c>
      <c r="K251" s="158">
        <f>K7</f>
        <v/>
      </c>
    </row>
    <row r="252">
      <c r="A252" s="155" t="n"/>
      <c r="B252" s="218" t="n"/>
      <c r="C252" s="218" t="n"/>
      <c r="D252" s="218" t="n"/>
      <c r="E252" s="218" t="n"/>
      <c r="F252" s="218" t="n"/>
      <c r="G252" s="218" t="n"/>
      <c r="H252" s="218" t="n"/>
      <c r="I252" s="218" t="n"/>
      <c r="J252" s="184" t="n"/>
      <c r="K252" s="184" t="n"/>
    </row>
    <row r="253">
      <c r="A253" s="155" t="n"/>
      <c r="B253" s="219" t="n"/>
      <c r="C253" s="219" t="n"/>
      <c r="D253" s="219" t="n"/>
      <c r="E253" s="219" t="n"/>
      <c r="F253" s="219" t="n"/>
      <c r="G253" s="219" t="n"/>
      <c r="H253" s="219" t="n"/>
      <c r="I253" s="219" t="n"/>
      <c r="J253" s="165" t="n"/>
      <c r="K253" s="165" t="n"/>
    </row>
    <row r="254">
      <c r="A254" s="155" t="inlineStr">
        <is>
          <t>Netto boekwaarde einde vorig boekjaar</t>
        </is>
      </c>
      <c r="B254" s="863" t="n">
        <v>0</v>
      </c>
      <c r="C254" s="832" t="n">
        <v>0</v>
      </c>
      <c r="D254" s="832" t="n">
        <v>0</v>
      </c>
      <c r="E254" s="832" t="n">
        <v>0</v>
      </c>
      <c r="F254" s="832" t="n">
        <v>0</v>
      </c>
      <c r="G254" s="832" t="n">
        <v>0</v>
      </c>
      <c r="H254" s="832" t="n">
        <v>0</v>
      </c>
      <c r="I254" s="832" t="n">
        <v>0</v>
      </c>
      <c r="J254" s="832" t="n">
        <v>0</v>
      </c>
      <c r="K254" s="832" t="n">
        <v>0</v>
      </c>
    </row>
    <row r="255" ht="11.25" customHeight="1">
      <c r="A255" s="155" t="inlineStr">
        <is>
          <t>* Beweging oprichtingskosten (+ -)</t>
        </is>
      </c>
      <c r="B255" s="857" t="n">
        <v>0</v>
      </c>
      <c r="C255" s="857" t="n">
        <v>0</v>
      </c>
      <c r="D255" s="857" t="n">
        <v>0</v>
      </c>
      <c r="E255" s="857" t="n">
        <v>0</v>
      </c>
      <c r="F255" s="857" t="n">
        <v>0</v>
      </c>
      <c r="G255" s="857" t="n">
        <v>0</v>
      </c>
      <c r="H255" s="857" t="n">
        <v>0</v>
      </c>
      <c r="I255" s="857" t="n">
        <v>0</v>
      </c>
      <c r="J255" s="838" t="n">
        <v>0</v>
      </c>
      <c r="K255" s="838" t="n">
        <v>0</v>
      </c>
    </row>
    <row r="256" ht="11.25" customHeight="1">
      <c r="A256" s="155" t="inlineStr">
        <is>
          <t>* Aanschaffingen immateriële vaste activa (+)</t>
        </is>
      </c>
      <c r="B256" s="857" t="n">
        <v>0</v>
      </c>
      <c r="C256" s="857" t="n">
        <v>0</v>
      </c>
      <c r="D256" s="857" t="n">
        <v>0</v>
      </c>
      <c r="E256" s="857" t="n">
        <v>0</v>
      </c>
      <c r="F256" s="857" t="n">
        <v>0</v>
      </c>
      <c r="G256" s="857" t="n">
        <v>0</v>
      </c>
      <c r="H256" s="857" t="n">
        <v>0</v>
      </c>
      <c r="I256" s="857" t="n">
        <v>0</v>
      </c>
      <c r="J256" s="838" t="n">
        <v>0</v>
      </c>
      <c r="K256" s="838" t="n">
        <v>0</v>
      </c>
    </row>
    <row r="257" ht="11.25" customHeight="1">
      <c r="A257" s="155" t="inlineStr">
        <is>
          <t>* Aanschaffingen materiële vaste activa (+)</t>
        </is>
      </c>
      <c r="B257" s="857" t="n">
        <v>0</v>
      </c>
      <c r="C257" s="857" t="n">
        <v>0</v>
      </c>
      <c r="D257" s="857" t="n">
        <v>0</v>
      </c>
      <c r="E257" s="857" t="n">
        <v>0</v>
      </c>
      <c r="F257" s="857" t="n">
        <v>0</v>
      </c>
      <c r="G257" s="857" t="n">
        <v>0</v>
      </c>
      <c r="H257" s="857" t="n">
        <v>0</v>
      </c>
      <c r="I257" s="857" t="n">
        <v>0</v>
      </c>
      <c r="J257" s="838" t="n">
        <v>0</v>
      </c>
      <c r="K257" s="838" t="n">
        <v>0</v>
      </c>
    </row>
    <row r="258">
      <c r="A258" s="155" t="inlineStr">
        <is>
          <t>* Buitengebruikstellingen immat. + materiële v.a. (-)</t>
        </is>
      </c>
      <c r="B258" s="857" t="n">
        <v>0</v>
      </c>
      <c r="C258" s="857" t="n">
        <v>0</v>
      </c>
      <c r="D258" s="857" t="n">
        <v>0</v>
      </c>
      <c r="E258" s="857" t="n">
        <v>0</v>
      </c>
      <c r="F258" s="857" t="n">
        <v>0</v>
      </c>
      <c r="G258" s="857" t="n">
        <v>0</v>
      </c>
      <c r="H258" s="857" t="n">
        <v>0</v>
      </c>
      <c r="I258" s="857" t="n">
        <v>0</v>
      </c>
      <c r="J258" s="838" t="n">
        <v>0</v>
      </c>
      <c r="K258" s="838" t="n">
        <v>0</v>
      </c>
    </row>
    <row r="259">
      <c r="A259" s="155" t="inlineStr">
        <is>
          <t>Afschrijvingen en waardeverminderingen (-)</t>
        </is>
      </c>
      <c r="B259" s="855">
        <f>-B161-B189</f>
        <v/>
      </c>
      <c r="C259" s="855">
        <f>-C161-C189</f>
        <v/>
      </c>
      <c r="D259" s="855">
        <f>-D161-D189</f>
        <v/>
      </c>
      <c r="E259" s="855">
        <f>-E161-E189</f>
        <v/>
      </c>
      <c r="F259" s="855">
        <f>-F161-F189</f>
        <v/>
      </c>
      <c r="G259" s="855">
        <f>-G161-G189</f>
        <v/>
      </c>
      <c r="H259" s="855">
        <f>-H161-H189</f>
        <v/>
      </c>
      <c r="I259" s="855">
        <f>-I161-I189</f>
        <v/>
      </c>
      <c r="J259" s="832">
        <f>-J161-J189</f>
        <v/>
      </c>
      <c r="K259" s="832">
        <f>-K161-K189</f>
        <v/>
      </c>
    </row>
    <row r="260">
      <c r="A260" s="155" t="inlineStr">
        <is>
          <t>Terugname van afschrijvingen (+)</t>
        </is>
      </c>
      <c r="B260" s="857">
        <f>B182</f>
        <v/>
      </c>
      <c r="C260" s="857">
        <f>C182</f>
        <v/>
      </c>
      <c r="D260" s="857">
        <f>D182</f>
        <v/>
      </c>
      <c r="E260" s="857">
        <f>E182</f>
        <v/>
      </c>
      <c r="F260" s="857">
        <f>F182</f>
        <v/>
      </c>
      <c r="G260" s="857">
        <f>G182</f>
        <v/>
      </c>
      <c r="H260" s="857">
        <f>H182</f>
        <v/>
      </c>
      <c r="I260" s="857">
        <f>I182</f>
        <v/>
      </c>
      <c r="J260" s="838">
        <f>J182</f>
        <v/>
      </c>
      <c r="K260" s="838">
        <f>K182</f>
        <v/>
      </c>
    </row>
    <row r="261">
      <c r="A261" s="155" t="inlineStr">
        <is>
          <t>* Afgeboekte afschrijvingen, waardeverminderingen (+)</t>
        </is>
      </c>
      <c r="B261" s="857" t="n">
        <v>0</v>
      </c>
      <c r="C261" s="857" t="n">
        <v>0</v>
      </c>
      <c r="D261" s="857" t="n">
        <v>0</v>
      </c>
      <c r="E261" s="857" t="n">
        <v>0</v>
      </c>
      <c r="F261" s="857" t="n">
        <v>0</v>
      </c>
      <c r="G261" s="857" t="n">
        <v>0</v>
      </c>
      <c r="H261" s="857" t="n">
        <v>0</v>
      </c>
      <c r="I261" s="857" t="n">
        <v>0</v>
      </c>
      <c r="J261" s="838" t="n">
        <v>0</v>
      </c>
      <c r="K261" s="838" t="n">
        <v>0</v>
      </c>
    </row>
    <row r="262">
      <c r="A262" s="155" t="inlineStr">
        <is>
          <t>Beweging financiële vaste activa (+ -)</t>
        </is>
      </c>
      <c r="B262" s="858" t="n">
        <v>0</v>
      </c>
      <c r="C262" s="857" t="n">
        <v>0</v>
      </c>
      <c r="D262" s="857" t="n">
        <v>0</v>
      </c>
      <c r="E262" s="857" t="n">
        <v>0</v>
      </c>
      <c r="F262" s="857" t="n">
        <v>0</v>
      </c>
      <c r="G262" s="857" t="n">
        <v>0</v>
      </c>
      <c r="H262" s="857" t="n">
        <v>0</v>
      </c>
      <c r="I262" s="857" t="n">
        <v>0</v>
      </c>
      <c r="J262" s="838" t="n">
        <v>0</v>
      </c>
      <c r="K262" s="838" t="n">
        <v>0</v>
      </c>
      <c r="P262" s="146" t="inlineStr">
        <is>
          <t> </t>
        </is>
      </c>
    </row>
    <row r="263">
      <c r="A263" s="155" t="n"/>
      <c r="B263" s="864" t="n"/>
      <c r="C263" s="864" t="n"/>
      <c r="D263" s="864" t="n"/>
      <c r="E263" s="864" t="n"/>
      <c r="F263" s="864" t="n"/>
      <c r="G263" s="864" t="n"/>
      <c r="H263" s="864" t="n"/>
      <c r="I263" s="864" t="n"/>
      <c r="J263" s="854" t="n"/>
      <c r="K263" s="854" t="n"/>
    </row>
    <row r="264" ht="12.75" customHeight="1">
      <c r="A264" s="148" t="inlineStr">
        <is>
          <t>NETTO BOEKWAARDE EINDE BOEKJAAR  (SUM)</t>
        </is>
      </c>
      <c r="B264" s="865">
        <f>SUM(B254:B263)</f>
        <v/>
      </c>
      <c r="C264" s="865">
        <f>SUM(C254:C263)</f>
        <v/>
      </c>
      <c r="D264" s="865">
        <f>SUM(D254:D263)</f>
        <v/>
      </c>
      <c r="E264" s="865">
        <f>SUM(E254:E263)</f>
        <v/>
      </c>
      <c r="F264" s="865">
        <f>SUM(F254:F263)</f>
        <v/>
      </c>
      <c r="G264" s="865">
        <f>SUM(G254:G263)</f>
        <v/>
      </c>
      <c r="H264" s="865">
        <f>SUM(H254:H263)</f>
        <v/>
      </c>
      <c r="I264" s="865">
        <f>SUM(I254:I263)</f>
        <v/>
      </c>
      <c r="J264" s="866">
        <f>SUM(J254:J263)</f>
        <v/>
      </c>
      <c r="K264" s="866">
        <f>SUM(K254:K263)</f>
        <v/>
      </c>
    </row>
    <row r="265">
      <c r="A265" s="148" t="n"/>
      <c r="B265" s="867" t="n"/>
      <c r="C265" s="867" t="n"/>
      <c r="D265" s="867" t="n"/>
      <c r="E265" s="867" t="n"/>
      <c r="F265" s="867" t="n"/>
      <c r="G265" s="867" t="n"/>
      <c r="H265" s="867" t="n"/>
      <c r="I265" s="867" t="n"/>
      <c r="J265" s="867" t="n"/>
      <c r="K265" s="867" t="n"/>
    </row>
    <row r="266" ht="12.75" customHeight="1">
      <c r="A266" s="148" t="inlineStr">
        <is>
          <t>Controle : Vaste activa volgens balans</t>
        </is>
      </c>
      <c r="B266" s="867">
        <f>B15</f>
        <v/>
      </c>
      <c r="C266" s="867">
        <f>C15</f>
        <v/>
      </c>
      <c r="D266" s="867">
        <f>D15</f>
        <v/>
      </c>
      <c r="E266" s="867">
        <f>E15</f>
        <v/>
      </c>
      <c r="F266" s="867">
        <f>F15</f>
        <v/>
      </c>
      <c r="G266" s="867">
        <f>G15</f>
        <v/>
      </c>
      <c r="H266" s="867">
        <f>H15</f>
        <v/>
      </c>
      <c r="I266" s="867">
        <f>I15</f>
        <v/>
      </c>
      <c r="J266" s="867">
        <f>J15</f>
        <v/>
      </c>
      <c r="K266" s="867">
        <f>K15</f>
        <v/>
      </c>
    </row>
    <row r="267">
      <c r="A267" s="148" t="n"/>
      <c r="B267" s="225" t="n"/>
      <c r="C267" s="225" t="n"/>
      <c r="D267" s="225" t="n"/>
      <c r="E267" s="225" t="n"/>
      <c r="F267" s="225" t="n"/>
      <c r="G267" s="225" t="n"/>
      <c r="H267" s="225" t="n"/>
      <c r="I267" s="225" t="n"/>
      <c r="J267" s="225" t="n"/>
      <c r="K267" s="225" t="n"/>
    </row>
    <row r="268" ht="12.75" customHeight="1">
      <c r="A268" s="155" t="inlineStr">
        <is>
          <t>Aanschaffingen  = incl. boekwaarde activa verworven van derden</t>
        </is>
      </c>
      <c r="B268" s="225" t="n"/>
      <c r="C268" s="225" t="n"/>
      <c r="D268" s="225" t="n"/>
      <c r="E268" s="225" t="n"/>
      <c r="F268" s="225" t="n"/>
      <c r="G268" s="225" t="n"/>
      <c r="H268" s="225" t="n"/>
      <c r="I268" s="225" t="n"/>
      <c r="J268" s="225" t="n"/>
      <c r="K268" s="225" t="n"/>
    </row>
    <row r="269">
      <c r="A269" s="155" t="n"/>
      <c r="B269" s="225" t="n"/>
      <c r="C269" s="225" t="n"/>
      <c r="D269" s="225" t="n"/>
      <c r="E269" s="225" t="n"/>
      <c r="F269" s="225" t="n"/>
      <c r="G269" s="225" t="n"/>
      <c r="H269" s="225" t="n"/>
      <c r="I269" s="225" t="n"/>
      <c r="J269" s="225" t="n"/>
      <c r="K269" s="225" t="n"/>
    </row>
    <row r="271" ht="13.2" customFormat="1" customHeight="1" s="159">
      <c r="A271" s="216" t="inlineStr">
        <is>
          <t>RESULTATENREKENINGEN (VOL 15 &amp; 16)</t>
        </is>
      </c>
      <c r="B271" s="217">
        <f>B7</f>
        <v/>
      </c>
      <c r="C271" s="217">
        <f>C7</f>
        <v/>
      </c>
      <c r="D271" s="217">
        <f>D7</f>
        <v/>
      </c>
      <c r="E271" s="217">
        <f>E7</f>
        <v/>
      </c>
      <c r="F271" s="217">
        <f>F7</f>
        <v/>
      </c>
      <c r="G271" s="217">
        <f>G7</f>
        <v/>
      </c>
      <c r="H271" s="217">
        <f>H7</f>
        <v/>
      </c>
      <c r="I271" s="217">
        <f>I7</f>
        <v/>
      </c>
      <c r="J271" s="158">
        <f>J7</f>
        <v/>
      </c>
      <c r="K271" s="158">
        <f>K7</f>
        <v/>
      </c>
    </row>
    <row r="272">
      <c r="A272" s="155" t="n"/>
      <c r="B272" s="218" t="n"/>
      <c r="C272" s="218" t="n"/>
      <c r="D272" s="218" t="n"/>
      <c r="E272" s="218" t="n"/>
      <c r="F272" s="218" t="n"/>
      <c r="G272" s="218" t="n"/>
      <c r="H272" s="218" t="n"/>
      <c r="I272" s="218" t="n"/>
      <c r="J272" s="184" t="n"/>
      <c r="K272" s="184" t="n"/>
    </row>
    <row r="273">
      <c r="A273" s="155" t="n"/>
      <c r="B273" s="219" t="n"/>
      <c r="C273" s="219" t="n"/>
      <c r="D273" s="219" t="n"/>
      <c r="E273" s="219" t="n"/>
      <c r="F273" s="219" t="n"/>
      <c r="G273" s="219" t="n"/>
      <c r="H273" s="219" t="n"/>
      <c r="I273" s="219" t="n"/>
      <c r="J273" s="165" t="n"/>
      <c r="K273" s="165" t="n"/>
    </row>
    <row r="274">
      <c r="A274" s="155" t="inlineStr">
        <is>
          <t>Andere Bedrijfsopbrengsten (post 74)</t>
        </is>
      </c>
      <c r="B274" s="219" t="n"/>
      <c r="C274" s="219" t="n"/>
      <c r="D274" s="219" t="n"/>
      <c r="E274" s="219" t="n"/>
      <c r="F274" s="219" t="n"/>
      <c r="G274" s="219" t="n"/>
      <c r="H274" s="219" t="n"/>
      <c r="I274" s="219" t="n"/>
      <c r="J274" s="165" t="n"/>
      <c r="K274" s="165" t="n"/>
    </row>
    <row r="275">
      <c r="A275" s="226" t="inlineStr">
        <is>
          <t>* Exploitatiesubsidies   (740)</t>
        </is>
      </c>
      <c r="B275" s="837" t="n">
        <v>0</v>
      </c>
      <c r="C275" s="837" t="n">
        <v>0</v>
      </c>
      <c r="D275" s="837" t="n">
        <v>0</v>
      </c>
      <c r="E275" s="837" t="n">
        <v>0</v>
      </c>
      <c r="F275" s="837" t="n">
        <v>0</v>
      </c>
      <c r="G275" s="837" t="n">
        <v>0</v>
      </c>
      <c r="H275" s="837" t="n">
        <v>0</v>
      </c>
      <c r="I275" s="837" t="n">
        <v>0</v>
      </c>
      <c r="J275" s="838" t="n">
        <v>0</v>
      </c>
      <c r="K275" s="838" t="n">
        <v>0</v>
      </c>
    </row>
    <row r="276">
      <c r="A276" s="155" t="inlineStr">
        <is>
          <t>Subsidies aangerekend op het resultaat (post 752/9)</t>
        </is>
      </c>
      <c r="B276" s="855" t="inlineStr">
        <is>
          <t> </t>
        </is>
      </c>
      <c r="C276" s="855" t="inlineStr">
        <is>
          <t> </t>
        </is>
      </c>
      <c r="D276" s="855" t="inlineStr">
        <is>
          <t> </t>
        </is>
      </c>
      <c r="E276" s="855" t="inlineStr">
        <is>
          <t> </t>
        </is>
      </c>
      <c r="F276" s="855" t="inlineStr">
        <is>
          <t> </t>
        </is>
      </c>
      <c r="G276" s="855" t="inlineStr">
        <is>
          <t> </t>
        </is>
      </c>
      <c r="H276" s="855" t="inlineStr">
        <is>
          <t> </t>
        </is>
      </c>
      <c r="I276" s="855" t="inlineStr">
        <is>
          <t> </t>
        </is>
      </c>
      <c r="J276" s="832" t="inlineStr">
        <is>
          <t> </t>
        </is>
      </c>
      <c r="K276" s="832" t="inlineStr">
        <is>
          <t> </t>
        </is>
      </c>
    </row>
    <row r="277">
      <c r="A277" s="226" t="inlineStr">
        <is>
          <t>* Kapitaalsubsidies   (9125)</t>
        </is>
      </c>
      <c r="B277" s="837" t="n">
        <v>0</v>
      </c>
      <c r="C277" s="837" t="n">
        <v>0</v>
      </c>
      <c r="D277" s="837" t="n">
        <v>0</v>
      </c>
      <c r="E277" s="837" t="n">
        <v>0</v>
      </c>
      <c r="F277" s="837" t="n">
        <v>0</v>
      </c>
      <c r="G277" s="837" t="n">
        <v>0</v>
      </c>
      <c r="H277" s="837" t="n">
        <v>0</v>
      </c>
      <c r="I277" s="837" t="n">
        <v>0</v>
      </c>
      <c r="J277" s="838" t="n">
        <v>0</v>
      </c>
      <c r="K277" s="838" t="n">
        <v>0</v>
      </c>
    </row>
    <row r="278">
      <c r="A278" s="226" t="inlineStr">
        <is>
          <t>* Rentesubsidies   (9126)</t>
        </is>
      </c>
      <c r="B278" s="837" t="n">
        <v>0</v>
      </c>
      <c r="C278" s="837" t="n">
        <v>0</v>
      </c>
      <c r="D278" s="837" t="n">
        <v>0</v>
      </c>
      <c r="E278" s="837" t="n">
        <v>0</v>
      </c>
      <c r="F278" s="837" t="n">
        <v>0</v>
      </c>
      <c r="G278" s="837" t="n">
        <v>0</v>
      </c>
      <c r="H278" s="837" t="n">
        <v>0</v>
      </c>
      <c r="I278" s="837" t="n">
        <v>0</v>
      </c>
      <c r="J278" s="838" t="n">
        <v>0</v>
      </c>
      <c r="K278" s="838" t="n">
        <v>0</v>
      </c>
    </row>
    <row r="279">
      <c r="A279" s="155" t="inlineStr">
        <is>
          <t>Diverse financiële voordelen (sociale balans)</t>
        </is>
      </c>
      <c r="B279" s="857" t="n"/>
      <c r="C279" s="857" t="n"/>
      <c r="D279" s="857" t="n"/>
      <c r="E279" s="857" t="n"/>
      <c r="F279" s="857" t="n"/>
      <c r="G279" s="857" t="n"/>
      <c r="H279" s="857" t="n"/>
      <c r="I279" s="857" t="n"/>
      <c r="J279" s="838" t="n"/>
      <c r="K279" s="838" t="n"/>
    </row>
    <row r="280">
      <c r="A280" s="155" t="inlineStr">
        <is>
          <t>* maatregelen ten gunste van de werkgelegenheid (403/412)</t>
        </is>
      </c>
      <c r="B280" s="837" t="n">
        <v>0</v>
      </c>
      <c r="C280" s="837" t="n">
        <v>0</v>
      </c>
      <c r="D280" s="837" t="n">
        <v>0</v>
      </c>
      <c r="E280" s="837" t="n">
        <v>0</v>
      </c>
      <c r="F280" s="837" t="n">
        <v>0</v>
      </c>
      <c r="G280" s="837" t="n">
        <v>0</v>
      </c>
      <c r="H280" s="837" t="n">
        <v>0</v>
      </c>
      <c r="I280" s="837" t="n">
        <v>0</v>
      </c>
      <c r="J280" s="838" t="n">
        <v>0</v>
      </c>
      <c r="K280" s="838" t="n">
        <v>0</v>
      </c>
    </row>
    <row r="281">
      <c r="A281" s="155" t="inlineStr">
        <is>
          <t>Kosten van schulden (post 650)</t>
        </is>
      </c>
      <c r="B281" s="837" t="n"/>
      <c r="C281" s="837" t="n"/>
      <c r="D281" s="837" t="n"/>
      <c r="E281" s="837" t="n"/>
      <c r="F281" s="837" t="n"/>
      <c r="G281" s="837" t="n"/>
      <c r="H281" s="837" t="n"/>
      <c r="I281" s="837" t="n"/>
      <c r="J281" s="838" t="n"/>
      <c r="K281" s="838" t="n"/>
    </row>
    <row r="282">
      <c r="A282" s="155" t="inlineStr">
        <is>
          <t>* Afschrijving kosten bij uitgifte leningen/disagio (6501)</t>
        </is>
      </c>
      <c r="B282" s="837" t="n">
        <v>0</v>
      </c>
      <c r="C282" s="837" t="n">
        <v>0</v>
      </c>
      <c r="D282" s="837" t="n">
        <v>0</v>
      </c>
      <c r="E282" s="837" t="n">
        <v>0</v>
      </c>
      <c r="F282" s="837" t="n">
        <v>0</v>
      </c>
      <c r="G282" s="837" t="n">
        <v>0</v>
      </c>
      <c r="H282" s="837" t="n">
        <v>0</v>
      </c>
      <c r="I282" s="837" t="n">
        <v>0</v>
      </c>
      <c r="J282" s="838" t="n">
        <v>0</v>
      </c>
      <c r="K282" s="838" t="n">
        <v>0</v>
      </c>
    </row>
    <row r="283">
      <c r="A283" s="155" t="inlineStr">
        <is>
          <t>Andere financiële kosten (post 652/9)</t>
        </is>
      </c>
      <c r="B283" s="857" t="n"/>
      <c r="C283" s="857" t="n"/>
      <c r="D283" s="857" t="n"/>
      <c r="E283" s="857" t="n"/>
      <c r="F283" s="857" t="n"/>
      <c r="G283" s="857" t="n"/>
      <c r="H283" s="857" t="n"/>
      <c r="I283" s="857" t="n"/>
      <c r="J283" s="838" t="n"/>
      <c r="K283" s="838" t="n"/>
    </row>
    <row r="284">
      <c r="A284" s="226" t="inlineStr">
        <is>
          <t>* Diskontokosten bij verhandeling vorderingen   (653)</t>
        </is>
      </c>
      <c r="B284" s="853" t="n">
        <v>0</v>
      </c>
      <c r="C284" s="853" t="n">
        <v>0</v>
      </c>
      <c r="D284" s="853" t="n">
        <v>0</v>
      </c>
      <c r="E284" s="853" t="n">
        <v>0</v>
      </c>
      <c r="F284" s="853" t="n">
        <v>0</v>
      </c>
      <c r="G284" s="853" t="n">
        <v>0</v>
      </c>
      <c r="H284" s="853" t="n">
        <v>0</v>
      </c>
      <c r="I284" s="853" t="n">
        <v>0</v>
      </c>
      <c r="J284" s="854" t="n">
        <v>0</v>
      </c>
      <c r="K284" s="854" t="n">
        <v>0</v>
      </c>
    </row>
    <row r="285">
      <c r="A285" s="226" t="n"/>
      <c r="B285" s="227" t="n"/>
      <c r="C285" s="227" t="n"/>
      <c r="D285" s="227" t="n"/>
      <c r="E285" s="227" t="n"/>
      <c r="F285" s="227" t="n"/>
      <c r="G285" s="227" t="n"/>
      <c r="H285" s="227" t="n"/>
      <c r="I285" s="227" t="n"/>
      <c r="J285" s="227" t="n"/>
      <c r="K285" s="227" t="n"/>
    </row>
    <row r="286">
      <c r="A286" s="226" t="n"/>
      <c r="B286" s="227" t="n"/>
      <c r="C286" s="227" t="n"/>
      <c r="D286" s="227" t="n"/>
      <c r="E286" s="227" t="n"/>
      <c r="F286" s="227" t="n"/>
      <c r="G286" s="227" t="n"/>
      <c r="H286" s="227" t="n"/>
      <c r="I286" s="227" t="n"/>
      <c r="J286" s="227" t="n"/>
      <c r="K286" s="227" t="n"/>
    </row>
    <row r="288" ht="12.75" customFormat="1" customHeight="1" s="159">
      <c r="A288" s="216" t="inlineStr">
        <is>
          <t>BELASTING OVER TOEGEVOEGDE WAARDE  (VOL 17)</t>
        </is>
      </c>
      <c r="B288" s="217">
        <f>B7</f>
        <v/>
      </c>
      <c r="C288" s="217">
        <f>C7</f>
        <v/>
      </c>
      <c r="D288" s="217">
        <f>D7</f>
        <v/>
      </c>
      <c r="E288" s="217">
        <f>E7</f>
        <v/>
      </c>
      <c r="F288" s="217">
        <f>F7</f>
        <v/>
      </c>
      <c r="G288" s="217">
        <f>G7</f>
        <v/>
      </c>
      <c r="H288" s="217">
        <f>H7</f>
        <v/>
      </c>
      <c r="I288" s="217">
        <f>I7</f>
        <v/>
      </c>
      <c r="J288" s="158">
        <f>J7</f>
        <v/>
      </c>
      <c r="K288" s="158">
        <f>K7</f>
        <v/>
      </c>
    </row>
    <row r="289">
      <c r="A289" s="155" t="n"/>
      <c r="B289" s="218" t="n"/>
      <c r="C289" s="218" t="n"/>
      <c r="D289" s="218" t="n"/>
      <c r="E289" s="218" t="n"/>
      <c r="F289" s="218" t="n"/>
      <c r="G289" s="218" t="n"/>
      <c r="H289" s="218" t="n"/>
      <c r="I289" s="218" t="n"/>
      <c r="J289" s="184" t="n"/>
      <c r="K289" s="184" t="n"/>
    </row>
    <row r="290">
      <c r="A290" s="155" t="n"/>
      <c r="B290" s="219" t="n"/>
      <c r="C290" s="219" t="n"/>
      <c r="D290" s="219" t="n"/>
      <c r="E290" s="219" t="n"/>
      <c r="F290" s="219" t="n"/>
      <c r="G290" s="219" t="n"/>
      <c r="H290" s="219" t="n"/>
      <c r="I290" s="219" t="n"/>
      <c r="J290" s="165" t="n"/>
      <c r="K290" s="165" t="n"/>
    </row>
    <row r="291">
      <c r="A291" s="155" t="inlineStr">
        <is>
          <t>* Aan de onderneming (aftrekbaar)   (9145)</t>
        </is>
      </c>
      <c r="B291" s="837" t="n">
        <v>0</v>
      </c>
      <c r="C291" s="837" t="n">
        <v>0</v>
      </c>
      <c r="D291" s="837" t="n">
        <v>0</v>
      </c>
      <c r="E291" s="837" t="n">
        <v>0</v>
      </c>
      <c r="F291" s="837" t="n">
        <v>0</v>
      </c>
      <c r="G291" s="837" t="n">
        <v>0</v>
      </c>
      <c r="H291" s="837" t="n">
        <v>0</v>
      </c>
      <c r="I291" s="837" t="n">
        <v>0</v>
      </c>
      <c r="J291" s="838" t="n">
        <v>0</v>
      </c>
      <c r="K291" s="838" t="n">
        <v>0</v>
      </c>
    </row>
    <row r="292">
      <c r="A292" s="155" t="inlineStr">
        <is>
          <t>* Door de onderneming   (9146)</t>
        </is>
      </c>
      <c r="B292" s="853" t="n">
        <v>0</v>
      </c>
      <c r="C292" s="853" t="n">
        <v>0</v>
      </c>
      <c r="D292" s="853" t="n">
        <v>0</v>
      </c>
      <c r="E292" s="853" t="n">
        <v>0</v>
      </c>
      <c r="F292" s="853" t="n">
        <v>0</v>
      </c>
      <c r="G292" s="853" t="n">
        <v>0</v>
      </c>
      <c r="H292" s="853" t="n">
        <v>0</v>
      </c>
      <c r="I292" s="853" t="n">
        <v>0</v>
      </c>
      <c r="J292" s="854" t="n">
        <v>0</v>
      </c>
      <c r="K292" s="854" t="n">
        <v>0</v>
      </c>
    </row>
    <row r="296" ht="13.2" customFormat="1" customHeight="1" s="159">
      <c r="A296" s="216" t="inlineStr">
        <is>
          <t>AANTAL WERKNEMERS  (VOL 15)</t>
        </is>
      </c>
      <c r="B296" s="217">
        <f>B7</f>
        <v/>
      </c>
      <c r="C296" s="217">
        <f>C7</f>
        <v/>
      </c>
      <c r="D296" s="217">
        <f>D7</f>
        <v/>
      </c>
      <c r="E296" s="217">
        <f>E7</f>
        <v/>
      </c>
      <c r="F296" s="217">
        <f>F7</f>
        <v/>
      </c>
      <c r="G296" s="217">
        <f>G7</f>
        <v/>
      </c>
      <c r="H296" s="217">
        <f>H7</f>
        <v/>
      </c>
      <c r="I296" s="217">
        <f>I7</f>
        <v/>
      </c>
      <c r="J296" s="158">
        <f>J7</f>
        <v/>
      </c>
      <c r="K296" s="158">
        <f>K7</f>
        <v/>
      </c>
    </row>
    <row r="297">
      <c r="A297" s="228" t="n"/>
      <c r="B297" s="218" t="n"/>
      <c r="C297" s="218" t="n"/>
      <c r="D297" s="218" t="n"/>
      <c r="E297" s="218" t="n"/>
      <c r="F297" s="218" t="n"/>
      <c r="G297" s="218" t="n"/>
      <c r="H297" s="218" t="n"/>
      <c r="I297" s="218" t="n"/>
      <c r="J297" s="184" t="n"/>
      <c r="K297" s="184" t="n"/>
    </row>
    <row r="298">
      <c r="A298" s="155" t="n"/>
      <c r="B298" s="219" t="n"/>
      <c r="C298" s="219" t="n"/>
      <c r="D298" s="219" t="n"/>
      <c r="E298" s="219" t="n"/>
      <c r="F298" s="219" t="n"/>
      <c r="G298" s="219" t="n"/>
      <c r="H298" s="219" t="n"/>
      <c r="I298" s="219" t="n"/>
      <c r="J298" s="165" t="n"/>
      <c r="K298" s="165" t="n"/>
    </row>
    <row r="299">
      <c r="A299" s="155" t="inlineStr">
        <is>
          <t>Gemiddeld aantal berekend in voltijdse equivalenten :</t>
        </is>
      </c>
      <c r="B299" s="229" t="n"/>
      <c r="C299" s="229" t="n"/>
      <c r="D299" s="229" t="n"/>
      <c r="E299" s="229" t="n"/>
      <c r="F299" s="229" t="n"/>
      <c r="G299" s="229" t="n"/>
      <c r="H299" s="229" t="n"/>
      <c r="I299" s="229" t="n"/>
      <c r="J299" s="230" t="n"/>
      <c r="K299" s="230" t="n"/>
    </row>
    <row r="300">
      <c r="A300" s="155" t="inlineStr">
        <is>
          <t>* ingeschreven personeel (9087)</t>
        </is>
      </c>
      <c r="B300" s="837" t="n">
        <v>0</v>
      </c>
      <c r="C300" s="837" t="n">
        <v>0</v>
      </c>
      <c r="D300" s="837" t="n">
        <v>0</v>
      </c>
      <c r="E300" s="837" t="n">
        <v>0</v>
      </c>
      <c r="F300" s="837" t="n">
        <v>0</v>
      </c>
      <c r="G300" s="837" t="n">
        <v>0</v>
      </c>
      <c r="H300" s="837" t="n">
        <v>0</v>
      </c>
      <c r="I300" s="837" t="n">
        <v>0</v>
      </c>
      <c r="J300" s="838" t="n">
        <v>0</v>
      </c>
      <c r="K300" s="838" t="n">
        <v>0</v>
      </c>
    </row>
    <row r="301" ht="11.25" customHeight="1">
      <c r="A301" s="155" t="inlineStr">
        <is>
          <t>* uitzendkrachten/ter beschikking gesteld (9097)</t>
        </is>
      </c>
      <c r="B301" s="837" t="n">
        <v>0</v>
      </c>
      <c r="C301" s="837" t="n">
        <v>0</v>
      </c>
      <c r="D301" s="837" t="n">
        <v>0</v>
      </c>
      <c r="E301" s="837" t="n">
        <v>0</v>
      </c>
      <c r="F301" s="837" t="n">
        <v>0</v>
      </c>
      <c r="G301" s="837" t="n">
        <v>0</v>
      </c>
      <c r="H301" s="837" t="n">
        <v>0</v>
      </c>
      <c r="I301" s="837" t="n">
        <v>0</v>
      </c>
      <c r="J301" s="838" t="n">
        <v>0</v>
      </c>
      <c r="K301" s="838" t="n">
        <v>0</v>
      </c>
    </row>
    <row r="302" ht="12.75" customHeight="1">
      <c r="A302" s="155" t="inlineStr">
        <is>
          <t>Totaal</t>
        </is>
      </c>
      <c r="B302" s="868">
        <f>SUM(B299:B301)</f>
        <v/>
      </c>
      <c r="C302" s="868">
        <f>SUM(C299:C301)</f>
        <v/>
      </c>
      <c r="D302" s="868">
        <f>SUM(D299:D301)</f>
        <v/>
      </c>
      <c r="E302" s="868">
        <f>SUM(E299:E301)</f>
        <v/>
      </c>
      <c r="F302" s="868">
        <f>SUM(F299:F301)</f>
        <v/>
      </c>
      <c r="G302" s="868">
        <f>SUM(G299:G301)</f>
        <v/>
      </c>
      <c r="H302" s="868">
        <f>SUM(H299:H301)</f>
        <v/>
      </c>
      <c r="I302" s="868">
        <f>SUM(I299:I301)</f>
        <v/>
      </c>
      <c r="J302" s="869">
        <f>SUM(J299:J301)</f>
        <v/>
      </c>
      <c r="K302" s="869">
        <f>SUM(K299:K301)</f>
        <v/>
      </c>
    </row>
    <row r="303" ht="13.2" customHeight="1">
      <c r="A303" s="155" t="n"/>
      <c r="B303" s="870" t="n"/>
      <c r="C303" s="870" t="n"/>
      <c r="D303" s="870" t="n"/>
      <c r="E303" s="870" t="n"/>
      <c r="F303" s="870" t="n"/>
      <c r="G303" s="870" t="n"/>
      <c r="H303" s="870" t="n"/>
      <c r="I303" s="870" t="n"/>
      <c r="J303" s="871" t="n"/>
      <c r="K303" s="871" t="n"/>
    </row>
    <row r="304">
      <c r="A304" s="155" t="inlineStr">
        <is>
          <t>Kosten extern personeel voor de onderneming (617)</t>
        </is>
      </c>
      <c r="B304" s="853" t="n">
        <v>0</v>
      </c>
      <c r="C304" s="854" t="n">
        <v>0</v>
      </c>
      <c r="D304" s="853" t="n">
        <v>0</v>
      </c>
      <c r="E304" s="853" t="n">
        <v>0</v>
      </c>
      <c r="F304" s="853" t="n">
        <v>0</v>
      </c>
      <c r="G304" s="853" t="n">
        <v>0</v>
      </c>
      <c r="H304" s="853" t="n">
        <v>0</v>
      </c>
      <c r="I304" s="853" t="n">
        <v>0</v>
      </c>
      <c r="J304" s="854" t="n">
        <v>0</v>
      </c>
      <c r="K304" s="854" t="n">
        <v>0</v>
      </c>
    </row>
    <row r="305">
      <c r="A305" s="155" t="n"/>
      <c r="B305" s="227" t="n"/>
      <c r="C305" s="227" t="n"/>
      <c r="D305" s="227" t="n"/>
      <c r="E305" s="227" t="n"/>
      <c r="F305" s="227" t="n"/>
      <c r="G305" s="227" t="n"/>
      <c r="H305" s="227" t="n"/>
      <c r="I305" s="227" t="n"/>
      <c r="J305" s="227" t="n"/>
      <c r="K305" s="227" t="n"/>
    </row>
    <row r="306" ht="12.6" customFormat="1" customHeight="1" s="235"/>
    <row r="307" ht="13.2" customFormat="1" customHeight="1" s="235">
      <c r="A307" s="236" t="inlineStr">
        <is>
          <t>VERMOGENSTROMENANALYSE</t>
        </is>
      </c>
    </row>
    <row r="308" ht="12" customFormat="1" customHeight="1" s="235"/>
    <row r="310" ht="13.8" customFormat="1" customHeight="1" s="159">
      <c r="A310" s="237" t="inlineStr">
        <is>
          <t>AUTOFINANCIERING (CASHFLOW)</t>
        </is>
      </c>
      <c r="B310" s="217">
        <f>B7</f>
        <v/>
      </c>
      <c r="C310" s="217">
        <f>C7</f>
        <v/>
      </c>
      <c r="D310" s="217">
        <f>D7</f>
        <v/>
      </c>
      <c r="E310" s="217">
        <f>E7</f>
        <v/>
      </c>
      <c r="F310" s="217">
        <f>F7</f>
        <v/>
      </c>
      <c r="G310" s="217">
        <f>G7</f>
        <v/>
      </c>
      <c r="H310" s="217">
        <f>H7</f>
        <v/>
      </c>
      <c r="I310" s="217">
        <f>I7</f>
        <v/>
      </c>
      <c r="J310" s="158">
        <f>J7</f>
        <v/>
      </c>
      <c r="K310" s="158">
        <f>K7</f>
        <v/>
      </c>
    </row>
    <row r="311" ht="5.25" customHeight="1">
      <c r="A311" s="184" t="n"/>
      <c r="B311" s="218" t="n"/>
      <c r="C311" s="218" t="n"/>
      <c r="D311" s="218" t="n"/>
      <c r="E311" s="218" t="n"/>
      <c r="F311" s="218" t="n"/>
      <c r="G311" s="218" t="n"/>
      <c r="H311" s="218" t="n"/>
      <c r="I311" s="218" t="n"/>
      <c r="J311" s="184" t="n"/>
      <c r="K311" s="184" t="n"/>
    </row>
    <row r="312" ht="6" customHeight="1">
      <c r="A312" s="219" t="n"/>
      <c r="B312" s="219" t="n"/>
      <c r="C312" s="219" t="n"/>
      <c r="D312" s="219" t="n"/>
      <c r="E312" s="219" t="n"/>
      <c r="F312" s="219" t="n"/>
      <c r="G312" s="219" t="n"/>
      <c r="H312" s="219" t="n"/>
      <c r="I312" s="219" t="n"/>
      <c r="J312" s="838" t="n"/>
      <c r="K312" s="838" t="n"/>
    </row>
    <row r="313">
      <c r="A313" s="219" t="inlineStr">
        <is>
          <t xml:space="preserve"> Resultaat van het boekjaar</t>
        </is>
      </c>
      <c r="B313" s="855">
        <f>B212</f>
        <v/>
      </c>
      <c r="C313" s="855">
        <f>C212</f>
        <v/>
      </c>
      <c r="D313" s="855">
        <f>D212</f>
        <v/>
      </c>
      <c r="E313" s="855">
        <f>E212</f>
        <v/>
      </c>
      <c r="F313" s="855">
        <f>F212</f>
        <v/>
      </c>
      <c r="G313" s="855">
        <f>G212</f>
        <v/>
      </c>
      <c r="H313" s="855">
        <f>H212</f>
        <v/>
      </c>
      <c r="I313" s="855">
        <f>I212</f>
        <v/>
      </c>
      <c r="J313" s="832">
        <f>J212</f>
        <v/>
      </c>
      <c r="K313" s="832">
        <f>K212</f>
        <v/>
      </c>
    </row>
    <row r="314">
      <c r="A314" s="238" t="inlineStr">
        <is>
          <t xml:space="preserve"> Afschrijvingen en waardeverminderingen op vaste activa</t>
        </is>
      </c>
      <c r="B314" s="855">
        <f>B161+B189+B190-B182-B183</f>
        <v/>
      </c>
      <c r="C314" s="855">
        <f>C161+C189+C190-C182-C183</f>
        <v/>
      </c>
      <c r="D314" s="855">
        <f>D161+D189+D190-D182-D183</f>
        <v/>
      </c>
      <c r="E314" s="855">
        <f>E161+E189+E190-E182-E183</f>
        <v/>
      </c>
      <c r="F314" s="855">
        <f>F161+F189+F190-F182-F183</f>
        <v/>
      </c>
      <c r="G314" s="855">
        <f>G161+G189+G190-G182-G183</f>
        <v/>
      </c>
      <c r="H314" s="855">
        <f>H161+H189+H190-H182-H183</f>
        <v/>
      </c>
      <c r="I314" s="855">
        <f>I161+I189+I190-I182-I183</f>
        <v/>
      </c>
      <c r="J314" s="832">
        <f>J161+J189+J190-J182-J183</f>
        <v/>
      </c>
      <c r="K314" s="832">
        <f>K161+K189+K190-K182-K183</f>
        <v/>
      </c>
    </row>
    <row r="315" ht="11.25" customHeight="1">
      <c r="A315" s="219" t="inlineStr">
        <is>
          <t xml:space="preserve"> Voorzieningen voor risico's en kosten &gt; 1 jaar</t>
        </is>
      </c>
      <c r="B315" s="855">
        <f>B163+B191-B184</f>
        <v/>
      </c>
      <c r="C315" s="855">
        <f>C163+C191-C184</f>
        <v/>
      </c>
      <c r="D315" s="855">
        <f>D163+D191-D184</f>
        <v/>
      </c>
      <c r="E315" s="855">
        <f>E163+E191-E184</f>
        <v/>
      </c>
      <c r="F315" s="855">
        <f>F163+F191-F184</f>
        <v/>
      </c>
      <c r="G315" s="855">
        <f>G163+G191-G184</f>
        <v/>
      </c>
      <c r="H315" s="855">
        <f>H163+H191-H184</f>
        <v/>
      </c>
      <c r="I315" s="855">
        <f>I163+I191-I184</f>
        <v/>
      </c>
      <c r="J315" s="832">
        <f>J163+J191-J184</f>
        <v/>
      </c>
      <c r="K315" s="832">
        <f>K163+K191-K184</f>
        <v/>
      </c>
    </row>
    <row r="316" ht="11.25" customHeight="1">
      <c r="A316" s="219" t="inlineStr">
        <is>
          <t xml:space="preserve"> Afschrijvingen kosten bij uitgifte leningen en disagio</t>
        </is>
      </c>
      <c r="B316" s="855">
        <f>B282</f>
        <v/>
      </c>
      <c r="C316" s="855">
        <f>C282</f>
        <v/>
      </c>
      <c r="D316" s="855">
        <f>D282</f>
        <v/>
      </c>
      <c r="E316" s="855">
        <f>E282</f>
        <v/>
      </c>
      <c r="F316" s="855">
        <f>F282</f>
        <v/>
      </c>
      <c r="G316" s="855">
        <f>G282</f>
        <v/>
      </c>
      <c r="H316" s="855">
        <f>H282</f>
        <v/>
      </c>
      <c r="I316" s="855">
        <f>I282</f>
        <v/>
      </c>
      <c r="J316" s="832">
        <f>J282</f>
        <v/>
      </c>
      <c r="K316" s="832">
        <f>K282</f>
        <v/>
      </c>
    </row>
    <row r="317">
      <c r="A317" s="219" t="inlineStr">
        <is>
          <t xml:space="preserve"> Aanrekening van de ontvangen kapitaalsubsidies   (-)</t>
        </is>
      </c>
      <c r="B317" s="855">
        <f>-B277</f>
        <v/>
      </c>
      <c r="C317" s="855">
        <f>-C277</f>
        <v/>
      </c>
      <c r="D317" s="837">
        <f>-D277</f>
        <v/>
      </c>
      <c r="E317" s="837">
        <f>-E277</f>
        <v/>
      </c>
      <c r="F317" s="837">
        <f>-F277</f>
        <v/>
      </c>
      <c r="G317" s="837">
        <f>-G277</f>
        <v/>
      </c>
      <c r="H317" s="837">
        <f>-H277</f>
        <v/>
      </c>
      <c r="I317" s="837">
        <f>-I277</f>
        <v/>
      </c>
      <c r="J317" s="838">
        <f>-J277</f>
        <v/>
      </c>
      <c r="K317" s="838">
        <f>-K277</f>
        <v/>
      </c>
    </row>
    <row r="318" ht="11.25" customHeight="1">
      <c r="A318" s="219" t="inlineStr">
        <is>
          <t xml:space="preserve"> Overboeking (+) / onttrekking (-) uitgestelde belastingen</t>
        </is>
      </c>
      <c r="B318" s="857">
        <f>B205-B204</f>
        <v/>
      </c>
      <c r="C318" s="857">
        <f>C205-C204</f>
        <v/>
      </c>
      <c r="D318" s="857">
        <f>D205-D204</f>
        <v/>
      </c>
      <c r="E318" s="857">
        <f>E205-E204</f>
        <v/>
      </c>
      <c r="F318" s="857">
        <f>F205-F204</f>
        <v/>
      </c>
      <c r="G318" s="857">
        <f>G205-G204</f>
        <v/>
      </c>
      <c r="H318" s="857">
        <f>H205-H204</f>
        <v/>
      </c>
      <c r="I318" s="857">
        <f>I205-I204</f>
        <v/>
      </c>
      <c r="J318" s="838">
        <f>J205-J204</f>
        <v/>
      </c>
      <c r="K318" s="838">
        <f>K205-K204</f>
        <v/>
      </c>
    </row>
    <row r="319" ht="6.75" customHeight="1">
      <c r="A319" s="219" t="n"/>
      <c r="B319" s="857" t="n"/>
      <c r="C319" s="857" t="n"/>
      <c r="D319" s="857" t="n"/>
      <c r="E319" s="857" t="n"/>
      <c r="F319" s="857" t="n"/>
      <c r="G319" s="857" t="n"/>
      <c r="H319" s="857" t="n"/>
      <c r="I319" s="857" t="n"/>
      <c r="J319" s="838" t="n"/>
      <c r="K319" s="838" t="n"/>
    </row>
    <row r="320">
      <c r="A320" s="239" t="inlineStr">
        <is>
          <t xml:space="preserve"> TOTALE (Boekhoudkundige) CASHFLOW</t>
        </is>
      </c>
      <c r="B320" s="865">
        <f>SUM(B313:B319)</f>
        <v/>
      </c>
      <c r="C320" s="865">
        <f>SUM(C313:C319)</f>
        <v/>
      </c>
      <c r="D320" s="865">
        <f>SUM(D313:D319)</f>
        <v/>
      </c>
      <c r="E320" s="865">
        <f>SUM(E313:E319)</f>
        <v/>
      </c>
      <c r="F320" s="865">
        <f>SUM(F313:F319)</f>
        <v/>
      </c>
      <c r="G320" s="865">
        <f>SUM(G313:G319)</f>
        <v/>
      </c>
      <c r="H320" s="865">
        <f>SUM(H313:H319)</f>
        <v/>
      </c>
      <c r="I320" s="865">
        <f>SUM(I313:I319)</f>
        <v/>
      </c>
      <c r="J320" s="866">
        <f>SUM(J313:J319)</f>
        <v/>
      </c>
      <c r="K320" s="866">
        <f>SUM(K313:K319)</f>
        <v/>
      </c>
    </row>
    <row r="321">
      <c r="A321" s="240" t="n"/>
      <c r="B321" s="856" t="n"/>
      <c r="C321" s="856" t="n"/>
      <c r="D321" s="856" t="n"/>
      <c r="E321" s="856" t="n"/>
      <c r="F321" s="856" t="n"/>
      <c r="G321" s="856" t="n"/>
      <c r="H321" s="856" t="n"/>
      <c r="I321" s="856" t="n"/>
      <c r="J321" s="836" t="n"/>
      <c r="K321" s="836" t="n"/>
    </row>
    <row r="322">
      <c r="A322" s="241" t="inlineStr">
        <is>
          <t>- Uitgekeerde winst van het boekjaar</t>
        </is>
      </c>
      <c r="B322" s="855">
        <f>B240</f>
        <v/>
      </c>
      <c r="C322" s="855">
        <f>C240</f>
        <v/>
      </c>
      <c r="D322" s="855">
        <f>D240</f>
        <v/>
      </c>
      <c r="E322" s="855">
        <f>E240</f>
        <v/>
      </c>
      <c r="F322" s="855">
        <f>F240</f>
        <v/>
      </c>
      <c r="G322" s="855">
        <f>G240</f>
        <v/>
      </c>
      <c r="H322" s="855">
        <f>H240</f>
        <v/>
      </c>
      <c r="I322" s="855">
        <f>I240</f>
        <v/>
      </c>
      <c r="J322" s="832">
        <f>J240</f>
        <v/>
      </c>
      <c r="K322" s="832">
        <f>K240</f>
        <v/>
      </c>
    </row>
    <row r="323">
      <c r="A323" s="241" t="n"/>
      <c r="B323" s="855" t="n"/>
      <c r="C323" s="855" t="n"/>
      <c r="D323" s="855" t="n"/>
      <c r="E323" s="855" t="n"/>
      <c r="F323" s="855" t="n"/>
      <c r="G323" s="855" t="n"/>
      <c r="H323" s="855" t="n"/>
      <c r="I323" s="855" t="n"/>
      <c r="J323" s="832" t="n"/>
      <c r="K323" s="832" t="n"/>
    </row>
    <row r="324">
      <c r="A324" s="242" t="inlineStr">
        <is>
          <t xml:space="preserve"> AUTOFINANCIERING </t>
        </is>
      </c>
      <c r="B324" s="865">
        <f>B320+B322</f>
        <v/>
      </c>
      <c r="C324" s="865">
        <f>C320+C322</f>
        <v/>
      </c>
      <c r="D324" s="865">
        <f>D320+D322</f>
        <v/>
      </c>
      <c r="E324" s="865">
        <f>E320+E322</f>
        <v/>
      </c>
      <c r="F324" s="865">
        <f>F320+F322</f>
        <v/>
      </c>
      <c r="G324" s="865">
        <f>G320+G322</f>
        <v/>
      </c>
      <c r="H324" s="865">
        <f>H320+H322</f>
        <v/>
      </c>
      <c r="I324" s="865">
        <f>I320+I322</f>
        <v/>
      </c>
      <c r="J324" s="866">
        <f>J320+J322</f>
        <v/>
      </c>
      <c r="K324" s="866">
        <f>K320+K322</f>
        <v/>
      </c>
    </row>
    <row r="325">
      <c r="A325" s="148" t="n"/>
      <c r="B325" s="225" t="n"/>
      <c r="C325" s="225" t="n"/>
      <c r="D325" s="225" t="n"/>
      <c r="E325" s="225" t="n"/>
      <c r="F325" s="225" t="n"/>
      <c r="G325" s="225" t="n"/>
      <c r="H325" s="225" t="n"/>
      <c r="I325" s="225" t="n"/>
      <c r="J325" s="225" t="n"/>
      <c r="K325" s="225" t="n"/>
    </row>
    <row r="326" ht="6" customHeight="1">
      <c r="A326" s="148" t="n"/>
      <c r="B326" s="225" t="n"/>
      <c r="C326" s="225" t="n"/>
      <c r="D326" s="225" t="n"/>
      <c r="E326" s="225" t="n"/>
      <c r="F326" s="225" t="n"/>
      <c r="G326" s="225" t="n"/>
      <c r="H326" s="225" t="n"/>
      <c r="I326" s="225" t="n"/>
      <c r="J326" s="225" t="n"/>
      <c r="K326" s="225" t="n"/>
    </row>
    <row r="328" ht="13.8" customFormat="1" customHeight="1" s="159">
      <c r="A328" s="237" t="inlineStr">
        <is>
          <t>NETTO BEDRIJFSKAPITAAL</t>
        </is>
      </c>
      <c r="B328" s="217">
        <f>B7</f>
        <v/>
      </c>
      <c r="C328" s="217">
        <f>C7</f>
        <v/>
      </c>
      <c r="D328" s="217">
        <f>D7</f>
        <v/>
      </c>
      <c r="E328" s="217">
        <f>E7</f>
        <v/>
      </c>
      <c r="F328" s="217">
        <f>F7</f>
        <v/>
      </c>
      <c r="G328" s="217">
        <f>G7</f>
        <v/>
      </c>
      <c r="H328" s="217">
        <f>H7</f>
        <v/>
      </c>
      <c r="I328" s="217">
        <f>I7</f>
        <v/>
      </c>
      <c r="J328" s="158">
        <f>J7</f>
        <v/>
      </c>
      <c r="K328" s="158">
        <f>K7</f>
        <v/>
      </c>
    </row>
    <row r="329" ht="6.75" customHeight="1">
      <c r="A329" s="243" t="n"/>
      <c r="B329" s="244" t="n"/>
      <c r="C329" s="244" t="n"/>
      <c r="D329" s="245" t="n"/>
      <c r="E329" s="245" t="n"/>
      <c r="F329" s="245" t="n"/>
      <c r="G329" s="245" t="n"/>
      <c r="H329" s="245" t="n"/>
      <c r="I329" s="245" t="n"/>
      <c r="J329" s="246" t="n"/>
      <c r="K329" s="246" t="n"/>
    </row>
    <row r="330" ht="7.5" customHeight="1">
      <c r="A330" s="219" t="n"/>
      <c r="B330" s="219" t="n"/>
      <c r="C330" s="219" t="n"/>
      <c r="D330" s="219" t="n"/>
      <c r="E330" s="219" t="n"/>
      <c r="F330" s="219" t="n"/>
      <c r="G330" s="219" t="n"/>
      <c r="H330" s="219" t="n"/>
      <c r="I330" s="219" t="n"/>
      <c r="J330" s="165" t="n"/>
      <c r="K330" s="165" t="n"/>
    </row>
    <row r="331">
      <c r="A331" s="219" t="inlineStr">
        <is>
          <t>Voorraden</t>
        </is>
      </c>
      <c r="B331" s="855">
        <f>+B47</f>
        <v/>
      </c>
      <c r="C331" s="855">
        <f>+C47</f>
        <v/>
      </c>
      <c r="D331" s="855">
        <f>+D47</f>
        <v/>
      </c>
      <c r="E331" s="855">
        <f>+E47</f>
        <v/>
      </c>
      <c r="F331" s="855">
        <f>+F47</f>
        <v/>
      </c>
      <c r="G331" s="855">
        <f>+G47</f>
        <v/>
      </c>
      <c r="H331" s="855">
        <f>+H47</f>
        <v/>
      </c>
      <c r="I331" s="855">
        <f>+I47</f>
        <v/>
      </c>
      <c r="J331" s="832">
        <f>+J47</f>
        <v/>
      </c>
      <c r="K331" s="832">
        <f>+K47</f>
        <v/>
      </c>
      <c r="L331" s="862" t="n"/>
    </row>
    <row r="332">
      <c r="A332" s="219" t="inlineStr">
        <is>
          <t>Handelsvorderingen &lt; 1 jaar</t>
        </is>
      </c>
      <c r="B332" s="855">
        <f>+B58</f>
        <v/>
      </c>
      <c r="C332" s="855">
        <f>+C58</f>
        <v/>
      </c>
      <c r="D332" s="855">
        <f>+D58</f>
        <v/>
      </c>
      <c r="E332" s="855">
        <f>+E58</f>
        <v/>
      </c>
      <c r="F332" s="855">
        <f>+F58</f>
        <v/>
      </c>
      <c r="G332" s="855">
        <f>+G58</f>
        <v/>
      </c>
      <c r="H332" s="855">
        <f>+H58</f>
        <v/>
      </c>
      <c r="I332" s="855">
        <f>+I58</f>
        <v/>
      </c>
      <c r="J332" s="832">
        <f>+J58</f>
        <v/>
      </c>
      <c r="K332" s="832">
        <f>+K58</f>
        <v/>
      </c>
      <c r="L332" s="862" t="n"/>
    </row>
    <row r="333">
      <c r="A333" s="219" t="inlineStr">
        <is>
          <t>Overige vorderingen &lt; 1 jaar</t>
        </is>
      </c>
      <c r="B333" s="855">
        <f>B59</f>
        <v/>
      </c>
      <c r="C333" s="855">
        <f>C59</f>
        <v/>
      </c>
      <c r="D333" s="855">
        <f>D59</f>
        <v/>
      </c>
      <c r="E333" s="855">
        <f>E59</f>
        <v/>
      </c>
      <c r="F333" s="855">
        <f>F59</f>
        <v/>
      </c>
      <c r="G333" s="855">
        <f>G59</f>
        <v/>
      </c>
      <c r="H333" s="855">
        <f>H59</f>
        <v/>
      </c>
      <c r="I333" s="855">
        <f>I59</f>
        <v/>
      </c>
      <c r="J333" s="832">
        <f>J59</f>
        <v/>
      </c>
      <c r="K333" s="832">
        <f>K59</f>
        <v/>
      </c>
    </row>
    <row r="334">
      <c r="A334" s="219" t="inlineStr">
        <is>
          <t>Handelsschulden &lt; 1 jaar</t>
        </is>
      </c>
      <c r="B334" s="855">
        <f>-B125</f>
        <v/>
      </c>
      <c r="C334" s="855">
        <f>-C125</f>
        <v/>
      </c>
      <c r="D334" s="855">
        <f>-D125</f>
        <v/>
      </c>
      <c r="E334" s="855">
        <f>-E125</f>
        <v/>
      </c>
      <c r="F334" s="855">
        <f>-F125</f>
        <v/>
      </c>
      <c r="G334" s="855">
        <f>-G125</f>
        <v/>
      </c>
      <c r="H334" s="855">
        <f>-H125</f>
        <v/>
      </c>
      <c r="I334" s="855">
        <f>-I125</f>
        <v/>
      </c>
      <c r="J334" s="832">
        <f>-J125</f>
        <v/>
      </c>
      <c r="K334" s="832">
        <f>-K125</f>
        <v/>
      </c>
    </row>
    <row r="335">
      <c r="A335" s="219" t="inlineStr">
        <is>
          <t>Ontvangen vooruitbetalingen op bestell.</t>
        </is>
      </c>
      <c r="B335" s="855">
        <f>-B128</f>
        <v/>
      </c>
      <c r="C335" s="855">
        <f>-C128</f>
        <v/>
      </c>
      <c r="D335" s="855">
        <f>-D128</f>
        <v/>
      </c>
      <c r="E335" s="855">
        <f>-E128</f>
        <v/>
      </c>
      <c r="F335" s="855">
        <f>-F128</f>
        <v/>
      </c>
      <c r="G335" s="855">
        <f>-G128</f>
        <v/>
      </c>
      <c r="H335" s="855">
        <f>-H128</f>
        <v/>
      </c>
      <c r="I335" s="855">
        <f>-I128</f>
        <v/>
      </c>
      <c r="J335" s="832">
        <f>-J128</f>
        <v/>
      </c>
      <c r="K335" s="832">
        <f>-K128</f>
        <v/>
      </c>
    </row>
    <row r="336">
      <c r="A336" s="219" t="inlineStr">
        <is>
          <t>Schulden mbt belastingen, bezoldig.</t>
        </is>
      </c>
      <c r="B336" s="855">
        <f>-B129</f>
        <v/>
      </c>
      <c r="C336" s="855">
        <f>-C129</f>
        <v/>
      </c>
      <c r="D336" s="855">
        <f>-D129</f>
        <v/>
      </c>
      <c r="E336" s="855">
        <f>-E129</f>
        <v/>
      </c>
      <c r="F336" s="855">
        <f>-F129</f>
        <v/>
      </c>
      <c r="G336" s="855">
        <f>-G129</f>
        <v/>
      </c>
      <c r="H336" s="855">
        <f>-H129</f>
        <v/>
      </c>
      <c r="I336" s="855">
        <f>-I129</f>
        <v/>
      </c>
      <c r="J336" s="832">
        <f>-J129</f>
        <v/>
      </c>
      <c r="K336" s="832">
        <f>-K129</f>
        <v/>
      </c>
    </row>
    <row r="337">
      <c r="A337" s="219" t="inlineStr">
        <is>
          <t>Overige schulden &lt; 1 jaar</t>
        </is>
      </c>
      <c r="B337" s="855">
        <f>-B132</f>
        <v/>
      </c>
      <c r="C337" s="855">
        <f>-C132</f>
        <v/>
      </c>
      <c r="D337" s="855">
        <f>-D132</f>
        <v/>
      </c>
      <c r="E337" s="855">
        <f>-E132</f>
        <v/>
      </c>
      <c r="F337" s="855">
        <f>-F132</f>
        <v/>
      </c>
      <c r="G337" s="855">
        <f>-G132</f>
        <v/>
      </c>
      <c r="H337" s="855">
        <f>-H132</f>
        <v/>
      </c>
      <c r="I337" s="855">
        <f>-I132</f>
        <v/>
      </c>
      <c r="J337" s="832">
        <f>-J132</f>
        <v/>
      </c>
      <c r="K337" s="832">
        <f>-K132</f>
        <v/>
      </c>
    </row>
    <row r="338">
      <c r="A338" s="219" t="inlineStr">
        <is>
          <t>Netto saldo overlopende rekeningen</t>
        </is>
      </c>
      <c r="B338" s="855">
        <f>B67-B134</f>
        <v/>
      </c>
      <c r="C338" s="855">
        <f>C67-C134</f>
        <v/>
      </c>
      <c r="D338" s="855">
        <f>D67-D134</f>
        <v/>
      </c>
      <c r="E338" s="855">
        <f>E67-E134</f>
        <v/>
      </c>
      <c r="F338" s="855">
        <f>F67-F134</f>
        <v/>
      </c>
      <c r="G338" s="855">
        <f>G67-G134</f>
        <v/>
      </c>
      <c r="H338" s="855">
        <f>H67-H134</f>
        <v/>
      </c>
      <c r="I338" s="855">
        <f>I67-I134</f>
        <v/>
      </c>
      <c r="J338" s="832">
        <f>J67-J134</f>
        <v/>
      </c>
      <c r="K338" s="832">
        <f>K67-K134</f>
        <v/>
      </c>
      <c r="L338" s="862" t="n"/>
    </row>
    <row r="339" ht="7.5" customHeight="1">
      <c r="A339" s="219" t="n"/>
      <c r="B339" s="855" t="n"/>
      <c r="C339" s="855" t="n"/>
      <c r="D339" s="855" t="n"/>
      <c r="E339" s="855" t="n"/>
      <c r="F339" s="855" t="n"/>
      <c r="G339" s="855" t="n"/>
      <c r="H339" s="855" t="n"/>
      <c r="I339" s="855" t="n"/>
      <c r="J339" s="832" t="n"/>
      <c r="K339" s="832" t="n"/>
    </row>
    <row r="340">
      <c r="A340" s="239" t="inlineStr">
        <is>
          <t>Behoefte aan bedrijfskapitaal</t>
        </is>
      </c>
      <c r="B340" s="872">
        <f>SUM(B331:B338)</f>
        <v/>
      </c>
      <c r="C340" s="872">
        <f>SUM(C331:C338)</f>
        <v/>
      </c>
      <c r="D340" s="872">
        <f>SUM(D331:D338)</f>
        <v/>
      </c>
      <c r="E340" s="872">
        <f>SUM(E331:E338)</f>
        <v/>
      </c>
      <c r="F340" s="872">
        <f>SUM(F331:F338)</f>
        <v/>
      </c>
      <c r="G340" s="872">
        <f>SUM(G331:G338)</f>
        <v/>
      </c>
      <c r="H340" s="872">
        <f>SUM(H331:H338)</f>
        <v/>
      </c>
      <c r="I340" s="872">
        <f>SUM(I331:I338)</f>
        <v/>
      </c>
      <c r="J340" s="873">
        <f>SUM(J331:J338)</f>
        <v/>
      </c>
      <c r="K340" s="873">
        <f>SUM(K331:K338)</f>
        <v/>
      </c>
      <c r="L340" s="249" t="n"/>
    </row>
    <row r="341" ht="6.75" customHeight="1">
      <c r="A341" s="219" t="inlineStr">
        <is>
          <t> </t>
        </is>
      </c>
      <c r="B341" s="855" t="n"/>
      <c r="C341" s="855" t="n"/>
      <c r="D341" s="855" t="n"/>
      <c r="E341" s="855" t="n"/>
      <c r="F341" s="855" t="n"/>
      <c r="G341" s="855" t="n"/>
      <c r="H341" s="855" t="n"/>
      <c r="I341" s="855" t="n"/>
      <c r="J341" s="832" t="n"/>
      <c r="K341" s="832" t="n"/>
    </row>
    <row r="342">
      <c r="A342" s="219" t="inlineStr">
        <is>
          <t>Liquide middelen, geldbeleggingen</t>
        </is>
      </c>
      <c r="B342" s="855">
        <f>B65+B61</f>
        <v/>
      </c>
      <c r="C342" s="855">
        <f>C65+C61</f>
        <v/>
      </c>
      <c r="D342" s="855">
        <f>D65+D61</f>
        <v/>
      </c>
      <c r="E342" s="855">
        <f>E65+E61</f>
        <v/>
      </c>
      <c r="F342" s="855">
        <f>F65+F61</f>
        <v/>
      </c>
      <c r="G342" s="855">
        <f>G65+G61</f>
        <v/>
      </c>
      <c r="H342" s="855">
        <f>H65+H61</f>
        <v/>
      </c>
      <c r="I342" s="855">
        <f>I65+I61</f>
        <v/>
      </c>
      <c r="J342" s="832">
        <f>J65+J61</f>
        <v/>
      </c>
      <c r="K342" s="832">
        <f>K65+K61</f>
        <v/>
      </c>
      <c r="L342" s="249" t="n"/>
    </row>
    <row r="343" ht="7.5" customHeight="1">
      <c r="A343" s="219" t="n"/>
      <c r="B343" s="855" t="n"/>
      <c r="C343" s="855" t="n"/>
      <c r="D343" s="855" t="n"/>
      <c r="E343" s="855" t="n"/>
      <c r="F343" s="855" t="n"/>
      <c r="G343" s="855" t="n"/>
      <c r="H343" s="855" t="n"/>
      <c r="I343" s="855" t="n"/>
      <c r="J343" s="832" t="n"/>
      <c r="K343" s="832" t="n"/>
    </row>
    <row r="344">
      <c r="A344" s="239" t="inlineStr">
        <is>
          <t>Totaal te Financieren</t>
        </is>
      </c>
      <c r="B344" s="865">
        <f>B340+B342</f>
        <v/>
      </c>
      <c r="C344" s="865">
        <f>C340+C342</f>
        <v/>
      </c>
      <c r="D344" s="865">
        <f>D340+D342</f>
        <v/>
      </c>
      <c r="E344" s="865">
        <f>E340+E342</f>
        <v/>
      </c>
      <c r="F344" s="865">
        <f>F340+F342</f>
        <v/>
      </c>
      <c r="G344" s="865">
        <f>G340+G342</f>
        <v/>
      </c>
      <c r="H344" s="865">
        <f>H340+H342</f>
        <v/>
      </c>
      <c r="I344" s="865">
        <f>I340+I342</f>
        <v/>
      </c>
      <c r="J344" s="866">
        <f>J340+J342</f>
        <v/>
      </c>
      <c r="K344" s="866">
        <f>K340+K342</f>
        <v/>
      </c>
    </row>
    <row r="345" ht="6.75" customHeight="1">
      <c r="A345" s="219" t="inlineStr">
        <is>
          <t> </t>
        </is>
      </c>
      <c r="B345" s="855" t="n"/>
      <c r="C345" s="855" t="n"/>
      <c r="D345" s="855" t="n"/>
      <c r="E345" s="855" t="n"/>
      <c r="F345" s="855" t="n"/>
      <c r="G345" s="855" t="n"/>
      <c r="H345" s="855" t="n"/>
      <c r="I345" s="855" t="n"/>
      <c r="J345" s="832" t="n"/>
      <c r="K345" s="832" t="n"/>
    </row>
    <row r="346" ht="11.25" customHeight="1">
      <c r="A346" s="219" t="inlineStr">
        <is>
          <t>LT schulden &lt; 1 jaar</t>
        </is>
      </c>
      <c r="B346" s="855">
        <f>-B121</f>
        <v/>
      </c>
      <c r="C346" s="855">
        <f>-C121</f>
        <v/>
      </c>
      <c r="D346" s="855">
        <f>-D121</f>
        <v/>
      </c>
      <c r="E346" s="855">
        <f>-E121</f>
        <v/>
      </c>
      <c r="F346" s="855">
        <f>-F121</f>
        <v/>
      </c>
      <c r="G346" s="855">
        <f>-G121</f>
        <v/>
      </c>
      <c r="H346" s="855">
        <f>-H121</f>
        <v/>
      </c>
      <c r="I346" s="855">
        <f>-I121</f>
        <v/>
      </c>
      <c r="J346" s="832">
        <f>-J121</f>
        <v/>
      </c>
      <c r="K346" s="832">
        <f>-K121</f>
        <v/>
      </c>
      <c r="L346" s="249" t="n"/>
    </row>
    <row r="347">
      <c r="A347" s="219" t="inlineStr">
        <is>
          <t>KT Financiële schulden</t>
        </is>
      </c>
      <c r="B347" s="855">
        <f>-B122</f>
        <v/>
      </c>
      <c r="C347" s="855">
        <f>-C122</f>
        <v/>
      </c>
      <c r="D347" s="855">
        <f>-D122</f>
        <v/>
      </c>
      <c r="E347" s="855">
        <f>-E122</f>
        <v/>
      </c>
      <c r="F347" s="855">
        <f>-F122</f>
        <v/>
      </c>
      <c r="G347" s="855">
        <f>-G122</f>
        <v/>
      </c>
      <c r="H347" s="855">
        <f>-H122</f>
        <v/>
      </c>
      <c r="I347" s="855">
        <f>-I122</f>
        <v/>
      </c>
      <c r="J347" s="832">
        <f>-J122</f>
        <v/>
      </c>
      <c r="K347" s="832">
        <f>-K122</f>
        <v/>
      </c>
    </row>
    <row r="348" ht="7.5" customHeight="1">
      <c r="A348" s="219" t="n"/>
      <c r="B348" s="855" t="n"/>
      <c r="C348" s="855" t="n"/>
      <c r="D348" s="855" t="n"/>
      <c r="E348" s="855" t="n"/>
      <c r="F348" s="855" t="n"/>
      <c r="G348" s="855" t="n"/>
      <c r="H348" s="855" t="n"/>
      <c r="I348" s="855" t="n"/>
      <c r="J348" s="832" t="n"/>
      <c r="K348" s="832" t="n"/>
    </row>
    <row r="349">
      <c r="A349" s="242" t="inlineStr">
        <is>
          <t>NETTO BEDRIJFSKAPITAAL</t>
        </is>
      </c>
      <c r="B349" s="865">
        <f>SUM(B344:B347)</f>
        <v/>
      </c>
      <c r="C349" s="865">
        <f>SUM(C344:C347)</f>
        <v/>
      </c>
      <c r="D349" s="865">
        <f>SUM(D344:D347)</f>
        <v/>
      </c>
      <c r="E349" s="865">
        <f>SUM(E344:E347)</f>
        <v/>
      </c>
      <c r="F349" s="865">
        <f>SUM(F344:F347)</f>
        <v/>
      </c>
      <c r="G349" s="865">
        <f>SUM(G344:G347)</f>
        <v/>
      </c>
      <c r="H349" s="865">
        <f>SUM(H344:H347)</f>
        <v/>
      </c>
      <c r="I349" s="865">
        <f>SUM(I344:I347)</f>
        <v/>
      </c>
      <c r="J349" s="866">
        <f>SUM(J344:J347)</f>
        <v/>
      </c>
      <c r="K349" s="866">
        <f>SUM(K344:K347)</f>
        <v/>
      </c>
    </row>
    <row r="350">
      <c r="A350" s="146" t="inlineStr">
        <is>
          <t> </t>
        </is>
      </c>
      <c r="L350" s="862" t="n"/>
    </row>
    <row r="352" ht="13.8" customFormat="1" customHeight="1" s="159">
      <c r="A352" s="237" t="inlineStr">
        <is>
          <t>WIJZ. FINANCIERING  BEDRIJFSKAPITAAL</t>
        </is>
      </c>
      <c r="B352" s="217">
        <f>B7</f>
        <v/>
      </c>
      <c r="C352" s="217">
        <f>C7</f>
        <v/>
      </c>
      <c r="D352" s="217">
        <f>D7</f>
        <v/>
      </c>
      <c r="E352" s="217">
        <f>E7</f>
        <v/>
      </c>
      <c r="F352" s="217">
        <f>F7</f>
        <v/>
      </c>
      <c r="G352" s="217">
        <f>G7</f>
        <v/>
      </c>
      <c r="H352" s="217">
        <f>H7</f>
        <v/>
      </c>
      <c r="I352" s="217">
        <f>I7</f>
        <v/>
      </c>
      <c r="J352" s="158">
        <f>J7</f>
        <v/>
      </c>
      <c r="K352" s="158">
        <f>K7</f>
        <v/>
      </c>
      <c r="L352" s="249" t="n"/>
    </row>
    <row r="353" ht="6" customHeight="1">
      <c r="A353" s="243" t="n"/>
      <c r="B353" s="244" t="n"/>
      <c r="C353" s="244" t="n"/>
      <c r="D353" s="245" t="n"/>
      <c r="E353" s="245" t="n"/>
      <c r="F353" s="245" t="n"/>
      <c r="G353" s="245" t="n"/>
      <c r="H353" s="245" t="n"/>
      <c r="I353" s="245" t="n"/>
      <c r="J353" s="246" t="n"/>
      <c r="K353" s="246" t="n"/>
    </row>
    <row r="354">
      <c r="A354" s="219" t="n"/>
      <c r="B354" s="219" t="n"/>
      <c r="C354" s="219" t="n"/>
      <c r="D354" s="219" t="n"/>
      <c r="E354" s="219" t="n"/>
      <c r="F354" s="219" t="n"/>
      <c r="G354" s="219" t="n"/>
      <c r="H354" s="219" t="n"/>
      <c r="I354" s="219" t="n"/>
      <c r="J354" s="838" t="n"/>
      <c r="K354" s="838" t="n"/>
      <c r="L354" s="249" t="n"/>
      <c r="M354" s="159" t="n"/>
    </row>
    <row r="355" ht="13.8" customHeight="1">
      <c r="A355" s="250" t="inlineStr">
        <is>
          <t>Herkomst der middelen</t>
        </is>
      </c>
      <c r="B355" s="219" t="n"/>
      <c r="C355" s="219" t="n"/>
      <c r="D355" s="219" t="n"/>
      <c r="E355" s="219" t="n"/>
      <c r="F355" s="219" t="n"/>
      <c r="G355" s="219" t="n"/>
      <c r="H355" s="219" t="n"/>
      <c r="I355" s="219" t="n"/>
      <c r="J355" s="838" t="n"/>
      <c r="K355" s="838" t="n"/>
      <c r="L355" s="251" t="n"/>
      <c r="M355" s="194" t="n"/>
    </row>
    <row r="356">
      <c r="A356" s="219" t="inlineStr">
        <is>
          <t>Autofinanciering</t>
        </is>
      </c>
      <c r="B356" s="855">
        <f>B324</f>
        <v/>
      </c>
      <c r="C356" s="855">
        <f>C324</f>
        <v/>
      </c>
      <c r="D356" s="855">
        <f>D324</f>
        <v/>
      </c>
      <c r="E356" s="855">
        <f>E324</f>
        <v/>
      </c>
      <c r="F356" s="855">
        <f>F324</f>
        <v/>
      </c>
      <c r="G356" s="855">
        <f>G324</f>
        <v/>
      </c>
      <c r="H356" s="855">
        <f>H324</f>
        <v/>
      </c>
      <c r="I356" s="855">
        <f>I324</f>
        <v/>
      </c>
      <c r="J356" s="832">
        <f>J324</f>
        <v/>
      </c>
      <c r="K356" s="832">
        <f>K324</f>
        <v/>
      </c>
    </row>
    <row r="357">
      <c r="A357" s="219" t="inlineStr">
        <is>
          <t>Kapitaalvolstorting</t>
        </is>
      </c>
      <c r="B357" s="874" t="n">
        <v>0</v>
      </c>
      <c r="C357" s="855" t="n">
        <v>0</v>
      </c>
      <c r="D357" s="855" t="n">
        <v>0</v>
      </c>
      <c r="E357" s="855" t="n">
        <v>0</v>
      </c>
      <c r="F357" s="855" t="n">
        <v>0</v>
      </c>
      <c r="G357" s="855" t="n">
        <v>0</v>
      </c>
      <c r="H357" s="855" t="n">
        <v>0</v>
      </c>
      <c r="I357" s="855" t="n">
        <v>0</v>
      </c>
      <c r="J357" s="832" t="n">
        <v>0</v>
      </c>
      <c r="K357" s="832" t="n">
        <v>0</v>
      </c>
    </row>
    <row r="358">
      <c r="A358" s="238" t="inlineStr">
        <is>
          <t>* Correctie incorporatie verliezen (+) of  reserves (-)</t>
        </is>
      </c>
      <c r="B358" s="855" t="n">
        <v>0</v>
      </c>
      <c r="C358" s="855" t="n">
        <v>0</v>
      </c>
      <c r="D358" s="855" t="n">
        <v>0</v>
      </c>
      <c r="E358" s="855" t="n">
        <v>0</v>
      </c>
      <c r="F358" s="855" t="n">
        <v>0</v>
      </c>
      <c r="G358" s="855" t="n">
        <v>0</v>
      </c>
      <c r="H358" s="855" t="n">
        <v>0</v>
      </c>
      <c r="I358" s="855" t="n">
        <v>0</v>
      </c>
      <c r="J358" s="832" t="n">
        <v>0</v>
      </c>
      <c r="K358" s="832" t="n">
        <v>0</v>
      </c>
    </row>
    <row r="359">
      <c r="A359" s="219" t="inlineStr">
        <is>
          <t xml:space="preserve">* Nieuwe leningen (op LT) </t>
        </is>
      </c>
      <c r="B359" s="857" t="n">
        <v>0</v>
      </c>
      <c r="C359" s="857" t="n">
        <v>0</v>
      </c>
      <c r="D359" s="857" t="n">
        <v>0</v>
      </c>
      <c r="E359" s="857" t="n">
        <v>0</v>
      </c>
      <c r="F359" s="857" t="n">
        <v>0</v>
      </c>
      <c r="G359" s="857" t="n">
        <v>0</v>
      </c>
      <c r="H359" s="857" t="n">
        <v>0</v>
      </c>
      <c r="I359" s="857" t="n">
        <v>0</v>
      </c>
      <c r="J359" s="838" t="n">
        <v>0</v>
      </c>
      <c r="K359" s="838" t="n">
        <v>0</v>
      </c>
    </row>
    <row r="360">
      <c r="A360" s="219" t="inlineStr">
        <is>
          <t>Toename overige schulden op LT</t>
        </is>
      </c>
      <c r="B360" s="874" t="n">
        <v>0</v>
      </c>
      <c r="C360" s="855" t="n">
        <v>0</v>
      </c>
      <c r="D360" s="855" t="n">
        <v>0</v>
      </c>
      <c r="E360" s="855" t="n">
        <v>0</v>
      </c>
      <c r="F360" s="855" t="n">
        <v>0</v>
      </c>
      <c r="G360" s="855" t="n">
        <v>0</v>
      </c>
      <c r="H360" s="855" t="n">
        <v>0</v>
      </c>
      <c r="I360" s="855" t="n">
        <v>0</v>
      </c>
      <c r="J360" s="832" t="n">
        <v>0</v>
      </c>
      <c r="K360" s="832" t="n">
        <v>0</v>
      </c>
    </row>
    <row r="361">
      <c r="A361" s="238" t="inlineStr">
        <is>
          <t>Ontvangen kapitaalsubsidies (excl afschr.)</t>
        </is>
      </c>
      <c r="B361" s="858" t="n">
        <v>0</v>
      </c>
      <c r="C361" s="857" t="n">
        <v>0</v>
      </c>
      <c r="D361" s="857" t="n">
        <v>0</v>
      </c>
      <c r="E361" s="857" t="n">
        <v>0</v>
      </c>
      <c r="F361" s="857" t="n">
        <v>0</v>
      </c>
      <c r="G361" s="857" t="n">
        <v>0</v>
      </c>
      <c r="H361" s="857" t="n">
        <v>0</v>
      </c>
      <c r="I361" s="857" t="n">
        <v>0</v>
      </c>
      <c r="J361" s="838" t="n">
        <v>0</v>
      </c>
      <c r="K361" s="838" t="n">
        <v>0</v>
      </c>
    </row>
    <row r="362">
      <c r="A362" s="238" t="inlineStr">
        <is>
          <t>Uitgestelde belastingen (excl afschr.)</t>
        </is>
      </c>
      <c r="B362" s="858" t="n">
        <v>0</v>
      </c>
      <c r="C362" s="857" t="n">
        <v>0</v>
      </c>
      <c r="D362" s="857" t="n">
        <v>0</v>
      </c>
      <c r="E362" s="857" t="n">
        <v>0</v>
      </c>
      <c r="F362" s="857" t="n">
        <v>0</v>
      </c>
      <c r="G362" s="857" t="n">
        <v>0</v>
      </c>
      <c r="H362" s="857" t="n">
        <v>0</v>
      </c>
      <c r="I362" s="857" t="n">
        <v>0</v>
      </c>
      <c r="J362" s="838" t="n">
        <v>0</v>
      </c>
      <c r="K362" s="838" t="n">
        <v>0</v>
      </c>
    </row>
    <row r="363">
      <c r="A363" s="238" t="inlineStr">
        <is>
          <t>Verkopen (im)materiële vaste activa</t>
        </is>
      </c>
      <c r="B363" s="855">
        <f>-B258-B261</f>
        <v/>
      </c>
      <c r="C363" s="855">
        <f>-C258-C261</f>
        <v/>
      </c>
      <c r="D363" s="855">
        <f>-D258-D261</f>
        <v/>
      </c>
      <c r="E363" s="855">
        <f>-E258-E261</f>
        <v/>
      </c>
      <c r="F363" s="855">
        <f>-F258-F261</f>
        <v/>
      </c>
      <c r="G363" s="855">
        <f>-G258-G261</f>
        <v/>
      </c>
      <c r="H363" s="855">
        <f>-H258-H261</f>
        <v/>
      </c>
      <c r="I363" s="855">
        <f>-I258-I261</f>
        <v/>
      </c>
      <c r="J363" s="832">
        <f>-J258-J261</f>
        <v/>
      </c>
      <c r="K363" s="832">
        <f>-K258-K261</f>
        <v/>
      </c>
    </row>
    <row r="364">
      <c r="A364" s="219" t="inlineStr">
        <is>
          <t>Afname vorderingen op LT</t>
        </is>
      </c>
      <c r="B364" s="874" t="n">
        <v>0</v>
      </c>
      <c r="C364" s="855" t="n">
        <v>0</v>
      </c>
      <c r="D364" s="855" t="n">
        <v>0</v>
      </c>
      <c r="E364" s="855" t="n">
        <v>0</v>
      </c>
      <c r="F364" s="855" t="n">
        <v>0</v>
      </c>
      <c r="G364" s="855" t="n">
        <v>0</v>
      </c>
      <c r="H364" s="855" t="n">
        <v>0</v>
      </c>
      <c r="I364" s="855" t="n">
        <v>0</v>
      </c>
      <c r="J364" s="832" t="n">
        <v>0</v>
      </c>
      <c r="K364" s="832" t="n">
        <v>0</v>
      </c>
    </row>
    <row r="365">
      <c r="A365" s="238" t="inlineStr">
        <is>
          <t>Verkopen financiële vaste activa (excl waardevermind.)</t>
        </is>
      </c>
      <c r="B365" s="855">
        <f>IF(B262+B190-B183&lt;0,-B262-B190+B183,0)</f>
        <v/>
      </c>
      <c r="C365" s="855">
        <f>IF(C262+C190-C183&lt;0,-C262-C190+C183,0)</f>
        <v/>
      </c>
      <c r="D365" s="855">
        <f>IF(D262+D190-D183&lt;0,-D262-D190+D183,0)</f>
        <v/>
      </c>
      <c r="E365" s="855">
        <f>IF(E262+E190-E183&lt;0,-E262-E190+E183,0)</f>
        <v/>
      </c>
      <c r="F365" s="855">
        <f>IF(F262+F190-F183&lt;0,-F262-F190+F183,0)</f>
        <v/>
      </c>
      <c r="G365" s="855">
        <f>IF(G262+G190-G183&lt;0,-G262-G190+G183,0)</f>
        <v/>
      </c>
      <c r="H365" s="855">
        <f>IF(H262+H190-H183&lt;0,-H262-H190+H183,0)</f>
        <v/>
      </c>
      <c r="I365" s="855">
        <f>IF(I262+I190-I183&lt;0,-I262-I190+I183,0)</f>
        <v/>
      </c>
      <c r="J365" s="832">
        <f>IF(J262+J190-J183&lt;0,-J262-J190+J183,0)</f>
        <v/>
      </c>
      <c r="K365" s="832">
        <f>IF(K262+K190-K183&lt;0,-K262-K190+K183,0)</f>
        <v/>
      </c>
    </row>
    <row r="366">
      <c r="A366" s="219" t="n"/>
      <c r="B366" s="855" t="n"/>
      <c r="C366" s="855" t="n"/>
      <c r="D366" s="855" t="n"/>
      <c r="E366" s="855" t="n"/>
      <c r="F366" s="855" t="n"/>
      <c r="G366" s="855" t="n"/>
      <c r="H366" s="855" t="n"/>
      <c r="I366" s="855" t="n"/>
      <c r="J366" s="832" t="n"/>
      <c r="K366" s="832" t="n"/>
    </row>
    <row r="367">
      <c r="A367" s="239" t="inlineStr">
        <is>
          <t>Totaal</t>
        </is>
      </c>
      <c r="B367" s="872">
        <f>SUM(B356:B365)</f>
        <v/>
      </c>
      <c r="C367" s="872">
        <f>SUM(C356:C365)</f>
        <v/>
      </c>
      <c r="D367" s="872">
        <f>SUM(D356:D365)</f>
        <v/>
      </c>
      <c r="E367" s="872">
        <f>SUM(E356:E365)</f>
        <v/>
      </c>
      <c r="F367" s="872">
        <f>SUM(F356:F365)</f>
        <v/>
      </c>
      <c r="G367" s="872">
        <f>SUM(G356:G365)</f>
        <v/>
      </c>
      <c r="H367" s="872">
        <f>SUM(H356:H365)</f>
        <v/>
      </c>
      <c r="I367" s="872">
        <f>SUM(I356:I365)</f>
        <v/>
      </c>
      <c r="J367" s="873">
        <f>SUM(J356:J365)</f>
        <v/>
      </c>
      <c r="K367" s="873">
        <f>SUM(K356:K365)</f>
        <v/>
      </c>
    </row>
    <row r="368">
      <c r="A368" s="219" t="inlineStr">
        <is>
          <t> </t>
        </is>
      </c>
      <c r="B368" s="857" t="inlineStr">
        <is>
          <t> </t>
        </is>
      </c>
      <c r="C368" s="857" t="inlineStr">
        <is>
          <t> </t>
        </is>
      </c>
      <c r="D368" s="857" t="inlineStr">
        <is>
          <t> </t>
        </is>
      </c>
      <c r="E368" s="857" t="inlineStr">
        <is>
          <t> </t>
        </is>
      </c>
      <c r="F368" s="857" t="inlineStr">
        <is>
          <t> </t>
        </is>
      </c>
      <c r="G368" s="857" t="inlineStr">
        <is>
          <t> </t>
        </is>
      </c>
      <c r="H368" s="857" t="inlineStr">
        <is>
          <t> </t>
        </is>
      </c>
      <c r="I368" s="857" t="inlineStr">
        <is>
          <t> </t>
        </is>
      </c>
      <c r="J368" s="838" t="inlineStr">
        <is>
          <t> </t>
        </is>
      </c>
      <c r="K368" s="838" t="inlineStr">
        <is>
          <t> </t>
        </is>
      </c>
    </row>
    <row r="369" ht="13.8" customHeight="1">
      <c r="A369" s="250" t="inlineStr">
        <is>
          <t>Besteding der middelen</t>
        </is>
      </c>
      <c r="B369" s="857" t="inlineStr">
        <is>
          <t> </t>
        </is>
      </c>
      <c r="C369" s="857" t="inlineStr">
        <is>
          <t> </t>
        </is>
      </c>
      <c r="D369" s="857" t="inlineStr">
        <is>
          <t> </t>
        </is>
      </c>
      <c r="E369" s="857" t="inlineStr">
        <is>
          <t> </t>
        </is>
      </c>
      <c r="F369" s="857" t="inlineStr">
        <is>
          <t> </t>
        </is>
      </c>
      <c r="G369" s="857" t="inlineStr">
        <is>
          <t> </t>
        </is>
      </c>
      <c r="H369" s="857" t="inlineStr">
        <is>
          <t> </t>
        </is>
      </c>
      <c r="I369" s="857" t="inlineStr">
        <is>
          <t> </t>
        </is>
      </c>
      <c r="J369" s="838" t="inlineStr">
        <is>
          <t> </t>
        </is>
      </c>
      <c r="K369" s="838" t="inlineStr">
        <is>
          <t> </t>
        </is>
      </c>
    </row>
    <row r="370">
      <c r="A370" s="238" t="inlineStr">
        <is>
          <t>Investeringen (im)materiële vaste activa</t>
        </is>
      </c>
      <c r="B370" s="855">
        <f>SUM(B255:B257)</f>
        <v/>
      </c>
      <c r="C370" s="855">
        <f>SUM(C255:C257)</f>
        <v/>
      </c>
      <c r="D370" s="855">
        <f>SUM(D255:D257)</f>
        <v/>
      </c>
      <c r="E370" s="855">
        <f>SUM(E255:E257)</f>
        <v/>
      </c>
      <c r="F370" s="855">
        <f>SUM(F255:F257)</f>
        <v/>
      </c>
      <c r="G370" s="855">
        <f>SUM(G255:G257)</f>
        <v/>
      </c>
      <c r="H370" s="855">
        <f>SUM(H255:H257)</f>
        <v/>
      </c>
      <c r="I370" s="855">
        <f>SUM(I255:I257)</f>
        <v/>
      </c>
      <c r="J370" s="832">
        <f>SUM(J255:J257)</f>
        <v/>
      </c>
      <c r="K370" s="832">
        <f>SUM(K255:K257)</f>
        <v/>
      </c>
    </row>
    <row r="371">
      <c r="A371" s="238" t="inlineStr">
        <is>
          <t>Investeringen financiële vaste activa (excl waardevermind.)</t>
        </is>
      </c>
      <c r="B371" s="855">
        <f>IF(B262+B190-B183&gt;0,B262+B190-B183,0)</f>
        <v/>
      </c>
      <c r="C371" s="855">
        <f>IF(C262+C190-C183&gt;0,C262+C190-C183,0)</f>
        <v/>
      </c>
      <c r="D371" s="855">
        <f>IF(D262+D190-D183&gt;0,D262+D190-D183,0)</f>
        <v/>
      </c>
      <c r="E371" s="855">
        <f>IF(E262+E190-E183&gt;0,E262+E190-E183,0)</f>
        <v/>
      </c>
      <c r="F371" s="855">
        <f>IF(F262+F190-F183&gt;0,F262+F190-F183,0)</f>
        <v/>
      </c>
      <c r="G371" s="855">
        <f>IF(G262+G190-G183&gt;0,G262+G190-G183,0)</f>
        <v/>
      </c>
      <c r="H371" s="855">
        <f>IF(H262+H190-H183&gt;0,H262+H190-H183,0)</f>
        <v/>
      </c>
      <c r="I371" s="855">
        <f>IF(I262+I190-I183&gt;0,I262+I190-I183,0)</f>
        <v/>
      </c>
      <c r="J371" s="832">
        <f>IF(J262+J190-J183&gt;0,J262+J190-J183,0)</f>
        <v/>
      </c>
      <c r="K371" s="832">
        <f>IF(K262+K190-K183&gt;0,K262+K190-K183,0)</f>
        <v/>
      </c>
    </row>
    <row r="372">
      <c r="A372" s="219" t="inlineStr">
        <is>
          <t>Toename vorderingen op LT</t>
        </is>
      </c>
      <c r="B372" s="874" t="n">
        <v>0</v>
      </c>
      <c r="C372" s="855" t="n">
        <v>0</v>
      </c>
      <c r="D372" s="855" t="n">
        <v>0</v>
      </c>
      <c r="E372" s="855" t="n">
        <v>0</v>
      </c>
      <c r="F372" s="855" t="n">
        <v>0</v>
      </c>
      <c r="G372" s="855" t="n">
        <v>0</v>
      </c>
      <c r="H372" s="855" t="n">
        <v>0</v>
      </c>
      <c r="I372" s="855" t="n">
        <v>0</v>
      </c>
      <c r="J372" s="832" t="n">
        <v>0</v>
      </c>
      <c r="K372" s="832" t="n">
        <v>0</v>
      </c>
    </row>
    <row r="373">
      <c r="A373" s="219" t="inlineStr">
        <is>
          <t>Afname schulden op LT</t>
        </is>
      </c>
      <c r="B373" s="874" t="n">
        <v>0</v>
      </c>
      <c r="C373" s="855" t="n">
        <v>0</v>
      </c>
      <c r="D373" s="855" t="n">
        <v>0</v>
      </c>
      <c r="E373" s="855" t="n">
        <v>0</v>
      </c>
      <c r="F373" s="855" t="n">
        <v>0</v>
      </c>
      <c r="G373" s="855" t="n">
        <v>0</v>
      </c>
      <c r="H373" s="855" t="n">
        <v>0</v>
      </c>
      <c r="I373" s="855" t="n">
        <v>0</v>
      </c>
      <c r="J373" s="832" t="n">
        <v>0</v>
      </c>
      <c r="K373" s="832" t="n">
        <v>0</v>
      </c>
    </row>
    <row r="374">
      <c r="A374" s="219" t="n"/>
      <c r="B374" s="855" t="n"/>
      <c r="C374" s="855" t="n"/>
      <c r="D374" s="855" t="n"/>
      <c r="E374" s="855" t="n"/>
      <c r="F374" s="855" t="n"/>
      <c r="G374" s="855" t="n"/>
      <c r="H374" s="855" t="n"/>
      <c r="I374" s="855" t="n"/>
      <c r="J374" s="832" t="n"/>
      <c r="K374" s="832" t="n"/>
    </row>
    <row r="375">
      <c r="A375" s="239" t="inlineStr">
        <is>
          <t>Totaal</t>
        </is>
      </c>
      <c r="B375" s="872">
        <f>SUM(B370:B373)</f>
        <v/>
      </c>
      <c r="C375" s="872">
        <f>SUM(C370:C373)</f>
        <v/>
      </c>
      <c r="D375" s="872">
        <f>SUM(D370:D373)</f>
        <v/>
      </c>
      <c r="E375" s="872">
        <f>SUM(E370:E373)</f>
        <v/>
      </c>
      <c r="F375" s="872">
        <f>SUM(F370:F373)</f>
        <v/>
      </c>
      <c r="G375" s="872">
        <f>SUM(G370:G373)</f>
        <v/>
      </c>
      <c r="H375" s="872">
        <f>SUM(H370:H373)</f>
        <v/>
      </c>
      <c r="I375" s="872">
        <f>SUM(I370:I373)</f>
        <v/>
      </c>
      <c r="J375" s="873">
        <f>SUM(J370:J373)</f>
        <v/>
      </c>
      <c r="K375" s="873">
        <f>SUM(K370:K373)</f>
        <v/>
      </c>
    </row>
    <row r="376">
      <c r="A376" s="240" t="inlineStr">
        <is>
          <t> </t>
        </is>
      </c>
      <c r="B376" s="875" t="inlineStr">
        <is>
          <t> </t>
        </is>
      </c>
      <c r="C376" s="875" t="inlineStr">
        <is>
          <t> </t>
        </is>
      </c>
      <c r="D376" s="875" t="inlineStr">
        <is>
          <t> </t>
        </is>
      </c>
      <c r="E376" s="875" t="inlineStr">
        <is>
          <t> </t>
        </is>
      </c>
      <c r="F376" s="875" t="inlineStr">
        <is>
          <t> </t>
        </is>
      </c>
      <c r="G376" s="875" t="inlineStr">
        <is>
          <t> </t>
        </is>
      </c>
      <c r="H376" s="875" t="inlineStr">
        <is>
          <t> </t>
        </is>
      </c>
      <c r="I376" s="875" t="inlineStr">
        <is>
          <t> </t>
        </is>
      </c>
      <c r="J376" s="876" t="inlineStr">
        <is>
          <t> </t>
        </is>
      </c>
      <c r="K376" s="876" t="inlineStr">
        <is>
          <t> </t>
        </is>
      </c>
    </row>
    <row r="377">
      <c r="A377" s="242" t="inlineStr">
        <is>
          <t>EVOLUTIE BEDRIJFSKAPITAAL</t>
        </is>
      </c>
      <c r="B377" s="865">
        <f>B367-B375</f>
        <v/>
      </c>
      <c r="C377" s="865">
        <f>C367-C375</f>
        <v/>
      </c>
      <c r="D377" s="865">
        <f>D367-D375</f>
        <v/>
      </c>
      <c r="E377" s="865">
        <f>E367-E375</f>
        <v/>
      </c>
      <c r="F377" s="865">
        <f>F367-F375</f>
        <v/>
      </c>
      <c r="G377" s="865">
        <f>G367-G375</f>
        <v/>
      </c>
      <c r="H377" s="865">
        <f>H367-H375</f>
        <v/>
      </c>
      <c r="I377" s="865">
        <f>I367-I375</f>
        <v/>
      </c>
      <c r="J377" s="866">
        <f>J367-J375</f>
        <v/>
      </c>
      <c r="K377" s="866">
        <f>K367-K375</f>
        <v/>
      </c>
    </row>
    <row r="378">
      <c r="A378" s="146" t="inlineStr">
        <is>
          <t> </t>
        </is>
      </c>
      <c r="J378" s="249" t="n"/>
      <c r="K378" s="249" t="n"/>
    </row>
    <row r="379">
      <c r="J379" s="249" t="n"/>
      <c r="K379" s="249" t="n"/>
    </row>
    <row r="380" ht="13.8" customFormat="1" customHeight="1" s="159">
      <c r="A380" s="237" t="inlineStr">
        <is>
          <t>WIJZ. SAMENSTELLING BEDRIJFSKAPITAAL</t>
        </is>
      </c>
      <c r="B380" s="217">
        <f>B7</f>
        <v/>
      </c>
      <c r="C380" s="217">
        <f>C7</f>
        <v/>
      </c>
      <c r="D380" s="217">
        <f>D7</f>
        <v/>
      </c>
      <c r="E380" s="217">
        <f>E7</f>
        <v/>
      </c>
      <c r="F380" s="217">
        <f>F7</f>
        <v/>
      </c>
      <c r="G380" s="217">
        <f>G7</f>
        <v/>
      </c>
      <c r="H380" s="217">
        <f>H7</f>
        <v/>
      </c>
      <c r="I380" s="217">
        <f>I7</f>
        <v/>
      </c>
      <c r="J380" s="255">
        <f>J7</f>
        <v/>
      </c>
      <c r="K380" s="255">
        <f>K7</f>
        <v/>
      </c>
    </row>
    <row r="381" ht="6.75" customHeight="1">
      <c r="A381" s="184" t="n"/>
      <c r="B381" s="218" t="n"/>
      <c r="C381" s="218" t="n"/>
      <c r="D381" s="218" t="n"/>
      <c r="E381" s="218" t="n"/>
      <c r="F381" s="218" t="n"/>
      <c r="G381" s="218" t="n"/>
      <c r="H381" s="218" t="n"/>
      <c r="I381" s="218" t="n"/>
      <c r="J381" s="256" t="n"/>
      <c r="K381" s="256" t="n"/>
    </row>
    <row r="382" ht="6.75" customHeight="1">
      <c r="A382" s="219" t="inlineStr">
        <is>
          <t> </t>
        </is>
      </c>
      <c r="B382" s="257" t="inlineStr">
        <is>
          <t> </t>
        </is>
      </c>
      <c r="C382" s="257" t="inlineStr">
        <is>
          <t> </t>
        </is>
      </c>
      <c r="D382" s="257" t="inlineStr">
        <is>
          <t> </t>
        </is>
      </c>
      <c r="E382" s="257" t="inlineStr">
        <is>
          <t> </t>
        </is>
      </c>
      <c r="F382" s="257" t="inlineStr">
        <is>
          <t> </t>
        </is>
      </c>
      <c r="G382" s="257" t="inlineStr">
        <is>
          <t> </t>
        </is>
      </c>
      <c r="H382" s="257" t="inlineStr">
        <is>
          <t> </t>
        </is>
      </c>
      <c r="I382" s="257" t="inlineStr">
        <is>
          <t> </t>
        </is>
      </c>
      <c r="J382" s="258" t="inlineStr">
        <is>
          <t> </t>
        </is>
      </c>
      <c r="K382" s="258" t="inlineStr">
        <is>
          <t> </t>
        </is>
      </c>
    </row>
    <row r="383">
      <c r="A383" s="219" t="inlineStr">
        <is>
          <t>Toename / (afname) van de voorraad</t>
        </is>
      </c>
      <c r="B383" s="874" t="n">
        <v>0</v>
      </c>
      <c r="C383" s="855" t="n">
        <v>0</v>
      </c>
      <c r="D383" s="855" t="n">
        <v>0</v>
      </c>
      <c r="E383" s="855" t="n">
        <v>0</v>
      </c>
      <c r="F383" s="855" t="n">
        <v>0</v>
      </c>
      <c r="G383" s="855" t="n">
        <v>0</v>
      </c>
      <c r="H383" s="855" t="n">
        <v>0</v>
      </c>
      <c r="I383" s="855" t="n">
        <v>0</v>
      </c>
      <c r="J383" s="832" t="n">
        <v>0</v>
      </c>
      <c r="K383" s="832" t="n">
        <v>0</v>
      </c>
    </row>
    <row r="384">
      <c r="A384" s="219" t="inlineStr">
        <is>
          <t>Toename / (afname) van de KT vorderingen</t>
        </is>
      </c>
      <c r="B384" s="874" t="n">
        <v>0</v>
      </c>
      <c r="C384" s="855" t="n">
        <v>0</v>
      </c>
      <c r="D384" s="855" t="n">
        <v>0</v>
      </c>
      <c r="E384" s="855" t="n">
        <v>0</v>
      </c>
      <c r="F384" s="855" t="n">
        <v>0</v>
      </c>
      <c r="G384" s="855" t="n">
        <v>0</v>
      </c>
      <c r="H384" s="855" t="n">
        <v>0</v>
      </c>
      <c r="I384" s="855" t="n">
        <v>0</v>
      </c>
      <c r="J384" s="832" t="n">
        <v>0</v>
      </c>
      <c r="K384" s="832" t="n">
        <v>0</v>
      </c>
    </row>
    <row r="385">
      <c r="A385" s="219" t="inlineStr">
        <is>
          <t>(Toename) / afname van de (niet financiële) KT schulden</t>
        </is>
      </c>
      <c r="B385" s="874" t="n">
        <v>0</v>
      </c>
      <c r="C385" s="855" t="n">
        <v>0</v>
      </c>
      <c r="D385" s="855" t="n">
        <v>0</v>
      </c>
      <c r="E385" s="855" t="n">
        <v>0</v>
      </c>
      <c r="F385" s="855" t="n">
        <v>0</v>
      </c>
      <c r="G385" s="855" t="n">
        <v>0</v>
      </c>
      <c r="H385" s="855" t="n">
        <v>0</v>
      </c>
      <c r="I385" s="855" t="n">
        <v>0</v>
      </c>
      <c r="J385" s="832" t="n">
        <v>0</v>
      </c>
      <c r="K385" s="832" t="n">
        <v>0</v>
      </c>
    </row>
    <row r="386">
      <c r="A386" s="219" t="inlineStr">
        <is>
          <t>Wijzigingen in de overlopende rekeningen</t>
        </is>
      </c>
      <c r="B386" s="874" t="n">
        <v>0</v>
      </c>
      <c r="C386" s="855" t="n">
        <v>0</v>
      </c>
      <c r="D386" s="855" t="n">
        <v>0</v>
      </c>
      <c r="E386" s="855" t="n">
        <v>0</v>
      </c>
      <c r="F386" s="855" t="n">
        <v>0</v>
      </c>
      <c r="G386" s="855" t="n">
        <v>0</v>
      </c>
      <c r="H386" s="855" t="n">
        <v>0</v>
      </c>
      <c r="I386" s="855" t="n">
        <v>0</v>
      </c>
      <c r="J386" s="832" t="n">
        <v>0</v>
      </c>
      <c r="K386" s="832" t="n">
        <v>0</v>
      </c>
    </row>
    <row r="387">
      <c r="A387" s="219" t="inlineStr">
        <is>
          <t>(Toename) / afname van de financiële schulden op KT</t>
        </is>
      </c>
      <c r="B387" s="874" t="n">
        <v>0</v>
      </c>
      <c r="C387" s="855" t="n">
        <v>0</v>
      </c>
      <c r="D387" s="855" t="n">
        <v>0</v>
      </c>
      <c r="E387" s="855" t="n">
        <v>0</v>
      </c>
      <c r="F387" s="855" t="n">
        <v>0</v>
      </c>
      <c r="G387" s="855" t="n">
        <v>0</v>
      </c>
      <c r="H387" s="855" t="n">
        <v>0</v>
      </c>
      <c r="I387" s="855" t="n">
        <v>0</v>
      </c>
      <c r="J387" s="832" t="n">
        <v>0</v>
      </c>
      <c r="K387" s="832" t="n">
        <v>0</v>
      </c>
    </row>
    <row r="388">
      <c r="A388" s="219" t="inlineStr">
        <is>
          <t>Beweging van de liquide middelen en geldbeleggingen</t>
        </is>
      </c>
      <c r="B388" s="874" t="n">
        <v>0</v>
      </c>
      <c r="C388" s="855" t="n">
        <v>0</v>
      </c>
      <c r="D388" s="855" t="n">
        <v>0</v>
      </c>
      <c r="E388" s="855" t="n">
        <v>0</v>
      </c>
      <c r="F388" s="855" t="n">
        <v>0</v>
      </c>
      <c r="G388" s="855" t="n">
        <v>0</v>
      </c>
      <c r="H388" s="855" t="n">
        <v>0</v>
      </c>
      <c r="I388" s="855" t="n">
        <v>0</v>
      </c>
      <c r="J388" s="832" t="n">
        <v>0</v>
      </c>
      <c r="K388" s="832" t="n">
        <v>0</v>
      </c>
    </row>
    <row r="389" ht="7.5" customHeight="1">
      <c r="A389" s="240" t="inlineStr">
        <is>
          <t> </t>
        </is>
      </c>
      <c r="B389" s="877" t="inlineStr">
        <is>
          <t> </t>
        </is>
      </c>
      <c r="C389" s="877" t="inlineStr">
        <is>
          <t> </t>
        </is>
      </c>
      <c r="D389" s="877" t="inlineStr">
        <is>
          <t> </t>
        </is>
      </c>
      <c r="E389" s="877" t="inlineStr">
        <is>
          <t> </t>
        </is>
      </c>
      <c r="F389" s="877" t="inlineStr">
        <is>
          <t> </t>
        </is>
      </c>
      <c r="G389" s="877" t="inlineStr">
        <is>
          <t> </t>
        </is>
      </c>
      <c r="H389" s="877" t="inlineStr">
        <is>
          <t> </t>
        </is>
      </c>
      <c r="I389" s="877" t="inlineStr">
        <is>
          <t> </t>
        </is>
      </c>
      <c r="J389" s="878" t="inlineStr">
        <is>
          <t> </t>
        </is>
      </c>
      <c r="K389" s="878" t="inlineStr">
        <is>
          <t> </t>
        </is>
      </c>
    </row>
    <row r="390">
      <c r="A390" s="242" t="inlineStr">
        <is>
          <t>VERANTWOORDING EVOLUTIE BEDRIJFSKAPITAAL</t>
        </is>
      </c>
      <c r="B390" s="865">
        <f>SUM(B383:B389)</f>
        <v/>
      </c>
      <c r="C390" s="865">
        <f>SUM(C383:C389)</f>
        <v/>
      </c>
      <c r="D390" s="865">
        <f>SUM(D383:D389)</f>
        <v/>
      </c>
      <c r="E390" s="865">
        <f>SUM(E383:E389)</f>
        <v/>
      </c>
      <c r="F390" s="865">
        <f>SUM(F383:F389)</f>
        <v/>
      </c>
      <c r="G390" s="865">
        <f>SUM(G383:G389)</f>
        <v/>
      </c>
      <c r="H390" s="865">
        <f>SUM(H383:H389)</f>
        <v/>
      </c>
      <c r="I390" s="865">
        <f>SUM(I383:I389)</f>
        <v/>
      </c>
      <c r="J390" s="866">
        <f>SUM(J383:J389)</f>
        <v/>
      </c>
      <c r="K390" s="866">
        <f>SUM(K383:K389)</f>
        <v/>
      </c>
    </row>
    <row r="393" ht="13.2" customHeight="1">
      <c r="A393" s="236" t="inlineStr">
        <is>
          <t>CASH FLOW STATEMENT</t>
        </is>
      </c>
    </row>
    <row r="395">
      <c r="A395" s="261" t="inlineStr">
        <is>
          <t>* Aanslagvoet direkte belastingen (%)</t>
        </is>
      </c>
      <c r="B395" s="262" t="n">
        <v>0.3399</v>
      </c>
      <c r="C395" s="262" t="n">
        <v>0.3399</v>
      </c>
      <c r="D395" s="262" t="n">
        <v>0.3399</v>
      </c>
      <c r="E395" s="262" t="n">
        <v>0.3399</v>
      </c>
      <c r="F395" s="262" t="n">
        <v>0.3399</v>
      </c>
      <c r="G395" s="262" t="n">
        <v>0.3399</v>
      </c>
      <c r="H395" s="262" t="n">
        <v>0.3399</v>
      </c>
      <c r="I395" s="262" t="n">
        <v>0.3399</v>
      </c>
      <c r="J395" s="263" t="n">
        <v>0.3399</v>
      </c>
      <c r="K395" s="263" t="n">
        <v>0.3399</v>
      </c>
    </row>
    <row r="396">
      <c r="B396" s="264" t="n"/>
      <c r="C396" s="264" t="n"/>
      <c r="D396" s="264" t="n"/>
      <c r="E396" s="264" t="n"/>
      <c r="F396" s="264" t="n"/>
      <c r="G396" s="264" t="n"/>
      <c r="H396" s="264" t="n"/>
      <c r="I396" s="264" t="n"/>
      <c r="J396" s="264" t="n"/>
      <c r="K396" s="264" t="n"/>
    </row>
    <row r="397" ht="13.8" customFormat="1" customHeight="1" s="159">
      <c r="A397" s="237" t="inlineStr">
        <is>
          <t>CASH-FLOW uit de BEDRIJFSACTIVITEIT</t>
        </is>
      </c>
      <c r="B397" s="217">
        <f>B7</f>
        <v/>
      </c>
      <c r="C397" s="217">
        <f>C7</f>
        <v/>
      </c>
      <c r="D397" s="217">
        <f>D7</f>
        <v/>
      </c>
      <c r="E397" s="217">
        <f>E7</f>
        <v/>
      </c>
      <c r="F397" s="217">
        <f>F7</f>
        <v/>
      </c>
      <c r="G397" s="217">
        <f>G7</f>
        <v/>
      </c>
      <c r="H397" s="217">
        <f>H7</f>
        <v/>
      </c>
      <c r="I397" s="217">
        <f>I7</f>
        <v/>
      </c>
      <c r="J397" s="158">
        <f>J7</f>
        <v/>
      </c>
      <c r="K397" s="158">
        <f>K7</f>
        <v/>
      </c>
    </row>
    <row r="398">
      <c r="A398" s="184" t="n"/>
      <c r="B398" s="218" t="n"/>
      <c r="C398" s="218" t="n"/>
      <c r="D398" s="218" t="n"/>
      <c r="E398" s="218" t="n"/>
      <c r="F398" s="218" t="n"/>
      <c r="G398" s="218" t="n"/>
      <c r="H398" s="218" t="n"/>
      <c r="I398" s="218" t="n"/>
      <c r="J398" s="184" t="n"/>
      <c r="K398" s="184" t="n"/>
    </row>
    <row r="399">
      <c r="A399" s="219" t="inlineStr">
        <is>
          <t> </t>
        </is>
      </c>
      <c r="B399" s="219" t="n"/>
      <c r="C399" s="219" t="n"/>
      <c r="D399" s="219" t="n"/>
      <c r="E399" s="219" t="n"/>
      <c r="F399" s="219" t="n"/>
      <c r="G399" s="219" t="n"/>
      <c r="H399" s="219" t="n"/>
      <c r="I399" s="219" t="n"/>
      <c r="J399" s="165" t="n"/>
      <c r="K399" s="165" t="n"/>
    </row>
    <row r="400">
      <c r="A400" s="219" t="inlineStr">
        <is>
          <t>Bedrijfsresultaat</t>
        </is>
      </c>
      <c r="B400" s="855">
        <f>B167</f>
        <v/>
      </c>
      <c r="C400" s="855">
        <f>C167</f>
        <v/>
      </c>
      <c r="D400" s="855">
        <f>D167</f>
        <v/>
      </c>
      <c r="E400" s="855">
        <f>E167</f>
        <v/>
      </c>
      <c r="F400" s="855">
        <f>F167</f>
        <v/>
      </c>
      <c r="G400" s="855">
        <f>G167</f>
        <v/>
      </c>
      <c r="H400" s="855">
        <f>H167</f>
        <v/>
      </c>
      <c r="I400" s="855">
        <f>I167</f>
        <v/>
      </c>
      <c r="J400" s="832">
        <f>J167</f>
        <v/>
      </c>
      <c r="K400" s="832">
        <f>K167</f>
        <v/>
      </c>
    </row>
    <row r="401">
      <c r="A401" s="238" t="inlineStr">
        <is>
          <t>+ Andere financiële opbrengsten (excl. 9125 en 9126)</t>
        </is>
      </c>
      <c r="B401" s="855">
        <f>B172-B277-B278</f>
        <v/>
      </c>
      <c r="C401" s="855">
        <f>C172-C277-C278</f>
        <v/>
      </c>
      <c r="D401" s="855">
        <f>D172-D277-D278</f>
        <v/>
      </c>
      <c r="E401" s="855">
        <f>E172-E277-E278</f>
        <v/>
      </c>
      <c r="F401" s="855">
        <f>F172-F277-F278</f>
        <v/>
      </c>
      <c r="G401" s="855">
        <f>G172-G277-G278</f>
        <v/>
      </c>
      <c r="H401" s="855">
        <f>H172-H277-H278</f>
        <v/>
      </c>
      <c r="I401" s="855">
        <f>I172-I277-I278</f>
        <v/>
      </c>
      <c r="J401" s="832">
        <f>J172-J277-J278</f>
        <v/>
      </c>
      <c r="K401" s="832">
        <f>K172-K277-K278</f>
        <v/>
      </c>
    </row>
    <row r="402">
      <c r="A402" s="241" t="inlineStr">
        <is>
          <t>- Andere financiële kosten (excl. 653)</t>
        </is>
      </c>
      <c r="B402" s="855">
        <f>-B177+B284</f>
        <v/>
      </c>
      <c r="C402" s="855">
        <f>-C177+C284</f>
        <v/>
      </c>
      <c r="D402" s="855">
        <f>-D177+D284</f>
        <v/>
      </c>
      <c r="E402" s="855">
        <f>-E177+E284</f>
        <v/>
      </c>
      <c r="F402" s="855">
        <f>-F177+F284</f>
        <v/>
      </c>
      <c r="G402" s="855">
        <f>-G177+G284</f>
        <v/>
      </c>
      <c r="H402" s="855">
        <f>-H177+H284</f>
        <v/>
      </c>
      <c r="I402" s="855">
        <f>-I177+I284</f>
        <v/>
      </c>
      <c r="J402" s="832">
        <f>-J177+J284</f>
        <v/>
      </c>
      <c r="K402" s="832">
        <f>-K177+K284</f>
        <v/>
      </c>
    </row>
    <row r="403">
      <c r="A403" s="241" t="inlineStr">
        <is>
          <t>- Belastingen op het operationeel resultaat</t>
        </is>
      </c>
      <c r="B403" s="855">
        <f>IF(SUM(B400:B402)&lt;0,0,-B395*SUM(B400:B402))</f>
        <v/>
      </c>
      <c r="C403" s="855">
        <f>IF(SUM(C400:C402)&lt;0,0,-C395*SUM(C400:C402))</f>
        <v/>
      </c>
      <c r="D403" s="855">
        <f>IF(SUM(D400:D402)&lt;0,0,-D395*SUM(D400:D402))</f>
        <v/>
      </c>
      <c r="E403" s="855">
        <f>IF(SUM(E400:E402)&lt;0,0,-E395*SUM(E400:E402))</f>
        <v/>
      </c>
      <c r="F403" s="855">
        <f>IF(SUM(F400:F402)&lt;0,0,-F395*SUM(F400:F402))</f>
        <v/>
      </c>
      <c r="G403" s="855">
        <f>IF(SUM(G400:G402)&lt;0,0,-G395*SUM(G400:G402))</f>
        <v/>
      </c>
      <c r="H403" s="855">
        <f>IF(SUM(H400:H402)&lt;0,0,-H395*SUM(H400:H402))</f>
        <v/>
      </c>
      <c r="I403" s="855">
        <f>IF(SUM(I400:I402)&lt;0,0,-I395*SUM(I400:I402))</f>
        <v/>
      </c>
      <c r="J403" s="832">
        <f>IF(SUM(J400:J402)&lt;0,0,-J395*SUM(J400:J402))</f>
        <v/>
      </c>
      <c r="K403" s="832">
        <f>IF(SUM(K400:K402)&lt;0,0,-K395*SUM(K400:K402))</f>
        <v/>
      </c>
    </row>
    <row r="404">
      <c r="A404" s="241" t="n"/>
      <c r="B404" s="855" t="n"/>
      <c r="C404" s="855" t="n"/>
      <c r="D404" s="855" t="n"/>
      <c r="E404" s="855" t="n"/>
      <c r="F404" s="855" t="n"/>
      <c r="G404" s="855" t="n"/>
      <c r="H404" s="855" t="n"/>
      <c r="I404" s="855" t="n"/>
      <c r="J404" s="832" t="n"/>
      <c r="K404" s="832" t="n"/>
    </row>
    <row r="405">
      <c r="A405" s="265" t="inlineStr">
        <is>
          <t>Operationeel resultaat                                     (OR)</t>
        </is>
      </c>
      <c r="B405" s="872">
        <f>SUM(B400:B404)</f>
        <v/>
      </c>
      <c r="C405" s="872">
        <f>SUM(C400:C404)</f>
        <v/>
      </c>
      <c r="D405" s="872">
        <f>SUM(D400:D404)</f>
        <v/>
      </c>
      <c r="E405" s="872">
        <f>SUM(E400:E404)</f>
        <v/>
      </c>
      <c r="F405" s="872">
        <f>SUM(F400:F404)</f>
        <v/>
      </c>
      <c r="G405" s="872">
        <f>SUM(G400:G404)</f>
        <v/>
      </c>
      <c r="H405" s="872">
        <f>SUM(H400:H404)</f>
        <v/>
      </c>
      <c r="I405" s="872">
        <f>SUM(I400:I404)</f>
        <v/>
      </c>
      <c r="J405" s="873">
        <f>SUM(J400:J404)</f>
        <v/>
      </c>
      <c r="K405" s="873">
        <f>SUM(K400:K404)</f>
        <v/>
      </c>
    </row>
    <row r="406">
      <c r="A406" s="241" t="n"/>
      <c r="B406" s="855" t="n"/>
      <c r="C406" s="855" t="n"/>
      <c r="D406" s="855" t="n"/>
      <c r="E406" s="855" t="n"/>
      <c r="F406" s="855" t="n"/>
      <c r="G406" s="855" t="n"/>
      <c r="H406" s="855" t="n"/>
      <c r="I406" s="855" t="n"/>
      <c r="J406" s="832" t="n"/>
      <c r="K406" s="832" t="n"/>
    </row>
    <row r="407">
      <c r="A407" s="238" t="inlineStr">
        <is>
          <t xml:space="preserve">+ Bedrijfsafschrijvingen </t>
        </is>
      </c>
      <c r="B407" s="855">
        <f>B161</f>
        <v/>
      </c>
      <c r="C407" s="855">
        <f>C161</f>
        <v/>
      </c>
      <c r="D407" s="855">
        <f>D161</f>
        <v/>
      </c>
      <c r="E407" s="855">
        <f>E161</f>
        <v/>
      </c>
      <c r="F407" s="855">
        <f>F161</f>
        <v/>
      </c>
      <c r="G407" s="855">
        <f>G161</f>
        <v/>
      </c>
      <c r="H407" s="855">
        <f>H161</f>
        <v/>
      </c>
      <c r="I407" s="855">
        <f>I161</f>
        <v/>
      </c>
      <c r="J407" s="832">
        <f>J161</f>
        <v/>
      </c>
      <c r="K407" s="832">
        <f>K161</f>
        <v/>
      </c>
    </row>
    <row r="408">
      <c r="A408" s="241" t="inlineStr">
        <is>
          <t>+ Bedrijfsvoorzieningen voor risico's en kosten</t>
        </is>
      </c>
      <c r="B408" s="855">
        <f>B163</f>
        <v/>
      </c>
      <c r="C408" s="855">
        <f>C163</f>
        <v/>
      </c>
      <c r="D408" s="855">
        <f>D163</f>
        <v/>
      </c>
      <c r="E408" s="855">
        <f>E163</f>
        <v/>
      </c>
      <c r="F408" s="855">
        <f>F163</f>
        <v/>
      </c>
      <c r="G408" s="855">
        <f>G163</f>
        <v/>
      </c>
      <c r="H408" s="855">
        <f>H163</f>
        <v/>
      </c>
      <c r="I408" s="855">
        <f>I163</f>
        <v/>
      </c>
      <c r="J408" s="832">
        <f>J163</f>
        <v/>
      </c>
      <c r="K408" s="832">
        <f>K163</f>
        <v/>
      </c>
    </row>
    <row r="409">
      <c r="A409" s="219" t="inlineStr">
        <is>
          <t> </t>
        </is>
      </c>
      <c r="B409" s="855" t="inlineStr">
        <is>
          <t> </t>
        </is>
      </c>
      <c r="C409" s="855" t="inlineStr">
        <is>
          <t> </t>
        </is>
      </c>
      <c r="D409" s="855" t="inlineStr">
        <is>
          <t> </t>
        </is>
      </c>
      <c r="E409" s="855" t="inlineStr">
        <is>
          <t> </t>
        </is>
      </c>
      <c r="F409" s="855" t="inlineStr">
        <is>
          <t> </t>
        </is>
      </c>
      <c r="G409" s="855" t="inlineStr">
        <is>
          <t> </t>
        </is>
      </c>
      <c r="H409" s="855" t="inlineStr">
        <is>
          <t> </t>
        </is>
      </c>
      <c r="I409" s="855" t="inlineStr">
        <is>
          <t> </t>
        </is>
      </c>
      <c r="J409" s="832" t="inlineStr">
        <is>
          <t> </t>
        </is>
      </c>
      <c r="K409" s="832" t="inlineStr">
        <is>
          <t> </t>
        </is>
      </c>
    </row>
    <row r="410">
      <c r="A410" s="266" t="inlineStr">
        <is>
          <t>OPERATIONELE CASH-FLOW   (OCF)</t>
        </is>
      </c>
      <c r="B410" s="865">
        <f>SUM(B405:B409)</f>
        <v/>
      </c>
      <c r="C410" s="865">
        <f>SUM(C405:C409)</f>
        <v/>
      </c>
      <c r="D410" s="865">
        <f>SUM(D405:D409)</f>
        <v/>
      </c>
      <c r="E410" s="865">
        <f>SUM(E405:E409)</f>
        <v/>
      </c>
      <c r="F410" s="865">
        <f>SUM(F405:F409)</f>
        <v/>
      </c>
      <c r="G410" s="865">
        <f>SUM(G405:G409)</f>
        <v/>
      </c>
      <c r="H410" s="865">
        <f>SUM(H405:H409)</f>
        <v/>
      </c>
      <c r="I410" s="865">
        <f>SUM(I405:I409)</f>
        <v/>
      </c>
      <c r="J410" s="866">
        <f>SUM(J405:J409)</f>
        <v/>
      </c>
      <c r="K410" s="866">
        <f>SUM(K405:K409)</f>
        <v/>
      </c>
    </row>
    <row r="411">
      <c r="A411" s="219" t="n"/>
      <c r="B411" s="855" t="inlineStr">
        <is>
          <t> </t>
        </is>
      </c>
      <c r="C411" s="855" t="inlineStr">
        <is>
          <t> </t>
        </is>
      </c>
      <c r="D411" s="855" t="inlineStr">
        <is>
          <t> </t>
        </is>
      </c>
      <c r="E411" s="855" t="inlineStr">
        <is>
          <t> </t>
        </is>
      </c>
      <c r="F411" s="855" t="inlineStr">
        <is>
          <t> </t>
        </is>
      </c>
      <c r="G411" s="855" t="inlineStr">
        <is>
          <t> </t>
        </is>
      </c>
      <c r="H411" s="855" t="inlineStr">
        <is>
          <t> </t>
        </is>
      </c>
      <c r="I411" s="855" t="inlineStr">
        <is>
          <t> </t>
        </is>
      </c>
      <c r="J411" s="832" t="inlineStr">
        <is>
          <t> </t>
        </is>
      </c>
      <c r="K411" s="832" t="inlineStr">
        <is>
          <t> </t>
        </is>
      </c>
    </row>
    <row r="412">
      <c r="A412" s="219" t="inlineStr">
        <is>
          <t>Wijziging in breed werkkapitaal (excl thesaurie)</t>
        </is>
      </c>
      <c r="B412" s="855">
        <f>-(B390-B387-B388)-B413</f>
        <v/>
      </c>
      <c r="C412" s="855">
        <f>-(C390-C387-C388)-C413</f>
        <v/>
      </c>
      <c r="D412" s="855">
        <f>-(D390-D387-D388)-D413</f>
        <v/>
      </c>
      <c r="E412" s="855">
        <f>-(E390-E387-E388)-E413</f>
        <v/>
      </c>
      <c r="F412" s="855">
        <f>-(F390-F387-F388)-F413</f>
        <v/>
      </c>
      <c r="G412" s="855">
        <f>-(G390-G387-G388)-G413</f>
        <v/>
      </c>
      <c r="H412" s="855">
        <f>-(H390-H387-H388)-H413</f>
        <v/>
      </c>
      <c r="I412" s="855">
        <f>-(I390-I387-I388)-I413</f>
        <v/>
      </c>
      <c r="J412" s="832">
        <f>-(J390-J387-J388)-J413</f>
        <v/>
      </c>
      <c r="K412" s="832">
        <f>-(K390-K387-K388)-K413</f>
        <v/>
      </c>
    </row>
    <row r="413">
      <c r="A413" s="241" t="inlineStr">
        <is>
          <t>+ Waardeverminderingen handelsvord. &amp; voorraden</t>
        </is>
      </c>
      <c r="B413" s="855">
        <f>B162</f>
        <v/>
      </c>
      <c r="C413" s="855">
        <f>C162</f>
        <v/>
      </c>
      <c r="D413" s="855">
        <f>D162</f>
        <v/>
      </c>
      <c r="E413" s="855">
        <f>E162</f>
        <v/>
      </c>
      <c r="F413" s="855">
        <f>F162</f>
        <v/>
      </c>
      <c r="G413" s="855">
        <f>G162</f>
        <v/>
      </c>
      <c r="H413" s="855">
        <f>H162</f>
        <v/>
      </c>
      <c r="I413" s="855">
        <f>I162</f>
        <v/>
      </c>
      <c r="J413" s="832">
        <f>J162</f>
        <v/>
      </c>
      <c r="K413" s="832">
        <f>K162</f>
        <v/>
      </c>
    </row>
    <row r="414" ht="11.25" customHeight="1">
      <c r="A414" s="219" t="inlineStr">
        <is>
          <t>Investeringen in opr. ko. &amp; (im)mat. vaste activa</t>
        </is>
      </c>
      <c r="B414" s="855">
        <f>-(B370-B363)</f>
        <v/>
      </c>
      <c r="C414" s="855">
        <f>-(C370-C363)</f>
        <v/>
      </c>
      <c r="D414" s="855">
        <f>-(D370-D363)</f>
        <v/>
      </c>
      <c r="E414" s="855">
        <f>-(E370-E363)</f>
        <v/>
      </c>
      <c r="F414" s="855">
        <f>-(F370-F363)</f>
        <v/>
      </c>
      <c r="G414" s="855">
        <f>-(G370-G363)</f>
        <v/>
      </c>
      <c r="H414" s="855">
        <f>-(H370-H363)</f>
        <v/>
      </c>
      <c r="I414" s="855">
        <f>-(I370-I363)</f>
        <v/>
      </c>
      <c r="J414" s="832">
        <f>-(J370-J363)</f>
        <v/>
      </c>
      <c r="K414" s="832">
        <f>-(K370-K363)</f>
        <v/>
      </c>
    </row>
    <row r="415">
      <c r="A415" s="219" t="n"/>
      <c r="B415" s="855" t="n"/>
      <c r="C415" s="855" t="n"/>
      <c r="D415" s="855" t="n"/>
      <c r="E415" s="855" t="n"/>
      <c r="F415" s="855" t="n"/>
      <c r="G415" s="855" t="n"/>
      <c r="H415" s="855" t="n"/>
      <c r="I415" s="855" t="n"/>
      <c r="J415" s="832" t="n"/>
      <c r="K415" s="832" t="n"/>
    </row>
    <row r="416">
      <c r="A416" s="265" t="inlineStr">
        <is>
          <t>Bruto-investeringen                                          (-BI)</t>
        </is>
      </c>
      <c r="B416" s="879">
        <f>SUM(B412:B415)</f>
        <v/>
      </c>
      <c r="C416" s="879">
        <f>SUM(C412:C415)</f>
        <v/>
      </c>
      <c r="D416" s="879">
        <f>SUM(D412:D415)</f>
        <v/>
      </c>
      <c r="E416" s="879">
        <f>SUM(E412:E415)</f>
        <v/>
      </c>
      <c r="F416" s="879">
        <f>SUM(F412:F415)</f>
        <v/>
      </c>
      <c r="G416" s="879">
        <f>SUM(G412:G415)</f>
        <v/>
      </c>
      <c r="H416" s="879">
        <f>SUM(H412:H415)</f>
        <v/>
      </c>
      <c r="I416" s="879">
        <f>SUM(I412:I415)</f>
        <v/>
      </c>
      <c r="J416" s="880">
        <f>SUM(J412:J415)</f>
        <v/>
      </c>
      <c r="K416" s="880">
        <f>SUM(K412:K415)</f>
        <v/>
      </c>
    </row>
    <row r="417">
      <c r="A417" s="219" t="n"/>
      <c r="B417" s="857" t="n"/>
      <c r="C417" s="857" t="n"/>
      <c r="D417" s="857" t="n"/>
      <c r="E417" s="857" t="n"/>
      <c r="F417" s="857" t="n"/>
      <c r="G417" s="857" t="n"/>
      <c r="H417" s="857" t="n"/>
      <c r="I417" s="857" t="n"/>
      <c r="J417" s="838" t="n"/>
      <c r="K417" s="838" t="n"/>
    </row>
    <row r="418">
      <c r="A418" s="266" t="inlineStr">
        <is>
          <t>VRIJE OPERATIONELE CASH-FLOW   (OCF - BI)</t>
        </is>
      </c>
      <c r="B418" s="865">
        <f>B410+B416</f>
        <v/>
      </c>
      <c r="C418" s="865">
        <f>C410+C416</f>
        <v/>
      </c>
      <c r="D418" s="865">
        <f>D410+D416</f>
        <v/>
      </c>
      <c r="E418" s="865">
        <f>E410+E416</f>
        <v/>
      </c>
      <c r="F418" s="865">
        <f>F410+F416</f>
        <v/>
      </c>
      <c r="G418" s="865">
        <f>G410+G416</f>
        <v/>
      </c>
      <c r="H418" s="865">
        <f>H410+H416</f>
        <v/>
      </c>
      <c r="I418" s="865">
        <f>I410+I416</f>
        <v/>
      </c>
      <c r="J418" s="866">
        <f>J410+J416</f>
        <v/>
      </c>
      <c r="K418" s="866">
        <f>K410+K416</f>
        <v/>
      </c>
    </row>
    <row r="419">
      <c r="A419" s="219" t="n"/>
      <c r="B419" s="857" t="n"/>
      <c r="C419" s="857" t="n"/>
      <c r="D419" s="857" t="n"/>
      <c r="E419" s="857" t="n"/>
      <c r="F419" s="857" t="n"/>
      <c r="G419" s="857" t="n"/>
      <c r="H419" s="857" t="n"/>
      <c r="I419" s="857" t="n"/>
      <c r="J419" s="838" t="n"/>
      <c r="K419" s="838" t="n"/>
    </row>
    <row r="420" ht="11.25" customHeight="1">
      <c r="A420" s="241" t="inlineStr">
        <is>
          <t>- Kosten van Schulden (incl. 653)</t>
        </is>
      </c>
      <c r="B420" s="857">
        <f>-B175-B284</f>
        <v/>
      </c>
      <c r="C420" s="857">
        <f>-C175-C284</f>
        <v/>
      </c>
      <c r="D420" s="857">
        <f>-D175-D284</f>
        <v/>
      </c>
      <c r="E420" s="857">
        <f>-E175-E284</f>
        <v/>
      </c>
      <c r="F420" s="857">
        <f>-F175-F284</f>
        <v/>
      </c>
      <c r="G420" s="857">
        <f>-G175-G284</f>
        <v/>
      </c>
      <c r="H420" s="857">
        <f>-H175-H284</f>
        <v/>
      </c>
      <c r="I420" s="857">
        <f>-I175-I284</f>
        <v/>
      </c>
      <c r="J420" s="838">
        <f>-J175-J284</f>
        <v/>
      </c>
      <c r="K420" s="838">
        <f>-K175-K284</f>
        <v/>
      </c>
    </row>
    <row r="421" ht="11.25" customHeight="1">
      <c r="A421" s="241" t="inlineStr">
        <is>
          <t>+ Afschrijving kosten bij uitgifte leningen en disagio</t>
        </is>
      </c>
      <c r="B421" s="857">
        <f>B282</f>
        <v/>
      </c>
      <c r="C421" s="857">
        <f>C282</f>
        <v/>
      </c>
      <c r="D421" s="857">
        <f>D282</f>
        <v/>
      </c>
      <c r="E421" s="857">
        <f>E282</f>
        <v/>
      </c>
      <c r="F421" s="857">
        <f>F282</f>
        <v/>
      </c>
      <c r="G421" s="857">
        <f>G282</f>
        <v/>
      </c>
      <c r="H421" s="857">
        <f>H282</f>
        <v/>
      </c>
      <c r="I421" s="857">
        <f>I282</f>
        <v/>
      </c>
      <c r="J421" s="838">
        <f>J282</f>
        <v/>
      </c>
      <c r="K421" s="838">
        <f>K282</f>
        <v/>
      </c>
    </row>
    <row r="422" ht="11.25" customHeight="1">
      <c r="A422" s="238" t="inlineStr">
        <is>
          <t>+ Financiële opbrengsten uit FVA en vlottende activa</t>
        </is>
      </c>
      <c r="B422" s="857">
        <f>B170+B171</f>
        <v/>
      </c>
      <c r="C422" s="857">
        <f>C170+C171</f>
        <v/>
      </c>
      <c r="D422" s="857">
        <f>D170+D171</f>
        <v/>
      </c>
      <c r="E422" s="857">
        <f>E170+E171</f>
        <v/>
      </c>
      <c r="F422" s="857">
        <f>F170+F171</f>
        <v/>
      </c>
      <c r="G422" s="857">
        <f>G170+G171</f>
        <v/>
      </c>
      <c r="H422" s="857">
        <f>H170+H171</f>
        <v/>
      </c>
      <c r="I422" s="857">
        <f>I170+I171</f>
        <v/>
      </c>
      <c r="J422" s="838">
        <f>J170+J171</f>
        <v/>
      </c>
      <c r="K422" s="838">
        <f>K170+K171</f>
        <v/>
      </c>
    </row>
    <row r="423" ht="11.25" customHeight="1">
      <c r="A423" s="238" t="inlineStr">
        <is>
          <t>- Waardeverminderingen op vlottende activa</t>
        </is>
      </c>
      <c r="B423" s="857">
        <f>-B176</f>
        <v/>
      </c>
      <c r="C423" s="857">
        <f>-C176</f>
        <v/>
      </c>
      <c r="D423" s="857">
        <f>-D176</f>
        <v/>
      </c>
      <c r="E423" s="857">
        <f>-E176</f>
        <v/>
      </c>
      <c r="F423" s="857">
        <f>-F176</f>
        <v/>
      </c>
      <c r="G423" s="857">
        <f>-G176</f>
        <v/>
      </c>
      <c r="H423" s="857">
        <f>-H176</f>
        <v/>
      </c>
      <c r="I423" s="857">
        <f>-I176</f>
        <v/>
      </c>
      <c r="J423" s="838">
        <f>-J176</f>
        <v/>
      </c>
      <c r="K423" s="838">
        <f>-K176</f>
        <v/>
      </c>
      <c r="L423" s="227" t="n"/>
      <c r="M423" s="269" t="n"/>
    </row>
    <row r="424" ht="11.25" customHeight="1">
      <c r="A424" s="238" t="inlineStr">
        <is>
          <t>+ Financiële opbrengsten uit Subsidies (enkel 9126)</t>
        </is>
      </c>
      <c r="B424" s="857">
        <f>B278</f>
        <v/>
      </c>
      <c r="C424" s="857">
        <f>C278</f>
        <v/>
      </c>
      <c r="D424" s="857">
        <f>D278</f>
        <v/>
      </c>
      <c r="E424" s="857">
        <f>E278</f>
        <v/>
      </c>
      <c r="F424" s="857">
        <f>F278</f>
        <v/>
      </c>
      <c r="G424" s="857">
        <f>G278</f>
        <v/>
      </c>
      <c r="H424" s="857">
        <f>H278</f>
        <v/>
      </c>
      <c r="I424" s="857">
        <f>I278</f>
        <v/>
      </c>
      <c r="J424" s="838">
        <f>J278</f>
        <v/>
      </c>
      <c r="K424" s="838">
        <f>K278</f>
        <v/>
      </c>
    </row>
    <row r="425" ht="11.25" customHeight="1">
      <c r="A425" s="241" t="inlineStr">
        <is>
          <t>-/+ Belastingen op financieel resultaat</t>
        </is>
      </c>
      <c r="B425" s="857">
        <f>-B395*SUM(B420:B424)</f>
        <v/>
      </c>
      <c r="C425" s="857">
        <f>-C395*SUM(C420:C424)</f>
        <v/>
      </c>
      <c r="D425" s="857">
        <f>-D395*SUM(D420:D424)</f>
        <v/>
      </c>
      <c r="E425" s="857">
        <f>-E395*SUM(E420:E424)</f>
        <v/>
      </c>
      <c r="F425" s="857">
        <f>-F395*SUM(F420:F424)</f>
        <v/>
      </c>
      <c r="G425" s="857">
        <f>-G395*SUM(G420:G424)</f>
        <v/>
      </c>
      <c r="H425" s="857">
        <f>-H395*SUM(H420:H424)</f>
        <v/>
      </c>
      <c r="I425" s="857">
        <f>-I395*SUM(I420:I424)</f>
        <v/>
      </c>
      <c r="J425" s="838">
        <f>-J395*SUM(J420:J424)</f>
        <v/>
      </c>
      <c r="K425" s="838">
        <f>-K395*SUM(K420:K424)</f>
        <v/>
      </c>
    </row>
    <row r="426">
      <c r="A426" s="219" t="n"/>
      <c r="B426" s="857" t="n"/>
      <c r="C426" s="857" t="n"/>
      <c r="D426" s="857" t="n"/>
      <c r="E426" s="857" t="n"/>
      <c r="F426" s="857" t="n"/>
      <c r="G426" s="857" t="n"/>
      <c r="H426" s="857" t="n"/>
      <c r="I426" s="857" t="n"/>
      <c r="J426" s="838" t="n"/>
      <c r="K426" s="838" t="n"/>
    </row>
    <row r="427">
      <c r="A427" s="265" t="inlineStr">
        <is>
          <t>Financiële resultaten                                         (FK)</t>
        </is>
      </c>
      <c r="B427" s="879">
        <f>SUM(B420:B426)</f>
        <v/>
      </c>
      <c r="C427" s="879">
        <f>SUM(C420:C426)</f>
        <v/>
      </c>
      <c r="D427" s="879">
        <f>SUM(D420:D426)</f>
        <v/>
      </c>
      <c r="E427" s="879">
        <f>SUM(E420:E426)</f>
        <v/>
      </c>
      <c r="F427" s="879">
        <f>SUM(F420:F426)</f>
        <v/>
      </c>
      <c r="G427" s="879">
        <f>SUM(G420:G426)</f>
        <v/>
      </c>
      <c r="H427" s="879">
        <f>SUM(H420:H426)</f>
        <v/>
      </c>
      <c r="I427" s="879">
        <f>SUM(I420:I426)</f>
        <v/>
      </c>
      <c r="J427" s="880">
        <f>SUM(J420:J426)</f>
        <v/>
      </c>
      <c r="K427" s="880">
        <f>SUM(K420:K426)</f>
        <v/>
      </c>
    </row>
    <row r="428">
      <c r="A428" s="219" t="n"/>
      <c r="B428" s="857" t="n"/>
      <c r="C428" s="857" t="n"/>
      <c r="D428" s="857" t="n"/>
      <c r="E428" s="857" t="n"/>
      <c r="F428" s="857" t="n"/>
      <c r="G428" s="857" t="n"/>
      <c r="H428" s="857" t="n"/>
      <c r="I428" s="857" t="n"/>
      <c r="J428" s="838" t="n"/>
      <c r="K428" s="838" t="n"/>
      <c r="L428" s="155" t="n"/>
      <c r="M428" s="155" t="n"/>
      <c r="N428" s="155" t="n"/>
      <c r="O428" s="155" t="n"/>
      <c r="P428" s="155" t="n"/>
      <c r="Q428" s="155" t="n"/>
      <c r="R428" s="155" t="n"/>
      <c r="S428" s="155" t="n"/>
      <c r="T428" s="155" t="n"/>
      <c r="U428" s="155" t="n"/>
      <c r="V428" s="155" t="n"/>
      <c r="W428" s="155" t="n"/>
      <c r="X428" s="155" t="n"/>
      <c r="Y428" s="155" t="n"/>
      <c r="Z428" s="155" t="n"/>
      <c r="AA428" s="155" t="n"/>
      <c r="AB428" s="155" t="n"/>
      <c r="AC428" s="155" t="n"/>
      <c r="AD428" s="155" t="n"/>
      <c r="AE428" s="155" t="n"/>
      <c r="AF428" s="155" t="n"/>
      <c r="AG428" s="155" t="n"/>
      <c r="AH428" s="155" t="n"/>
      <c r="AI428" s="155" t="n"/>
      <c r="AJ428" s="155" t="n"/>
      <c r="AK428" s="155" t="n"/>
      <c r="AL428" s="155" t="n"/>
      <c r="AM428" s="155" t="n"/>
      <c r="AN428" s="155" t="n"/>
      <c r="AO428" s="155" t="n"/>
      <c r="AP428" s="155" t="n"/>
      <c r="AQ428" s="155" t="n"/>
      <c r="AR428" s="155" t="n"/>
      <c r="AS428" s="155" t="n"/>
      <c r="AT428" s="155" t="n"/>
      <c r="AU428" s="155" t="n"/>
      <c r="AV428" s="155" t="n"/>
      <c r="AW428" s="155" t="n"/>
      <c r="AX428" s="155" t="n"/>
      <c r="AY428" s="155" t="n"/>
      <c r="AZ428" s="155" t="n"/>
      <c r="BA428" s="155" t="n"/>
      <c r="BB428" s="155" t="n"/>
      <c r="BC428" s="155" t="n"/>
      <c r="BD428" s="155" t="n"/>
      <c r="BE428" s="155" t="n"/>
      <c r="BF428" s="155" t="n"/>
      <c r="BG428" s="155" t="n"/>
      <c r="BH428" s="155" t="n"/>
      <c r="BI428" s="155" t="n"/>
      <c r="BJ428" s="155" t="n"/>
      <c r="BK428" s="155" t="n"/>
      <c r="BL428" s="155" t="n"/>
      <c r="BM428" s="155" t="n"/>
      <c r="BN428" s="155" t="n"/>
      <c r="BO428" s="155" t="n"/>
      <c r="BP428" s="155" t="n"/>
      <c r="BQ428" s="155" t="n"/>
      <c r="BR428" s="155" t="n"/>
      <c r="BS428" s="155" t="n"/>
      <c r="BT428" s="155" t="n"/>
      <c r="BU428" s="155" t="n"/>
      <c r="BV428" s="155" t="n"/>
      <c r="BW428" s="155" t="n"/>
      <c r="BX428" s="155" t="n"/>
      <c r="BY428" s="155" t="n"/>
      <c r="BZ428" s="155" t="n"/>
      <c r="CA428" s="155" t="n"/>
      <c r="CB428" s="155" t="n"/>
      <c r="CC428" s="155" t="n"/>
      <c r="CD428" s="155" t="n"/>
      <c r="CE428" s="155" t="n"/>
      <c r="CF428" s="155" t="n"/>
      <c r="CG428" s="155" t="n"/>
      <c r="CH428" s="155" t="n"/>
      <c r="CI428" s="155" t="n"/>
      <c r="CJ428" s="155" t="n"/>
      <c r="CK428" s="155" t="n"/>
      <c r="CL428" s="155" t="n"/>
      <c r="CM428" s="155" t="n"/>
      <c r="CN428" s="155" t="n"/>
      <c r="CO428" s="155" t="n"/>
      <c r="CP428" s="155" t="n"/>
      <c r="CQ428" s="155" t="n"/>
      <c r="CR428" s="155" t="n"/>
      <c r="CS428" s="155" t="n"/>
      <c r="CT428" s="155" t="n"/>
      <c r="CU428" s="155" t="n"/>
      <c r="CV428" s="155" t="n"/>
      <c r="CW428" s="155" t="n"/>
      <c r="CX428" s="155" t="n"/>
      <c r="CY428" s="155" t="n"/>
      <c r="CZ428" s="155" t="n"/>
      <c r="DA428" s="155" t="n"/>
      <c r="DB428" s="155" t="n"/>
      <c r="DC428" s="155" t="n"/>
      <c r="DD428" s="155" t="n"/>
      <c r="DE428" s="155" t="n"/>
      <c r="DF428" s="155" t="n"/>
      <c r="DG428" s="155" t="n"/>
      <c r="DH428" s="155" t="n"/>
      <c r="DI428" s="155" t="n"/>
      <c r="DJ428" s="155" t="n"/>
      <c r="DK428" s="155" t="n"/>
      <c r="DL428" s="155" t="n"/>
      <c r="DM428" s="155" t="n"/>
      <c r="DN428" s="155" t="n"/>
      <c r="DO428" s="155" t="n"/>
      <c r="DP428" s="155" t="n"/>
      <c r="DQ428" s="155" t="n"/>
      <c r="DR428" s="155" t="n"/>
      <c r="DS428" s="155" t="n"/>
      <c r="DT428" s="155" t="n"/>
      <c r="DU428" s="155" t="n"/>
      <c r="DV428" s="155" t="n"/>
      <c r="DW428" s="155" t="n"/>
      <c r="DX428" s="155" t="n"/>
      <c r="DY428" s="155" t="n"/>
      <c r="DZ428" s="155" t="n"/>
      <c r="EA428" s="155" t="n"/>
      <c r="EB428" s="155" t="n"/>
      <c r="EC428" s="155" t="n"/>
      <c r="ED428" s="155" t="n"/>
      <c r="EE428" s="155" t="n"/>
      <c r="EF428" s="155" t="n"/>
      <c r="EG428" s="155" t="n"/>
      <c r="EH428" s="155" t="n"/>
      <c r="EI428" s="155" t="n"/>
      <c r="EJ428" s="155" t="n"/>
      <c r="EK428" s="155" t="n"/>
      <c r="EL428" s="155" t="n"/>
      <c r="EM428" s="155" t="n"/>
      <c r="EN428" s="155" t="n"/>
      <c r="EO428" s="155" t="n"/>
      <c r="EP428" s="155" t="n"/>
      <c r="EQ428" s="155" t="n"/>
      <c r="ER428" s="155" t="n"/>
      <c r="ES428" s="155" t="n"/>
      <c r="ET428" s="155" t="n"/>
      <c r="EU428" s="155" t="n"/>
      <c r="EV428" s="155" t="n"/>
      <c r="EW428" s="155" t="n"/>
      <c r="EX428" s="155" t="n"/>
      <c r="EY428" s="155" t="n"/>
      <c r="EZ428" s="155" t="n"/>
      <c r="FA428" s="155" t="n"/>
      <c r="FB428" s="155" t="n"/>
      <c r="FC428" s="155" t="n"/>
      <c r="FD428" s="155" t="n"/>
      <c r="FE428" s="155" t="n"/>
      <c r="FF428" s="155" t="n"/>
      <c r="FG428" s="155" t="n"/>
      <c r="FH428" s="155" t="n"/>
      <c r="FI428" s="155" t="n"/>
      <c r="FJ428" s="155" t="n"/>
      <c r="FK428" s="155" t="n"/>
      <c r="FL428" s="155" t="n"/>
      <c r="FM428" s="155" t="n"/>
      <c r="FN428" s="155" t="n"/>
      <c r="FO428" s="155" t="n"/>
      <c r="FP428" s="155" t="n"/>
      <c r="FQ428" s="155" t="n"/>
      <c r="FR428" s="155" t="n"/>
      <c r="FS428" s="155" t="n"/>
      <c r="FT428" s="155" t="n"/>
      <c r="FU428" s="155" t="n"/>
      <c r="FV428" s="155" t="n"/>
      <c r="FW428" s="155" t="n"/>
      <c r="FX428" s="155" t="n"/>
      <c r="FY428" s="155" t="n"/>
      <c r="FZ428" s="155" t="n"/>
      <c r="GA428" s="155" t="n"/>
      <c r="GB428" s="155" t="n"/>
      <c r="GC428" s="155" t="n"/>
      <c r="GD428" s="155" t="n"/>
      <c r="GE428" s="155" t="n"/>
      <c r="GF428" s="155" t="n"/>
      <c r="GG428" s="155" t="n"/>
      <c r="GH428" s="155" t="n"/>
      <c r="GI428" s="155" t="n"/>
      <c r="GJ428" s="155" t="n"/>
      <c r="GK428" s="155" t="n"/>
      <c r="GL428" s="155" t="n"/>
      <c r="GM428" s="155" t="n"/>
      <c r="GN428" s="155" t="n"/>
      <c r="GO428" s="155" t="n"/>
      <c r="GP428" s="155" t="n"/>
      <c r="GQ428" s="155" t="n"/>
      <c r="GR428" s="155" t="n"/>
      <c r="GS428" s="155" t="n"/>
      <c r="GT428" s="155" t="n"/>
      <c r="GU428" s="155" t="n"/>
      <c r="GV428" s="155" t="n"/>
      <c r="GW428" s="155" t="n"/>
      <c r="GX428" s="155" t="n"/>
      <c r="GY428" s="155" t="n"/>
      <c r="GZ428" s="155" t="n"/>
      <c r="HA428" s="155" t="n"/>
      <c r="HB428" s="155" t="n"/>
      <c r="HC428" s="155" t="n"/>
      <c r="HD428" s="155" t="n"/>
      <c r="HE428" s="155" t="n"/>
      <c r="HF428" s="155" t="n"/>
      <c r="HG428" s="155" t="n"/>
      <c r="HH428" s="155" t="n"/>
      <c r="HI428" s="155" t="n"/>
      <c r="HJ428" s="155" t="n"/>
      <c r="HK428" s="155" t="n"/>
      <c r="HL428" s="155" t="n"/>
      <c r="HM428" s="155" t="n"/>
      <c r="HN428" s="155" t="n"/>
      <c r="HO428" s="155" t="n"/>
      <c r="HP428" s="155" t="n"/>
      <c r="HQ428" s="155" t="n"/>
      <c r="HR428" s="155" t="n"/>
      <c r="HS428" s="155" t="n"/>
      <c r="HT428" s="155" t="n"/>
      <c r="HU428" s="155" t="n"/>
      <c r="HV428" s="155" t="n"/>
      <c r="HW428" s="155" t="n"/>
      <c r="HX428" s="155" t="n"/>
      <c r="HY428" s="155" t="n"/>
      <c r="HZ428" s="155" t="n"/>
      <c r="IA428" s="155" t="n"/>
      <c r="IB428" s="155" t="n"/>
      <c r="IC428" s="155" t="n"/>
      <c r="ID428" s="155" t="n"/>
      <c r="IE428" s="155" t="n"/>
      <c r="IF428" s="155" t="n"/>
      <c r="IG428" s="155" t="n"/>
      <c r="IH428" s="155" t="n"/>
      <c r="II428" s="155" t="n"/>
      <c r="IJ428" s="155" t="n"/>
    </row>
    <row r="429">
      <c r="A429" s="242" t="inlineStr">
        <is>
          <t>VRIJE CASH FLOW NA FINANCIELE RESULTAAT</t>
        </is>
      </c>
      <c r="B429" s="865">
        <f>B418+B427</f>
        <v/>
      </c>
      <c r="C429" s="865">
        <f>C418+C427</f>
        <v/>
      </c>
      <c r="D429" s="865">
        <f>D418+D427</f>
        <v/>
      </c>
      <c r="E429" s="865">
        <f>E418+E427</f>
        <v/>
      </c>
      <c r="F429" s="865">
        <f>F418+F427</f>
        <v/>
      </c>
      <c r="G429" s="865">
        <f>G418+G427</f>
        <v/>
      </c>
      <c r="H429" s="865">
        <f>H418+H427</f>
        <v/>
      </c>
      <c r="I429" s="865">
        <f>I418+I427</f>
        <v/>
      </c>
      <c r="J429" s="866">
        <f>J418+J427</f>
        <v/>
      </c>
      <c r="K429" s="866">
        <f>K418+K427</f>
        <v/>
      </c>
    </row>
    <row r="430">
      <c r="A430" s="270" t="n"/>
      <c r="B430" s="857" t="n"/>
      <c r="C430" s="857" t="n"/>
      <c r="D430" s="857" t="n"/>
      <c r="E430" s="857" t="n"/>
      <c r="F430" s="857" t="n"/>
      <c r="G430" s="857" t="n"/>
      <c r="H430" s="857" t="n"/>
      <c r="I430" s="857" t="n"/>
      <c r="J430" s="838" t="n"/>
      <c r="K430" s="838" t="n"/>
    </row>
    <row r="431">
      <c r="A431" s="271" t="inlineStr">
        <is>
          <t>+ Uitzonderlijke kasopbrengsten</t>
        </is>
      </c>
      <c r="B431" s="857">
        <f>B185+B186</f>
        <v/>
      </c>
      <c r="C431" s="857">
        <f>C185+C186</f>
        <v/>
      </c>
      <c r="D431" s="857">
        <f>D185+D186</f>
        <v/>
      </c>
      <c r="E431" s="857">
        <f>E185+E186</f>
        <v/>
      </c>
      <c r="F431" s="857">
        <f>F185+F186</f>
        <v/>
      </c>
      <c r="G431" s="857">
        <f>G185+G186</f>
        <v/>
      </c>
      <c r="H431" s="857">
        <f>H185+H186</f>
        <v/>
      </c>
      <c r="I431" s="857">
        <f>I185+I186</f>
        <v/>
      </c>
      <c r="J431" s="838">
        <f>J185+J186</f>
        <v/>
      </c>
      <c r="K431" s="838">
        <f>K185+K186</f>
        <v/>
      </c>
    </row>
    <row r="432">
      <c r="A432" s="272" t="inlineStr">
        <is>
          <t>- Uitzonderlijke kaskosten</t>
        </is>
      </c>
      <c r="B432" s="857">
        <f>-B192-B193-B194</f>
        <v/>
      </c>
      <c r="C432" s="857">
        <f>-C192-C193-C194</f>
        <v/>
      </c>
      <c r="D432" s="857">
        <f>-D192-D193-D194</f>
        <v/>
      </c>
      <c r="E432" s="857">
        <f>-E192-E193-E194</f>
        <v/>
      </c>
      <c r="F432" s="857">
        <f>-F192-F193-F194</f>
        <v/>
      </c>
      <c r="G432" s="857">
        <f>-G192-G193-G194</f>
        <v/>
      </c>
      <c r="H432" s="857">
        <f>-H192-H193-H194</f>
        <v/>
      </c>
      <c r="I432" s="857">
        <f>-I192-I193-I194</f>
        <v/>
      </c>
      <c r="J432" s="838">
        <f>-J192-J193-J194</f>
        <v/>
      </c>
      <c r="K432" s="838">
        <f>-K192-K193-K194</f>
        <v/>
      </c>
    </row>
    <row r="433">
      <c r="A433" s="270" t="inlineStr">
        <is>
          <t>Correctie belastingen op bedrijfs- en fin. resultaat</t>
        </is>
      </c>
      <c r="B433" s="857">
        <f>-B403-B425</f>
        <v/>
      </c>
      <c r="C433" s="857">
        <f>-C403-C425</f>
        <v/>
      </c>
      <c r="D433" s="857">
        <f>-D403-D425</f>
        <v/>
      </c>
      <c r="E433" s="857">
        <f>-E403-E425</f>
        <v/>
      </c>
      <c r="F433" s="857">
        <f>-F403-F425</f>
        <v/>
      </c>
      <c r="G433" s="857">
        <f>-G403-G425</f>
        <v/>
      </c>
      <c r="H433" s="857">
        <f>-H403-H425</f>
        <v/>
      </c>
      <c r="I433" s="857">
        <f>-I403-I425</f>
        <v/>
      </c>
      <c r="J433" s="838">
        <f>-J403-J425</f>
        <v/>
      </c>
      <c r="K433" s="838">
        <f>-K403-K425</f>
        <v/>
      </c>
    </row>
    <row r="434">
      <c r="A434" s="238" t="inlineStr">
        <is>
          <t xml:space="preserve">- Reële belastingskosten </t>
        </is>
      </c>
      <c r="B434" s="857">
        <f>B207</f>
        <v/>
      </c>
      <c r="C434" s="857">
        <f>C207</f>
        <v/>
      </c>
      <c r="D434" s="857">
        <f>D207</f>
        <v/>
      </c>
      <c r="E434" s="857">
        <f>E207</f>
        <v/>
      </c>
      <c r="F434" s="857">
        <f>F207</f>
        <v/>
      </c>
      <c r="G434" s="857">
        <f>G207</f>
        <v/>
      </c>
      <c r="H434" s="857">
        <f>H207</f>
        <v/>
      </c>
      <c r="I434" s="857">
        <f>I207</f>
        <v/>
      </c>
      <c r="J434" s="838">
        <f>J207</f>
        <v/>
      </c>
      <c r="K434" s="838">
        <f>K207</f>
        <v/>
      </c>
    </row>
    <row r="435">
      <c r="A435" s="270" t="n"/>
      <c r="B435" s="857" t="n"/>
      <c r="C435" s="857" t="n"/>
      <c r="D435" s="857" t="n"/>
      <c r="E435" s="857" t="n"/>
      <c r="F435" s="857" t="n"/>
      <c r="G435" s="857" t="n"/>
      <c r="H435" s="857" t="n"/>
      <c r="I435" s="857" t="n"/>
      <c r="J435" s="838" t="n"/>
      <c r="K435" s="838" t="n"/>
    </row>
    <row r="436">
      <c r="A436" s="273" t="inlineStr">
        <is>
          <t>Niet Operationele Cash Flow                    (NOCF)</t>
        </is>
      </c>
      <c r="B436" s="879">
        <f>SUM(B431:B435)</f>
        <v/>
      </c>
      <c r="C436" s="879">
        <f>SUM(C431:C435)</f>
        <v/>
      </c>
      <c r="D436" s="879">
        <f>SUM(D431:D435)</f>
        <v/>
      </c>
      <c r="E436" s="879">
        <f>SUM(E431:E435)</f>
        <v/>
      </c>
      <c r="F436" s="879">
        <f>SUM(F431:F435)</f>
        <v/>
      </c>
      <c r="G436" s="879">
        <f>SUM(G431:G435)</f>
        <v/>
      </c>
      <c r="H436" s="879">
        <f>SUM(H431:H435)</f>
        <v/>
      </c>
      <c r="I436" s="879">
        <f>SUM(I431:I435)</f>
        <v/>
      </c>
      <c r="J436" s="880">
        <f>SUM(J431:J435)</f>
        <v/>
      </c>
      <c r="K436" s="880">
        <f>SUM(K431:K435)</f>
        <v/>
      </c>
    </row>
    <row r="437">
      <c r="A437" s="219" t="n"/>
      <c r="B437" s="857" t="n"/>
      <c r="C437" s="857" t="n"/>
      <c r="D437" s="857" t="n"/>
      <c r="E437" s="857" t="n"/>
      <c r="F437" s="857" t="n"/>
      <c r="G437" s="857" t="n"/>
      <c r="H437" s="857" t="n"/>
      <c r="I437" s="857" t="n"/>
      <c r="J437" s="838" t="n"/>
      <c r="K437" s="838" t="n"/>
    </row>
    <row r="438">
      <c r="A438" s="242" t="inlineStr">
        <is>
          <t>TOTALE CASH FLOW VOOR FINANCIERING</t>
        </is>
      </c>
      <c r="B438" s="865">
        <f>B429+B436</f>
        <v/>
      </c>
      <c r="C438" s="865">
        <f>C429+C436</f>
        <v/>
      </c>
      <c r="D438" s="865">
        <f>D429+D436</f>
        <v/>
      </c>
      <c r="E438" s="865">
        <f>E429+E436</f>
        <v/>
      </c>
      <c r="F438" s="865">
        <f>F429+F436</f>
        <v/>
      </c>
      <c r="G438" s="865">
        <f>G429+G436</f>
        <v/>
      </c>
      <c r="H438" s="865">
        <f>H429+H436</f>
        <v/>
      </c>
      <c r="I438" s="865">
        <f>I429+I436</f>
        <v/>
      </c>
      <c r="J438" s="866">
        <f>J429+J436</f>
        <v/>
      </c>
      <c r="K438" s="866">
        <f>K429+K436</f>
        <v/>
      </c>
    </row>
    <row r="439" ht="13.2" customHeight="1">
      <c r="A439" s="141" t="n"/>
      <c r="B439" s="862" t="n"/>
      <c r="C439" s="862" t="n"/>
      <c r="D439" s="862" t="n"/>
      <c r="E439" s="862" t="n"/>
      <c r="F439" s="862" t="n"/>
      <c r="G439" s="862" t="n"/>
      <c r="H439" s="862" t="n"/>
      <c r="I439" s="862" t="n"/>
      <c r="J439" s="862" t="n"/>
      <c r="K439" s="862" t="n"/>
    </row>
    <row r="440" ht="13.8" customHeight="1">
      <c r="A440" s="274" t="inlineStr">
        <is>
          <t>FINANCIELE FLOW</t>
        </is>
      </c>
      <c r="B440" s="881" t="n"/>
      <c r="C440" s="881" t="n"/>
      <c r="D440" s="881" t="n"/>
      <c r="E440" s="881" t="n"/>
      <c r="F440" s="881" t="n"/>
      <c r="G440" s="881" t="n"/>
      <c r="H440" s="881" t="n"/>
      <c r="I440" s="881" t="n"/>
      <c r="J440" s="881" t="n"/>
      <c r="K440" s="881" t="n"/>
    </row>
    <row r="441" ht="12.6" customHeight="1">
      <c r="A441" s="184" t="n"/>
      <c r="B441" s="881" t="n"/>
      <c r="C441" s="881" t="n"/>
      <c r="D441" s="881" t="n"/>
      <c r="E441" s="881" t="n"/>
      <c r="F441" s="881" t="n"/>
      <c r="G441" s="881" t="n"/>
      <c r="H441" s="881" t="n"/>
      <c r="I441" s="881" t="n"/>
      <c r="J441" s="881" t="n"/>
      <c r="K441" s="881" t="n"/>
    </row>
    <row r="442">
      <c r="A442" s="219" t="inlineStr">
        <is>
          <t> </t>
        </is>
      </c>
      <c r="B442" s="882" t="n"/>
      <c r="C442" s="882" t="n"/>
      <c r="D442" s="882" t="n"/>
      <c r="E442" s="882" t="n"/>
      <c r="F442" s="882" t="n"/>
      <c r="G442" s="882" t="n"/>
      <c r="H442" s="882" t="n"/>
      <c r="I442" s="882" t="n"/>
      <c r="J442" s="883" t="n"/>
      <c r="K442" s="883" t="n"/>
    </row>
    <row r="443">
      <c r="A443" s="219" t="inlineStr">
        <is>
          <t>(Toename) / afname financiële vaste activa</t>
        </is>
      </c>
      <c r="B443" s="874" t="n">
        <v>0</v>
      </c>
      <c r="C443" s="855" t="n">
        <v>0</v>
      </c>
      <c r="D443" s="855" t="n">
        <v>0</v>
      </c>
      <c r="E443" s="855" t="n">
        <v>0</v>
      </c>
      <c r="F443" s="855" t="n">
        <v>0</v>
      </c>
      <c r="G443" s="855" t="n">
        <v>0</v>
      </c>
      <c r="H443" s="855" t="n">
        <v>0</v>
      </c>
      <c r="I443" s="855" t="n">
        <v>0</v>
      </c>
      <c r="J443" s="832" t="n">
        <v>0</v>
      </c>
      <c r="K443" s="832" t="n">
        <v>0</v>
      </c>
    </row>
    <row r="444">
      <c r="A444" s="219" t="inlineStr">
        <is>
          <t>(Toename) / afname vorderingen op LT</t>
        </is>
      </c>
      <c r="B444" s="874" t="n">
        <v>0</v>
      </c>
      <c r="C444" s="855" t="n">
        <v>0</v>
      </c>
      <c r="D444" s="855" t="n">
        <v>0</v>
      </c>
      <c r="E444" s="855" t="n">
        <v>0</v>
      </c>
      <c r="F444" s="855" t="n">
        <v>0</v>
      </c>
      <c r="G444" s="855" t="n">
        <v>0</v>
      </c>
      <c r="H444" s="855" t="n">
        <v>0</v>
      </c>
      <c r="I444" s="855" t="n">
        <v>0</v>
      </c>
      <c r="J444" s="832" t="n">
        <v>0</v>
      </c>
      <c r="K444" s="832" t="n">
        <v>0</v>
      </c>
    </row>
    <row r="445">
      <c r="A445" s="219" t="inlineStr">
        <is>
          <t>Toename / (afname) niet-financiële schulden op LT</t>
        </is>
      </c>
      <c r="B445" s="874" t="n">
        <v>0</v>
      </c>
      <c r="C445" s="855" t="n">
        <v>0</v>
      </c>
      <c r="D445" s="855" t="n">
        <v>0</v>
      </c>
      <c r="E445" s="855" t="n">
        <v>0</v>
      </c>
      <c r="F445" s="855" t="n">
        <v>0</v>
      </c>
      <c r="G445" s="855" t="n">
        <v>0</v>
      </c>
      <c r="H445" s="855" t="n">
        <v>0</v>
      </c>
      <c r="I445" s="855" t="n">
        <v>0</v>
      </c>
      <c r="J445" s="832" t="n">
        <v>0</v>
      </c>
      <c r="K445" s="832" t="n">
        <v>0</v>
      </c>
    </row>
    <row r="446">
      <c r="A446" s="219" t="inlineStr">
        <is>
          <t>Toename / (afname) financiële schulden LT + deel KT</t>
        </is>
      </c>
      <c r="B446" s="874" t="n">
        <v>0</v>
      </c>
      <c r="C446" s="855" t="n">
        <v>0</v>
      </c>
      <c r="D446" s="855" t="n">
        <v>0</v>
      </c>
      <c r="E446" s="855" t="n">
        <v>0</v>
      </c>
      <c r="F446" s="855" t="n">
        <v>0</v>
      </c>
      <c r="G446" s="855" t="n">
        <v>0</v>
      </c>
      <c r="H446" s="855" t="n">
        <v>0</v>
      </c>
      <c r="I446" s="855" t="n">
        <v>0</v>
      </c>
      <c r="J446" s="832" t="n">
        <v>0</v>
      </c>
      <c r="K446" s="832" t="n">
        <v>0</v>
      </c>
    </row>
    <row r="447">
      <c r="A447" s="219" t="inlineStr">
        <is>
          <t>Kapitaalverhoging / (-vermindering)</t>
        </is>
      </c>
      <c r="B447" s="874">
        <f>B357+B358</f>
        <v/>
      </c>
      <c r="C447" s="855">
        <f>C357+C358</f>
        <v/>
      </c>
      <c r="D447" s="855">
        <f>D357+D358</f>
        <v/>
      </c>
      <c r="E447" s="855">
        <f>E357+E358</f>
        <v/>
      </c>
      <c r="F447" s="855">
        <f>F357+F358</f>
        <v/>
      </c>
      <c r="G447" s="855">
        <f>G357+G358</f>
        <v/>
      </c>
      <c r="H447" s="855">
        <f>H357+H358</f>
        <v/>
      </c>
      <c r="I447" s="855">
        <f>I357+I358</f>
        <v/>
      </c>
      <c r="J447" s="832">
        <f>J357+J358</f>
        <v/>
      </c>
      <c r="K447" s="832">
        <f>K357+K358</f>
        <v/>
      </c>
    </row>
    <row r="448">
      <c r="A448" s="241" t="inlineStr">
        <is>
          <t xml:space="preserve">- Uitgekeerde dividenden </t>
        </is>
      </c>
      <c r="B448" s="855">
        <f>B322</f>
        <v/>
      </c>
      <c r="C448" s="855">
        <f>C322</f>
        <v/>
      </c>
      <c r="D448" s="855">
        <f>D322</f>
        <v/>
      </c>
      <c r="E448" s="855">
        <f>E322</f>
        <v/>
      </c>
      <c r="F448" s="855">
        <f>F322</f>
        <v/>
      </c>
      <c r="G448" s="855">
        <f>G322</f>
        <v/>
      </c>
      <c r="H448" s="855">
        <f>H322</f>
        <v/>
      </c>
      <c r="I448" s="855">
        <f>I322</f>
        <v/>
      </c>
      <c r="J448" s="832">
        <f>J322</f>
        <v/>
      </c>
      <c r="K448" s="832">
        <f>K322</f>
        <v/>
      </c>
    </row>
    <row r="449">
      <c r="A449" s="238" t="inlineStr">
        <is>
          <t>Wijziging kapitaalsubsidies</t>
        </is>
      </c>
      <c r="B449" s="855">
        <f>B361</f>
        <v/>
      </c>
      <c r="C449" s="855">
        <f>C361</f>
        <v/>
      </c>
      <c r="D449" s="855">
        <f>D361</f>
        <v/>
      </c>
      <c r="E449" s="855">
        <f>E361</f>
        <v/>
      </c>
      <c r="F449" s="855">
        <f>F361</f>
        <v/>
      </c>
      <c r="G449" s="855">
        <f>G361</f>
        <v/>
      </c>
      <c r="H449" s="855">
        <f>H361</f>
        <v/>
      </c>
      <c r="I449" s="855">
        <f>I361</f>
        <v/>
      </c>
      <c r="J449" s="832">
        <f>J361</f>
        <v/>
      </c>
      <c r="K449" s="832">
        <f>K361</f>
        <v/>
      </c>
    </row>
    <row r="450">
      <c r="A450" s="219" t="inlineStr">
        <is>
          <t>Wijziging uitgestelde belastingen</t>
        </is>
      </c>
      <c r="B450" s="855">
        <f>B362</f>
        <v/>
      </c>
      <c r="C450" s="855">
        <f>C362</f>
        <v/>
      </c>
      <c r="D450" s="855">
        <f>D362</f>
        <v/>
      </c>
      <c r="E450" s="855">
        <f>E362</f>
        <v/>
      </c>
      <c r="F450" s="855">
        <f>F362</f>
        <v/>
      </c>
      <c r="G450" s="855">
        <f>G362</f>
        <v/>
      </c>
      <c r="H450" s="855">
        <f>H362</f>
        <v/>
      </c>
      <c r="I450" s="855">
        <f>I362</f>
        <v/>
      </c>
      <c r="J450" s="832">
        <f>J362</f>
        <v/>
      </c>
      <c r="K450" s="832">
        <f>K362</f>
        <v/>
      </c>
    </row>
    <row r="451">
      <c r="A451" s="219" t="inlineStr">
        <is>
          <t> </t>
        </is>
      </c>
      <c r="B451" s="855" t="inlineStr">
        <is>
          <t> </t>
        </is>
      </c>
      <c r="C451" s="855" t="inlineStr">
        <is>
          <t> </t>
        </is>
      </c>
      <c r="D451" s="855" t="inlineStr">
        <is>
          <t> </t>
        </is>
      </c>
      <c r="E451" s="855" t="inlineStr">
        <is>
          <t> </t>
        </is>
      </c>
      <c r="F451" s="855" t="inlineStr">
        <is>
          <t> </t>
        </is>
      </c>
      <c r="G451" s="855" t="inlineStr">
        <is>
          <t> </t>
        </is>
      </c>
      <c r="H451" s="855" t="inlineStr">
        <is>
          <t> </t>
        </is>
      </c>
      <c r="I451" s="855" t="inlineStr">
        <is>
          <t> </t>
        </is>
      </c>
      <c r="J451" s="832" t="inlineStr">
        <is>
          <t> </t>
        </is>
      </c>
      <c r="K451" s="832" t="inlineStr">
        <is>
          <t> </t>
        </is>
      </c>
    </row>
    <row r="452">
      <c r="A452" s="266" t="inlineStr">
        <is>
          <t>TOTALE FINANCIELE FLOW                        (FCF)</t>
        </is>
      </c>
      <c r="B452" s="865">
        <f>SUM(B443:B451)</f>
        <v/>
      </c>
      <c r="C452" s="865">
        <f>SUM(C443:C451)</f>
        <v/>
      </c>
      <c r="D452" s="865">
        <f>SUM(D443:D451)</f>
        <v/>
      </c>
      <c r="E452" s="865">
        <f>SUM(E443:E451)</f>
        <v/>
      </c>
      <c r="F452" s="865">
        <f>SUM(F443:F451)</f>
        <v/>
      </c>
      <c r="G452" s="865">
        <f>SUM(G443:G451)</f>
        <v/>
      </c>
      <c r="H452" s="865">
        <f>SUM(H443:H451)</f>
        <v/>
      </c>
      <c r="I452" s="865">
        <f>SUM(I443:I451)</f>
        <v/>
      </c>
      <c r="J452" s="866">
        <f>SUM(J443:J451)</f>
        <v/>
      </c>
      <c r="K452" s="866">
        <f>SUM(K443:K451)</f>
        <v/>
      </c>
    </row>
    <row r="453">
      <c r="A453" s="270" t="n"/>
      <c r="B453" s="862" t="n"/>
      <c r="C453" s="862" t="n"/>
      <c r="D453" s="862" t="n"/>
      <c r="E453" s="862" t="n"/>
      <c r="F453" s="862" t="n"/>
      <c r="G453" s="862" t="n"/>
      <c r="H453" s="862" t="n"/>
      <c r="I453" s="862" t="n"/>
      <c r="J453" s="862" t="n"/>
      <c r="K453" s="862" t="n"/>
    </row>
    <row r="454">
      <c r="A454" s="278" t="inlineStr">
        <is>
          <t>SALDO = VRIJE CASHFLOW NA FINANCIERING</t>
        </is>
      </c>
      <c r="B454" s="884">
        <f>B438+B452</f>
        <v/>
      </c>
      <c r="C454" s="884">
        <f>C438+C452</f>
        <v/>
      </c>
      <c r="D454" s="885">
        <f>D438+D452</f>
        <v/>
      </c>
      <c r="E454" s="885">
        <f>E438+E452</f>
        <v/>
      </c>
      <c r="F454" s="885">
        <f>F438+F452</f>
        <v/>
      </c>
      <c r="G454" s="885">
        <f>G438+G452</f>
        <v/>
      </c>
      <c r="H454" s="885">
        <f>H438+H452</f>
        <v/>
      </c>
      <c r="I454" s="885">
        <f>I438+I452</f>
        <v/>
      </c>
      <c r="J454" s="886">
        <f>J438+J452</f>
        <v/>
      </c>
      <c r="K454" s="886">
        <f>K438+K452</f>
        <v/>
      </c>
    </row>
    <row r="455">
      <c r="A455" s="282" t="inlineStr">
        <is>
          <t>(TCF + FCF)</t>
        </is>
      </c>
      <c r="B455" s="887" t="n"/>
      <c r="C455" s="887" t="n"/>
      <c r="D455" s="860" t="n"/>
      <c r="E455" s="860" t="n"/>
      <c r="F455" s="860" t="n"/>
      <c r="G455" s="860" t="n"/>
      <c r="H455" s="860" t="n"/>
      <c r="I455" s="860" t="n"/>
      <c r="J455" s="839" t="n"/>
      <c r="K455" s="839" t="n"/>
    </row>
    <row r="456">
      <c r="A456" s="147" t="n"/>
    </row>
    <row r="458" ht="13.8" customFormat="1" customHeight="1" s="159">
      <c r="A458" s="237" t="inlineStr">
        <is>
          <t>THESAURIE FLOW (aanwending saldo)</t>
        </is>
      </c>
      <c r="B458" s="217">
        <f>B7</f>
        <v/>
      </c>
      <c r="C458" s="217">
        <f>C7</f>
        <v/>
      </c>
      <c r="D458" s="217">
        <f>D7</f>
        <v/>
      </c>
      <c r="E458" s="217">
        <f>E7</f>
        <v/>
      </c>
      <c r="F458" s="217">
        <f>F7</f>
        <v/>
      </c>
      <c r="G458" s="217">
        <f>G7</f>
        <v/>
      </c>
      <c r="H458" s="217">
        <f>H7</f>
        <v/>
      </c>
      <c r="I458" s="217">
        <f>I7</f>
        <v/>
      </c>
      <c r="J458" s="158">
        <f>J7</f>
        <v/>
      </c>
      <c r="K458" s="158">
        <f>K7</f>
        <v/>
      </c>
    </row>
    <row r="459" ht="11.25" customHeight="1">
      <c r="A459" s="184" t="n"/>
      <c r="B459" s="218" t="n"/>
      <c r="C459" s="218" t="n"/>
      <c r="D459" s="284" t="n"/>
      <c r="E459" s="284" t="n"/>
      <c r="F459" s="284" t="n"/>
      <c r="G459" s="284" t="n"/>
      <c r="H459" s="284" t="n"/>
      <c r="I459" s="284" t="n"/>
      <c r="J459" s="285" t="n"/>
      <c r="K459" s="285" t="n"/>
    </row>
    <row r="460">
      <c r="A460" s="219" t="inlineStr">
        <is>
          <t> </t>
        </is>
      </c>
      <c r="B460" s="219" t="n"/>
      <c r="C460" s="219" t="n"/>
      <c r="D460" s="219" t="n"/>
      <c r="E460" s="219" t="n"/>
      <c r="F460" s="219" t="n"/>
      <c r="G460" s="219" t="n"/>
      <c r="H460" s="219" t="n"/>
      <c r="I460" s="219" t="n"/>
      <c r="J460" s="165" t="n"/>
      <c r="K460" s="165" t="n"/>
    </row>
    <row r="461">
      <c r="A461" s="219" t="inlineStr">
        <is>
          <t>Toename / (afname) van de financiële schulden op KT</t>
        </is>
      </c>
      <c r="B461" s="874" t="n">
        <v>0</v>
      </c>
      <c r="C461" s="855" t="n">
        <v>0</v>
      </c>
      <c r="D461" s="855" t="n">
        <v>0</v>
      </c>
      <c r="E461" s="855" t="n">
        <v>0</v>
      </c>
      <c r="F461" s="855" t="n">
        <v>0</v>
      </c>
      <c r="G461" s="855" t="n">
        <v>0</v>
      </c>
      <c r="H461" s="855" t="n">
        <v>0</v>
      </c>
      <c r="I461" s="855" t="n">
        <v>0</v>
      </c>
      <c r="J461" s="832" t="n">
        <v>0</v>
      </c>
      <c r="K461" s="832" t="n">
        <v>0</v>
      </c>
    </row>
    <row r="462">
      <c r="A462" s="219" t="inlineStr">
        <is>
          <t>(Toename) / afname liquide middelen &amp; geldbeleggingen</t>
        </is>
      </c>
      <c r="B462" s="874">
        <f>-B388</f>
        <v/>
      </c>
      <c r="C462" s="855">
        <f>-C388</f>
        <v/>
      </c>
      <c r="D462" s="855">
        <f>-D388</f>
        <v/>
      </c>
      <c r="E462" s="855">
        <f>-E388</f>
        <v/>
      </c>
      <c r="F462" s="855">
        <f>-F388</f>
        <v/>
      </c>
      <c r="G462" s="855">
        <f>-G388</f>
        <v/>
      </c>
      <c r="H462" s="855">
        <f>-H388</f>
        <v/>
      </c>
      <c r="I462" s="855">
        <f>-I388</f>
        <v/>
      </c>
      <c r="J462" s="832">
        <f>-J388</f>
        <v/>
      </c>
      <c r="K462" s="832">
        <f>-K388</f>
        <v/>
      </c>
    </row>
    <row r="463">
      <c r="A463" s="219" t="inlineStr">
        <is>
          <t> </t>
        </is>
      </c>
      <c r="B463" s="855" t="inlineStr">
        <is>
          <t> </t>
        </is>
      </c>
      <c r="C463" s="855" t="inlineStr">
        <is>
          <t> </t>
        </is>
      </c>
      <c r="D463" s="855" t="inlineStr">
        <is>
          <t> </t>
        </is>
      </c>
      <c r="E463" s="855" t="inlineStr">
        <is>
          <t> </t>
        </is>
      </c>
      <c r="F463" s="855" t="inlineStr">
        <is>
          <t> </t>
        </is>
      </c>
      <c r="G463" s="855" t="inlineStr">
        <is>
          <t> </t>
        </is>
      </c>
      <c r="H463" s="855" t="inlineStr">
        <is>
          <t> </t>
        </is>
      </c>
      <c r="I463" s="855" t="inlineStr">
        <is>
          <t> </t>
        </is>
      </c>
      <c r="J463" s="832" t="inlineStr">
        <is>
          <t> </t>
        </is>
      </c>
      <c r="K463" s="832" t="inlineStr">
        <is>
          <t> </t>
        </is>
      </c>
    </row>
    <row r="464">
      <c r="A464" s="242" t="inlineStr">
        <is>
          <t xml:space="preserve">TOTALE THESAURIE FLOW </t>
        </is>
      </c>
      <c r="B464" s="865">
        <f>SUM(B461:B463)</f>
        <v/>
      </c>
      <c r="C464" s="865">
        <f>SUM(C461:C463)</f>
        <v/>
      </c>
      <c r="D464" s="865">
        <f>SUM(D461:D463)</f>
        <v/>
      </c>
      <c r="E464" s="865">
        <f>SUM(E461:E463)</f>
        <v/>
      </c>
      <c r="F464" s="865">
        <f>SUM(F461:F463)</f>
        <v/>
      </c>
      <c r="G464" s="865">
        <f>SUM(G461:G463)</f>
        <v/>
      </c>
      <c r="H464" s="865">
        <f>SUM(H461:H463)</f>
        <v/>
      </c>
      <c r="I464" s="865">
        <f>SUM(I461:I463)</f>
        <v/>
      </c>
      <c r="J464" s="866">
        <f>SUM(J461:J463)</f>
        <v/>
      </c>
      <c r="K464" s="866">
        <f>SUM(K461:K463)</f>
        <v/>
      </c>
    </row>
    <row r="465">
      <c r="A465" s="147" t="n"/>
    </row>
    <row r="466">
      <c r="A466" s="146" t="inlineStr">
        <is>
          <t>Controle : vrije cash-flow na financiering = - thesaurie flow</t>
        </is>
      </c>
    </row>
    <row r="467">
      <c r="A467" s="146" t="inlineStr">
        <is>
          <t>Negatief = aanwending van vermogenstroom, kasuitgave, kost, toename in actiefpost, afname in passiefpost</t>
        </is>
      </c>
    </row>
    <row r="468">
      <c r="A468" s="146" t="inlineStr">
        <is>
          <t>Positief = bron van vermogenstroom, kasontvangst, opbrengst, afname in actiefpost, toename in passiefpost</t>
        </is>
      </c>
    </row>
    <row r="471" ht="13.2" customFormat="1" customHeight="1" s="159">
      <c r="A471" s="286" t="inlineStr">
        <is>
          <t>RATIO ANALYSE</t>
        </is>
      </c>
      <c r="B471" s="217">
        <f>B7</f>
        <v/>
      </c>
      <c r="C471" s="217">
        <f>C7</f>
        <v/>
      </c>
      <c r="D471" s="217">
        <f>D7</f>
        <v/>
      </c>
      <c r="E471" s="217">
        <f>E7</f>
        <v/>
      </c>
      <c r="F471" s="217">
        <f>F7</f>
        <v/>
      </c>
      <c r="G471" s="217">
        <f>G7</f>
        <v/>
      </c>
      <c r="H471" s="217">
        <f>H7</f>
        <v/>
      </c>
      <c r="I471" s="217">
        <f>I7</f>
        <v/>
      </c>
      <c r="J471" s="158">
        <f>J7</f>
        <v/>
      </c>
      <c r="K471" s="158">
        <f>K7</f>
        <v/>
      </c>
    </row>
    <row r="472" ht="11.25" customHeight="1">
      <c r="A472" s="184" t="n"/>
      <c r="B472" s="218" t="n"/>
      <c r="C472" s="218" t="n"/>
      <c r="D472" s="218" t="n"/>
      <c r="E472" s="218" t="n"/>
      <c r="F472" s="218" t="n"/>
      <c r="G472" s="218" t="n"/>
      <c r="H472" s="218" t="n"/>
      <c r="I472" s="218" t="n"/>
      <c r="J472" s="184" t="n"/>
      <c r="K472" s="184" t="n"/>
    </row>
    <row r="473">
      <c r="A473" s="155" t="inlineStr">
        <is>
          <t> </t>
        </is>
      </c>
      <c r="B473" s="155" t="n"/>
      <c r="C473" s="155" t="n"/>
      <c r="D473" s="155" t="n"/>
      <c r="E473" s="155" t="n"/>
      <c r="F473" s="155" t="n"/>
      <c r="G473" s="155" t="n"/>
      <c r="H473" s="155" t="n"/>
      <c r="I473" s="155" t="n"/>
      <c r="J473" s="155" t="n"/>
      <c r="K473" s="155" t="n"/>
    </row>
    <row r="474">
      <c r="A474" s="155" t="n"/>
      <c r="B474" s="155" t="n"/>
      <c r="C474" s="155" t="n"/>
      <c r="D474" s="155" t="n"/>
      <c r="E474" s="155" t="n"/>
      <c r="F474" s="155" t="n"/>
      <c r="G474" s="155" t="n"/>
      <c r="H474" s="155" t="n"/>
      <c r="I474" s="155" t="n"/>
      <c r="J474" s="155" t="n"/>
      <c r="K474" s="155" t="n"/>
    </row>
    <row r="475" ht="13.8" customHeight="1">
      <c r="A475" s="168" t="inlineStr">
        <is>
          <t> </t>
        </is>
      </c>
      <c r="B475" s="155" t="n"/>
      <c r="C475" s="155" t="n"/>
      <c r="D475" s="155" t="n"/>
      <c r="E475" s="155" t="n"/>
      <c r="F475" s="155" t="n"/>
      <c r="G475" s="155" t="n"/>
      <c r="H475" s="155" t="n"/>
      <c r="I475" s="155" t="n"/>
      <c r="J475" s="155" t="n"/>
      <c r="K475" s="155" t="n"/>
    </row>
    <row r="476" ht="13.8" customHeight="1">
      <c r="A476" s="168" t="inlineStr">
        <is>
          <t>LIQUIDITEIT</t>
        </is>
      </c>
      <c r="B476" s="249" t="n"/>
      <c r="C476" s="249" t="n"/>
      <c r="D476" s="249" t="n"/>
      <c r="E476" s="249" t="n"/>
      <c r="F476" s="249" t="n"/>
      <c r="G476" s="249" t="n"/>
      <c r="H476" s="249" t="n"/>
      <c r="I476" s="249" t="n"/>
      <c r="J476" s="249" t="n"/>
      <c r="K476" s="249" t="n"/>
    </row>
    <row r="477" ht="6" customHeight="1">
      <c r="A477" s="155" t="inlineStr">
        <is>
          <t> </t>
        </is>
      </c>
      <c r="B477" s="249" t="n"/>
      <c r="C477" s="249" t="n"/>
      <c r="D477" s="249" t="n"/>
      <c r="E477" s="249" t="n"/>
      <c r="F477" s="249" t="n"/>
      <c r="G477" s="249" t="n"/>
      <c r="H477" s="249" t="n"/>
      <c r="I477" s="249" t="n"/>
      <c r="J477" s="249" t="n"/>
      <c r="K477" s="249" t="n"/>
    </row>
    <row r="478" ht="13.2" customHeight="1">
      <c r="A478" s="287" t="inlineStr">
        <is>
          <t>1.  Liquiditeit in ruime zin  (current ratio)</t>
        </is>
      </c>
      <c r="B478" s="288">
        <f>(B41-B43)/(B120+B134)</f>
        <v/>
      </c>
      <c r="C478" s="288">
        <f>(C41-C43)/(C120+C134)</f>
        <v/>
      </c>
      <c r="D478" s="288">
        <f>(D41-D43)/(D120+D134)</f>
        <v/>
      </c>
      <c r="E478" s="288">
        <f>(E41-E43)/(E120+E134)</f>
        <v/>
      </c>
      <c r="F478" s="288">
        <f>(F41-F43)/(F120+F134)</f>
        <v/>
      </c>
      <c r="G478" s="288">
        <f>(G41-G43)/(G120+G134)</f>
        <v/>
      </c>
      <c r="H478" s="288">
        <f>(H41-H43)/(H120+H134)</f>
        <v/>
      </c>
      <c r="I478" s="288">
        <f>(I41-I43)/(I120+I134)</f>
        <v/>
      </c>
      <c r="J478" s="289">
        <f>(J41-J43)/(J120+J134)</f>
        <v/>
      </c>
      <c r="K478" s="289">
        <f>(K41-K43)/(K120+K134)</f>
        <v/>
      </c>
    </row>
    <row r="479" ht="13.2" customHeight="1">
      <c r="A479" s="290" t="inlineStr">
        <is>
          <t>2.  Liquiditeit in enge zin  (acid ratio)</t>
        </is>
      </c>
      <c r="B479" s="291">
        <f>(B57+B61+B65)/(B120-B128)</f>
        <v/>
      </c>
      <c r="C479" s="291">
        <f>(C57+C61+C65)/(C120-C128)</f>
        <v/>
      </c>
      <c r="D479" s="291">
        <f>(D57+D61+D65)/(D120-D128)</f>
        <v/>
      </c>
      <c r="E479" s="291">
        <f>(E57+E61+E65)/(E120-E128)</f>
        <v/>
      </c>
      <c r="F479" s="291">
        <f>(F57+F61+F65)/(F120-F128)</f>
        <v/>
      </c>
      <c r="G479" s="291">
        <f>(G57+G61+G65)/(G120-G128)</f>
        <v/>
      </c>
      <c r="H479" s="291">
        <f>(H57+H61+H65)/(H120-H128)</f>
        <v/>
      </c>
      <c r="I479" s="291">
        <f>(I57+I61+I65)/(I120-I128)</f>
        <v/>
      </c>
      <c r="J479" s="292">
        <f>(J57+J61+J65)/(J120-J128)</f>
        <v/>
      </c>
      <c r="K479" s="292">
        <f>(K57+K61+K65)/(K120-K128)</f>
        <v/>
      </c>
    </row>
    <row r="480" ht="13.2" customHeight="1">
      <c r="A480" s="290" t="inlineStr">
        <is>
          <t>3.  Voorraadrotatie aangekochte goederen</t>
        </is>
      </c>
      <c r="B480" s="293">
        <f>IF(B49+B52+B53+B54=0,"NVT",(B156*(12/B9))/(B49+B52+B53+B54))</f>
        <v/>
      </c>
      <c r="C480" s="293">
        <f>IF(C49+C52+C53+C54=0,"NVT",(C156*(12/C9))/(C49+C52+C53+C54))</f>
        <v/>
      </c>
      <c r="D480" s="293">
        <f>IF(D49+D52+D53+D54=0,"NVT",(D156*(12/D9))/(D49+D52+D53+D54))</f>
        <v/>
      </c>
      <c r="E480" s="293">
        <f>IF(E49+E52+E53+E54=0,"NVT",(E156*(12/E9))/(E49+E52+E53+E54))</f>
        <v/>
      </c>
      <c r="F480" s="293">
        <f>IF(F49+F52+F53+F54=0,"NVT",(F156*(12/F9))/(F49+F52+F53+F54))</f>
        <v/>
      </c>
      <c r="G480" s="293">
        <f>IF(G49+G52+G53+G54=0,"NVT",(G156*(12/G9))/(G49+G52+G53+G54))</f>
        <v/>
      </c>
      <c r="H480" s="293">
        <f>IF(H49+H52+H53+H54=0,"NVT",(H156*(12/H9))/(H49+H52+H53+H54))</f>
        <v/>
      </c>
      <c r="I480" s="293">
        <f>IF(I49+I52+I53+I54=0,"NVT",(I156*(12/I9))/(I49+I52+I53+I54))</f>
        <v/>
      </c>
      <c r="J480" s="294">
        <f>IF(J49+J52+J53+J54=0,"NVT",(J156*(12/J9))/(J49+J52+J53+J54))</f>
        <v/>
      </c>
      <c r="K480" s="294">
        <f>IF(K49+K52+K53+K54=0,"NVT",(K156*(12/K9))/(K49+K52+K53+K54))</f>
        <v/>
      </c>
    </row>
    <row r="481" ht="13.2" customHeight="1">
      <c r="A481" s="290" t="inlineStr">
        <is>
          <t>4.  Voorraadrotatie geproduceerde goederen</t>
        </is>
      </c>
      <c r="B481" s="293">
        <f>IF(B50+B51+B55=0,"NVT",((B153-B149-B150-B275-B277)*(12/B9))/(B50+B51+B55))</f>
        <v/>
      </c>
      <c r="C481" s="293">
        <f>IF(C50+C51+C55=0,"NVT",((C153-C149-C150-C275-C277)*(12/C9))/(C50+C51+C55))</f>
        <v/>
      </c>
      <c r="D481" s="293">
        <f>IF(D50+D51+D55=0,"NVT",((D153-D149-D150-D275-D277)*(12/D9))/(D50+D51+D55))</f>
        <v/>
      </c>
      <c r="E481" s="293">
        <f>IF(E50+E51+E55=0,"NVT",((E153-E149-E150-E275-E277)*(12/E9))/(E50+E51+E55))</f>
        <v/>
      </c>
      <c r="F481" s="293">
        <f>IF(F50+F51+F55=0,"NVT",((F153-F149-F150-F275-F277)*(12/F9))/(F50+F51+F55))</f>
        <v/>
      </c>
      <c r="G481" s="293">
        <f>IF(G50+G51+G55=0,"NVT",((G153-G149-G150-G275-G277)*(12/G9))/(G50+G51+G55))</f>
        <v/>
      </c>
      <c r="H481" s="293">
        <f>IF(H50+H51+H55=0,"NVT",((H153-H149-H150-H275-H277)*(12/H9))/(H50+H51+H55))</f>
        <v/>
      </c>
      <c r="I481" s="293">
        <f>IF(I50+I51+I55=0,"NVT",((I153-I149-I150-I275-I277)*(12/I9))/(I50+I51+I55))</f>
        <v/>
      </c>
      <c r="J481" s="294">
        <f>IF(J50+J51+J55=0,"NVT",((J153-J149-J150-J275-J277)*(12/J9))/(J50+J51+J55))</f>
        <v/>
      </c>
      <c r="K481" s="294">
        <f>IF(K50+K51+K55=0,"NVT",((K153-K149-K150-K275-K277)*(12/K9))/(K50+K51+K55))</f>
        <v/>
      </c>
    </row>
    <row r="482" ht="13.2" customHeight="1">
      <c r="A482" s="290" t="inlineStr">
        <is>
          <t>5.  Dagen klantenkrediet</t>
        </is>
      </c>
      <c r="B482" s="229">
        <f>365*(B44+B58)/((B148+B151+B292)*(12/B9))</f>
        <v/>
      </c>
      <c r="C482" s="229">
        <f>365*(C44+C58)/((C148+C151+C292)*(12/C9))</f>
        <v/>
      </c>
      <c r="D482" s="229">
        <f>365*(D44+D58)/((D148+D151+D292)*(12/D9))</f>
        <v/>
      </c>
      <c r="E482" s="229">
        <f>365*(E44+E58)/((E148+E151+E292)*(12/E9))</f>
        <v/>
      </c>
      <c r="F482" s="229">
        <f>365*(F44+F58)/((F148+F151+F292)*(12/F9))</f>
        <v/>
      </c>
      <c r="G482" s="229">
        <f>365*(G44+G58)/((G148+G151+G292)*(12/G9))</f>
        <v/>
      </c>
      <c r="H482" s="229">
        <f>365*(H44+H58)/((H148+H151+H292)*(12/H9))</f>
        <v/>
      </c>
      <c r="I482" s="229">
        <f>365*(I44+I58)/((I148+I151+I292)*(12/I9))</f>
        <v/>
      </c>
      <c r="J482" s="230">
        <f>365*(J44+J58)/((J148+J151+J292)*(12/J9))</f>
        <v/>
      </c>
      <c r="K482" s="230">
        <f>365*(K44+K58)/((K148+K151+K292)*(12/K9))</f>
        <v/>
      </c>
    </row>
    <row r="483" ht="13.2" customHeight="1">
      <c r="A483" s="290" t="inlineStr">
        <is>
          <t>6.  Dagen leverancierskrediet</t>
        </is>
      </c>
      <c r="B483" s="229">
        <f>365*(B114+B125)/((B157+B159+B291)*(12/B9))</f>
        <v/>
      </c>
      <c r="C483" s="229">
        <f>365*(C114+C125)/((C157+C159+C291)*(12/C9))</f>
        <v/>
      </c>
      <c r="D483" s="229">
        <f>365*(D114+D125)/((D157+D159+D291)*(12/D9))</f>
        <v/>
      </c>
      <c r="E483" s="229">
        <f>365*(E114+E125)/((E157+E159+E291)*(12/E9))</f>
        <v/>
      </c>
      <c r="F483" s="229">
        <f>365*(F114+F125)/((F157+F159+F291)*(12/F9))</f>
        <v/>
      </c>
      <c r="G483" s="229">
        <f>365*(G114+G125)/((G157+G159+G291)*(12/G9))</f>
        <v/>
      </c>
      <c r="H483" s="229">
        <f>365*(H114+H125)/((H157+H159+H291)*(12/H9))</f>
        <v/>
      </c>
      <c r="I483" s="229">
        <f>365*(I114+I125)/((I157+I159+I291)*(12/I9))</f>
        <v/>
      </c>
      <c r="J483" s="230">
        <f>365*(J114+J125)/((J157+J159+J291)*(12/J9))</f>
        <v/>
      </c>
      <c r="K483" s="230">
        <f>365*(K114+K125)/((K157+K159+K291)*(12/K9))</f>
        <v/>
      </c>
    </row>
    <row r="484" ht="13.2" customHeight="1">
      <c r="A484" s="295" t="inlineStr">
        <is>
          <t>7.  Aangewend werkkapitaal op omzet (%)</t>
        </is>
      </c>
      <c r="B484" s="296">
        <f>100*(B47+B58-B125)/((B148+B149)*(12/B9))</f>
        <v/>
      </c>
      <c r="C484" s="296">
        <f>100*(C47+C58-C125)/((C148+C149)*(12/C9))</f>
        <v/>
      </c>
      <c r="D484" s="296">
        <f>100*(D47+D58-D125)/((D148+D149)*(12/D9))</f>
        <v/>
      </c>
      <c r="E484" s="296">
        <f>100*(E47+E58-E125)/((E148+E149)*(12/E9))</f>
        <v/>
      </c>
      <c r="F484" s="296">
        <f>100*(F47+F58-F125)/((F148+F149)*(12/F9))</f>
        <v/>
      </c>
      <c r="G484" s="296">
        <f>100*(G47+G58-G125)/((G148+G149)*(12/G9))</f>
        <v/>
      </c>
      <c r="H484" s="296">
        <f>100*(H47+H58-H125)/((H148+H149)*(12/H9))</f>
        <v/>
      </c>
      <c r="I484" s="296">
        <f>100*(I47+I58-I125)/((I148+I149)*(12/I9))</f>
        <v/>
      </c>
      <c r="J484" s="297">
        <f>100*(J47+J58-J125)/((J148+J149)*(12/J9))</f>
        <v/>
      </c>
      <c r="K484" s="297">
        <f>100*(K47+K58-K125)/((K148+K149)*(12/K9))</f>
        <v/>
      </c>
    </row>
    <row r="485" ht="13.2" customHeight="1">
      <c r="A485" s="187" t="n"/>
      <c r="B485" s="249" t="n"/>
      <c r="C485" s="249" t="n"/>
      <c r="D485" s="249" t="n"/>
      <c r="E485" s="249" t="n"/>
      <c r="F485" s="249" t="n"/>
      <c r="G485" s="249" t="n"/>
      <c r="H485" s="249" t="n"/>
      <c r="I485" s="249" t="n"/>
      <c r="J485" s="249" t="n"/>
      <c r="K485" s="249" t="n"/>
    </row>
    <row r="486">
      <c r="A486" s="155" t="inlineStr">
        <is>
          <t> </t>
        </is>
      </c>
      <c r="B486" s="249" t="n"/>
      <c r="C486" s="249" t="n"/>
      <c r="D486" s="249" t="n"/>
      <c r="E486" s="249" t="n"/>
      <c r="F486" s="249" t="n"/>
      <c r="G486" s="249" t="n"/>
      <c r="H486" s="249" t="n"/>
      <c r="I486" s="249" t="n"/>
      <c r="J486" s="249" t="n"/>
      <c r="K486" s="249" t="n"/>
    </row>
    <row r="487" ht="13.8" customHeight="1">
      <c r="A487" s="168" t="inlineStr">
        <is>
          <t>SOLVABILITEIT</t>
        </is>
      </c>
      <c r="B487" s="249" t="n"/>
      <c r="C487" s="249" t="n"/>
      <c r="D487" s="249" t="n"/>
      <c r="E487" s="249" t="n"/>
      <c r="F487" s="249" t="n"/>
      <c r="G487" s="249" t="n"/>
      <c r="H487" s="249" t="n"/>
      <c r="I487" s="249" t="n"/>
      <c r="J487" s="249" t="n"/>
      <c r="K487" s="249" t="n"/>
    </row>
    <row r="488" ht="6" customHeight="1">
      <c r="A488" s="155" t="inlineStr">
        <is>
          <t> </t>
        </is>
      </c>
      <c r="B488" s="249" t="n"/>
      <c r="C488" s="249" t="n"/>
      <c r="D488" s="249" t="n"/>
      <c r="E488" s="249" t="n"/>
      <c r="F488" s="249" t="n"/>
      <c r="G488" s="249" t="n"/>
      <c r="H488" s="249" t="n"/>
      <c r="I488" s="249" t="n"/>
      <c r="J488" s="249" t="n"/>
      <c r="K488" s="249" t="n"/>
    </row>
    <row r="489" ht="13.2" customHeight="1">
      <c r="A489" s="287" t="inlineStr">
        <is>
          <t>8.  Algemene schuldgraad  (%)</t>
        </is>
      </c>
      <c r="B489" s="288">
        <f>100*(B105+B96)/B136</f>
        <v/>
      </c>
      <c r="C489" s="288">
        <f>100*(C105+C96)/C136</f>
        <v/>
      </c>
      <c r="D489" s="288">
        <f>100*(D105+D96)/D136</f>
        <v/>
      </c>
      <c r="E489" s="288">
        <f>100*(E105+E96)/E136</f>
        <v/>
      </c>
      <c r="F489" s="288">
        <f>100*(F105+F96)/F136</f>
        <v/>
      </c>
      <c r="G489" s="288">
        <f>100*(G105+G96)/G136</f>
        <v/>
      </c>
      <c r="H489" s="288">
        <f>100*(H105+H96)/H136</f>
        <v/>
      </c>
      <c r="I489" s="288">
        <f>100*(I105+I96)/I136</f>
        <v/>
      </c>
      <c r="J489" s="289">
        <f>100*(J105+J96)/J136</f>
        <v/>
      </c>
      <c r="K489" s="289">
        <f>100*(K105+K96)/K136</f>
        <v/>
      </c>
    </row>
    <row r="490" ht="13.2" customHeight="1">
      <c r="A490" s="298" t="inlineStr">
        <is>
          <t>9.  LT schuldgraad  (D/E ratio)</t>
        </is>
      </c>
      <c r="B490" s="291">
        <f>(B96+B107-B109)/(B75+B109)</f>
        <v/>
      </c>
      <c r="C490" s="291">
        <f>(C96+C107-C109)/(C75+C109)</f>
        <v/>
      </c>
      <c r="D490" s="291">
        <f>(D96+D107-D109)/(D75+D109)</f>
        <v/>
      </c>
      <c r="E490" s="291">
        <f>(E96+E107-E109)/(E75+E109)</f>
        <v/>
      </c>
      <c r="F490" s="291">
        <f>(F96+F107-F109)/(F75+F109)</f>
        <v/>
      </c>
      <c r="G490" s="291">
        <f>(G96+G107-G109)/(G75+G109)</f>
        <v/>
      </c>
      <c r="H490" s="291">
        <f>(H96+H107-H109)/(H75+H109)</f>
        <v/>
      </c>
      <c r="I490" s="291">
        <f>(I96+I107-I109)/(I75+I109)</f>
        <v/>
      </c>
      <c r="J490" s="292">
        <f>(J96+J107-J109)/(J75+J109)</f>
        <v/>
      </c>
      <c r="K490" s="292">
        <f>(K96+K107-K109)/(K75+K109)</f>
        <v/>
      </c>
    </row>
    <row r="491" ht="13.2" customHeight="1">
      <c r="A491" s="298" t="inlineStr">
        <is>
          <t>10.  Financiële schuldgraad (%)</t>
        </is>
      </c>
      <c r="B491" s="299">
        <f>100*(B108+B121+B122-B63-B65)/B136</f>
        <v/>
      </c>
      <c r="C491" s="299">
        <f>100*(C108+C121+C122-C63-C65)/C136</f>
        <v/>
      </c>
      <c r="D491" s="299">
        <f>100*(D108+D121+D122-D63-D65)/D136</f>
        <v/>
      </c>
      <c r="E491" s="299">
        <f>100*(E108+E121+E122-E63-E65)/E136</f>
        <v/>
      </c>
      <c r="F491" s="299">
        <f>100*(F108+F121+F122-F63-F65)/F136</f>
        <v/>
      </c>
      <c r="G491" s="299">
        <f>100*(G108+G121+G122-G63-G65)/G136</f>
        <v/>
      </c>
      <c r="H491" s="299">
        <f>100*(H108+H121+H122-H63-H65)/H136</f>
        <v/>
      </c>
      <c r="I491" s="299">
        <f>100*(I108+I121+I122-I63-I65)/I136</f>
        <v/>
      </c>
      <c r="J491" s="300">
        <f>100*(J108+J121+J122-J63-J65)/J136</f>
        <v/>
      </c>
      <c r="K491" s="300">
        <f>100*(K108+K121+K122-K63-K65)/K136</f>
        <v/>
      </c>
    </row>
    <row r="492" ht="13.2" customHeight="1">
      <c r="A492" s="290" t="inlineStr">
        <is>
          <t>11. Dekking van LT schulden door cashflow</t>
        </is>
      </c>
      <c r="B492" s="293">
        <f>IF(B349&lt;0,"NVT",(B320*(12/B9))/(B107+B96))</f>
        <v/>
      </c>
      <c r="C492" s="293">
        <f>IF(C349&lt;0,"NVT",(C320*(12/C9))/(C107+C96))</f>
        <v/>
      </c>
      <c r="D492" s="293">
        <f>IF(D349&lt;0,"NVT",(D320*(12/D9))/(D107+D96))</f>
        <v/>
      </c>
      <c r="E492" s="293">
        <f>IF(E349&lt;0,"NVT",(E320*(12/E9))/(E107+E96))</f>
        <v/>
      </c>
      <c r="F492" s="293">
        <f>IF(F349&lt;0,"NVT",(F320*(12/F9))/(F107+F96))</f>
        <v/>
      </c>
      <c r="G492" s="293">
        <f>IF(G349&lt;0,"NVT",(G320*(12/G9))/(G107+G96))</f>
        <v/>
      </c>
      <c r="H492" s="293">
        <f>IF(H349&lt;0,"NVT",(H320*(12/H9))/(H107+H96))</f>
        <v/>
      </c>
      <c r="I492" s="293">
        <f>IF(I349&lt;0,"NVT",(I320*(12/I9))/(I107+I96))</f>
        <v/>
      </c>
      <c r="J492" s="294">
        <f>IF(J349&lt;0,"NVT",(J320*(12/J9))/(J107+J96))</f>
        <v/>
      </c>
      <c r="K492" s="294">
        <f>IF(K349&lt;0,"NVT",(K320*(12/K9))/(K107+K96))</f>
        <v/>
      </c>
    </row>
    <row r="493" ht="13.2" customHeight="1">
      <c r="A493" s="295" t="inlineStr">
        <is>
          <t>12. Dekking van aflossings/renteverplichtingen</t>
        </is>
      </c>
      <c r="B493" s="296">
        <f>(B320*(12/B9))/(B121+(B175+B284-B278)*(12/B9))</f>
        <v/>
      </c>
      <c r="C493" s="296">
        <f>(C320*(12/C9))/(C121+(C175+C284-C278)*(12/C9))</f>
        <v/>
      </c>
      <c r="D493" s="296">
        <f>(D320*(12/D9))/(D121+(D175+D284-D278)*(12/D9))</f>
        <v/>
      </c>
      <c r="E493" s="296">
        <f>(E320*(12/E9))/(E121+(E175+E284-E278)*(12/E9))</f>
        <v/>
      </c>
      <c r="F493" s="296">
        <f>(F320*(12/F9))/(F121+(F175+F284-F278)*(12/F9))</f>
        <v/>
      </c>
      <c r="G493" s="296">
        <f>(G320*(12/G9))/(G121+(G175+G284-G278)*(12/G9))</f>
        <v/>
      </c>
      <c r="H493" s="296">
        <f>(H320*(12/H9))/(H121+(H175+H284-H278)*(12/H9))</f>
        <v/>
      </c>
      <c r="I493" s="296">
        <f>(I320*(12/I9))/(I121+(I175+I284-I278)*(12/I9))</f>
        <v/>
      </c>
      <c r="J493" s="297">
        <f>(J320*(12/J9))/(J121+(J175+J284-J278)*(12/J9))</f>
        <v/>
      </c>
      <c r="K493" s="297">
        <f>(K320*(12/K9))/(K121+(K175+K284-K278)*(12/K9))</f>
        <v/>
      </c>
    </row>
    <row r="494" ht="13.2" customHeight="1">
      <c r="A494" s="187" t="n"/>
      <c r="B494" s="301" t="n"/>
      <c r="C494" s="301" t="n"/>
      <c r="D494" s="301" t="n"/>
      <c r="E494" s="301" t="n"/>
      <c r="F494" s="301" t="n"/>
      <c r="G494" s="301" t="n"/>
      <c r="H494" s="301" t="n"/>
      <c r="I494" s="301" t="n"/>
      <c r="J494" s="301" t="n"/>
      <c r="K494" s="301" t="n"/>
    </row>
    <row r="495">
      <c r="A495" s="155" t="n"/>
      <c r="B495" s="249" t="n"/>
      <c r="C495" s="249" t="n"/>
      <c r="D495" s="249" t="n"/>
      <c r="E495" s="249" t="n"/>
      <c r="F495" s="249" t="n"/>
      <c r="G495" s="249" t="n"/>
      <c r="H495" s="249" t="n"/>
      <c r="I495" s="249" t="n"/>
      <c r="J495" s="249" t="n"/>
      <c r="K495" s="249" t="n"/>
    </row>
    <row r="496" ht="13.8" customHeight="1">
      <c r="A496" s="168" t="inlineStr">
        <is>
          <t>RENDABILITEIT</t>
        </is>
      </c>
      <c r="B496" s="249" t="n"/>
      <c r="C496" s="249" t="n"/>
      <c r="D496" s="249" t="n"/>
      <c r="E496" s="249" t="n"/>
      <c r="F496" s="249" t="n"/>
      <c r="G496" s="249" t="n"/>
      <c r="H496" s="249" t="n"/>
      <c r="I496" s="249" t="n"/>
      <c r="J496" s="249" t="n"/>
      <c r="K496" s="249" t="n"/>
    </row>
    <row r="497" ht="6" customHeight="1">
      <c r="A497" s="155" t="inlineStr">
        <is>
          <t> </t>
        </is>
      </c>
      <c r="B497" s="249" t="n"/>
      <c r="C497" s="249" t="n"/>
      <c r="D497" s="249" t="n"/>
      <c r="E497" s="249" t="n"/>
      <c r="F497" s="249" t="n"/>
      <c r="G497" s="249" t="n"/>
      <c r="H497" s="249" t="n"/>
      <c r="I497" s="249" t="n"/>
      <c r="J497" s="249" t="n"/>
      <c r="K497" s="249" t="n"/>
    </row>
    <row r="498" ht="13.2" customHeight="1">
      <c r="A498" s="302" t="inlineStr">
        <is>
          <t>13.  Bruto winstmarge (%)</t>
        </is>
      </c>
      <c r="B498" s="303">
        <f>IF(B156=0,"NVT",100*(B148+B149-B156)/(B148+B149))</f>
        <v/>
      </c>
      <c r="C498" s="303">
        <f>IF(C156=0,"NVT",100*(C148+C149-C156)/(C148+C149))</f>
        <v/>
      </c>
      <c r="D498" s="303">
        <f>IF(D156=0,"NVT",100*(D148+D149-D156)/(D148+D149))</f>
        <v/>
      </c>
      <c r="E498" s="303">
        <f>IF(E156=0,"NVT",100*(E148+E149-E156)/(E148+E149))</f>
        <v/>
      </c>
      <c r="F498" s="303">
        <f>IF(F156=0,"NVT",100*(F148+F149-F156)/(F148+F149))</f>
        <v/>
      </c>
      <c r="G498" s="303">
        <f>IF(G156=0,"NVT",100*(G148+G149-G156)/(G148+G149))</f>
        <v/>
      </c>
      <c r="H498" s="303">
        <f>IF(H156=0,"NVT",100*(H148+H149-H156)/(H148+H149))</f>
        <v/>
      </c>
      <c r="I498" s="303">
        <f>IF(I156=0,"NVT",100*(I148+I149-I156)/(I148+I149))</f>
        <v/>
      </c>
      <c r="J498" s="304">
        <f>IF(J156=0,"NVT",100*(J148+J149-J156)/(J148+J149))</f>
        <v/>
      </c>
      <c r="K498" s="304">
        <f>IF(K156=0,"NVT",100*(K148+K149-K156)/(K148+K149))</f>
        <v/>
      </c>
    </row>
    <row r="499" ht="13.2" customHeight="1">
      <c r="A499" s="290" t="inlineStr">
        <is>
          <t>14.  Bruto verkoopmarge voor belastingen (%)</t>
        </is>
      </c>
      <c r="B499" s="291">
        <f>100*(B167+B161+B162+B163)/(B148+B151)</f>
        <v/>
      </c>
      <c r="C499" s="291">
        <f>100*(C167+C161+C162+C163)/(C148+C151)</f>
        <v/>
      </c>
      <c r="D499" s="291">
        <f>100*(D167+D161+D162+D163)/(D148+D151)</f>
        <v/>
      </c>
      <c r="E499" s="291">
        <f>100*(E167+E161+E162+E163)/(E148+E151)</f>
        <v/>
      </c>
      <c r="F499" s="291">
        <f>100*(F167+F161+F162+F163)/(F148+F151)</f>
        <v/>
      </c>
      <c r="G499" s="291">
        <f>100*(G167+G161+G162+G163)/(G148+G151)</f>
        <v/>
      </c>
      <c r="H499" s="291">
        <f>100*(H167+H161+H162+H163)/(H148+H151)</f>
        <v/>
      </c>
      <c r="I499" s="291">
        <f>100*(I167+I161+I162+I163)/(I148+I151)</f>
        <v/>
      </c>
      <c r="J499" s="292">
        <f>100*(J167+J161+J162+J163)/(J148+J151)</f>
        <v/>
      </c>
      <c r="K499" s="292">
        <f>100*(K167+K161+K162+K163)/(K148+K151)</f>
        <v/>
      </c>
    </row>
    <row r="500" ht="13.2" customHeight="1">
      <c r="A500" s="290" t="inlineStr">
        <is>
          <t>15.  Netto verkoopmarge voor belastingen (%)</t>
        </is>
      </c>
      <c r="B500" s="291">
        <f>100*(B167+B277)/(B148+B151)</f>
        <v/>
      </c>
      <c r="C500" s="291">
        <f>100*(C167+C277)/(C148+C151)</f>
        <v/>
      </c>
      <c r="D500" s="291">
        <f>100*(D167+D277)/(D148+D151)</f>
        <v/>
      </c>
      <c r="E500" s="291">
        <f>100*(E167+E277)/(E148+E151)</f>
        <v/>
      </c>
      <c r="F500" s="291">
        <f>100*(F167+F277)/(F148+F151)</f>
        <v/>
      </c>
      <c r="G500" s="291">
        <f>100*(G167+G277)/(G148+G151)</f>
        <v/>
      </c>
      <c r="H500" s="291">
        <f>100*(H167+H277)/(H148+H151)</f>
        <v/>
      </c>
      <c r="I500" s="291">
        <f>100*(I167+I277)/(I148+I151)</f>
        <v/>
      </c>
      <c r="J500" s="292">
        <f>100*(J167+J277)/(J148+J151)</f>
        <v/>
      </c>
      <c r="K500" s="292">
        <f>100*(K167+K277)/(K148+K151)</f>
        <v/>
      </c>
    </row>
    <row r="501" ht="13.2" customHeight="1">
      <c r="A501" s="290" t="inlineStr">
        <is>
          <t>16.  Rendabiliteit totaal vermogen (ROA %)</t>
        </is>
      </c>
      <c r="B501" s="291">
        <f>100*12*(B212-B207+B175+B284-B278)/(B69*B9)</f>
        <v/>
      </c>
      <c r="C501" s="291">
        <f>100*12*(C212-C207+C175+C284-C278)/(C69*C9)</f>
        <v/>
      </c>
      <c r="D501" s="291">
        <f>100*12*(D212-D207+D175+D284-D278)/(D69*D9)</f>
        <v/>
      </c>
      <c r="E501" s="291">
        <f>100*12*(E212-E207+E175+E284-E278)/(E69*E9)</f>
        <v/>
      </c>
      <c r="F501" s="291">
        <f>100*12*(F212-F207+F175+F284-F278)/(F69*F9)</f>
        <v/>
      </c>
      <c r="G501" s="291">
        <f>100*12*(G212-G207+G175+G284-G278)/(G69*G9)</f>
        <v/>
      </c>
      <c r="H501" s="291">
        <f>100*12*(H212-H207+H175+H284-H278)/(H69*H9)</f>
        <v/>
      </c>
      <c r="I501" s="291">
        <f>100*12*(I212-I207+I175+I284-I278)/(I69*I9)</f>
        <v/>
      </c>
      <c r="J501" s="292">
        <f>100*12*(J212-J207+J175+J284-J278)/(J69*J9)</f>
        <v/>
      </c>
      <c r="K501" s="292">
        <f>100*12*(K212-K207+K175+K284-K278)/(K69*K9)</f>
        <v/>
      </c>
    </row>
    <row r="502" ht="13.2" customHeight="1">
      <c r="A502" s="290" t="inlineStr">
        <is>
          <t>17.  Rendabiliteit duurzaam vermogen (ROCE %)</t>
        </is>
      </c>
      <c r="B502" s="291">
        <f>100*12/B9*(B167+B277)/(B75+B96+B108+B121+B122-B63-B65)</f>
        <v/>
      </c>
      <c r="C502" s="291">
        <f>100*12/C9*(C167+C277)/(C75+C96+C108+C121+C122-C63-C65)</f>
        <v/>
      </c>
      <c r="D502" s="291">
        <f>100*12/D9*(D167+D277)/(D75+D96+D108+D121+D122-D63-D65)</f>
        <v/>
      </c>
      <c r="E502" s="291">
        <f>100*12/E9*(E167+E277)/(E75+E96+E108+E121+E122-E63-E65)</f>
        <v/>
      </c>
      <c r="F502" s="291">
        <f>100*12/F9*(F167+F277)/(F75+F96+F108+F121+F122-F63-F65)</f>
        <v/>
      </c>
      <c r="G502" s="291">
        <f>100*12/G9*(G167+G277)/(G75+G96+G108+G121+G122-G63-G65)</f>
        <v/>
      </c>
      <c r="H502" s="291">
        <f>100*12/H9*(H167+H277)/(H75+H96+H108+H121+H122-H63-H65)</f>
        <v/>
      </c>
      <c r="I502" s="291">
        <f>100*12/I9*(I167+I277)/(I75+I96+I108+I121+I122-I63-I65)</f>
        <v/>
      </c>
      <c r="J502" s="292">
        <f>100*12/J9*(J167+J277)/(J75+J96+J108+J121+J122-J63-J65)</f>
        <v/>
      </c>
      <c r="K502" s="292">
        <f>100*12/K9*(K167+K277)/(K75+K96+K108+K121+K122-K63-K65)</f>
        <v/>
      </c>
    </row>
    <row r="503" ht="13.2" customHeight="1">
      <c r="A503" s="295" t="inlineStr">
        <is>
          <t>18.  Rendabiliteit eigen vermogen (ROE %)</t>
        </is>
      </c>
      <c r="B503" s="296">
        <f>100*12*(B212/B75)/B9</f>
        <v/>
      </c>
      <c r="C503" s="296">
        <f>100*12*(C212/C75)/C9</f>
        <v/>
      </c>
      <c r="D503" s="296">
        <f>100*12*(D212/D75)/D9</f>
        <v/>
      </c>
      <c r="E503" s="296">
        <f>100*12*(E212/E75)/E9</f>
        <v/>
      </c>
      <c r="F503" s="296">
        <f>100*12*(F212/F75)/F9</f>
        <v/>
      </c>
      <c r="G503" s="296">
        <f>100*12*(G212/G75)/G9</f>
        <v/>
      </c>
      <c r="H503" s="296">
        <f>100*12*(H212/H75)/H9</f>
        <v/>
      </c>
      <c r="I503" s="296">
        <f>100*12*(I212/I75)/I9</f>
        <v/>
      </c>
      <c r="J503" s="297">
        <f>100*12*(J212/J75)/J9</f>
        <v/>
      </c>
      <c r="K503" s="297">
        <f>100*12*(K212/K75)/K9</f>
        <v/>
      </c>
    </row>
    <row r="504" ht="13.2" customHeight="1">
      <c r="A504" s="187" t="n"/>
      <c r="B504" s="301" t="n"/>
      <c r="C504" s="301" t="n"/>
      <c r="D504" s="301" t="n"/>
      <c r="E504" s="301" t="n"/>
      <c r="F504" s="301" t="n"/>
      <c r="G504" s="301" t="n"/>
      <c r="H504" s="301" t="n"/>
      <c r="I504" s="301" t="n"/>
      <c r="J504" s="301" t="n"/>
      <c r="K504" s="301" t="n"/>
    </row>
    <row r="506" ht="13.8" customHeight="1">
      <c r="A506" s="168" t="inlineStr">
        <is>
          <t>ANDERE</t>
        </is>
      </c>
      <c r="B506" s="249" t="n"/>
      <c r="C506" s="249" t="n"/>
      <c r="D506" s="249" t="n"/>
      <c r="E506" s="249" t="n"/>
      <c r="F506" s="249" t="n"/>
      <c r="G506" s="249" t="n"/>
      <c r="H506" s="249" t="n"/>
      <c r="I506" s="249" t="n"/>
      <c r="J506" s="249" t="n"/>
      <c r="K506" s="249" t="n"/>
    </row>
    <row r="507" ht="6" customHeight="1">
      <c r="A507" s="168" t="n"/>
      <c r="B507" s="249" t="n"/>
      <c r="C507" s="249" t="n"/>
      <c r="D507" s="249" t="n"/>
      <c r="E507" s="249" t="n"/>
      <c r="F507" s="249" t="n"/>
      <c r="G507" s="249" t="n"/>
      <c r="H507" s="249" t="n"/>
      <c r="I507" s="249" t="n"/>
      <c r="J507" s="249" t="n"/>
      <c r="K507" s="249" t="n"/>
    </row>
    <row r="508" ht="13.2" customHeight="1">
      <c r="A508" s="305" t="inlineStr">
        <is>
          <t>19.  Rotatie bedrijfsactiva (globale produktiviteit)</t>
        </is>
      </c>
      <c r="B508" s="288">
        <f>(12/B9)*(B148+B151-B275)/(B69-B65-B61-B43-B29)</f>
        <v/>
      </c>
      <c r="C508" s="288">
        <f>(12/C9)*(C148+C151-C275)/(C69-C65-C61-C43-C29)</f>
        <v/>
      </c>
      <c r="D508" s="288">
        <f>(12/D9)*(D148+D151-D275)/(D69-D65-D61-D43-D29)</f>
        <v/>
      </c>
      <c r="E508" s="288">
        <f>(12/E9)*(E148+E151-E275)/(E69-E65-E61-E43-E29)</f>
        <v/>
      </c>
      <c r="F508" s="288">
        <f>(12/F9)*(F148+F151-F275)/(F69-F65-F61-F43-F29)</f>
        <v/>
      </c>
      <c r="G508" s="288">
        <f>(12/G9)*(G148+G151-G275)/(G69-G65-G61-G43-G29)</f>
        <v/>
      </c>
      <c r="H508" s="288">
        <f>(12/H9)*(H148+H151-H275)/(H69-H65-H61-H43-H29)</f>
        <v/>
      </c>
      <c r="I508" s="288">
        <f>(12/I9)*(I148+I151-I275)/(I69-I65-I61-I43-I29)</f>
        <v/>
      </c>
      <c r="J508" s="289">
        <f>(12/J9)*(J148+J151-J275)/(J69-J65-J61-J43-J29)</f>
        <v/>
      </c>
      <c r="K508" s="289">
        <f>(12/K9)*(K148+K151-K275)/(K69-K65-K61-K43-K29)</f>
        <v/>
      </c>
    </row>
    <row r="509" ht="13.2" customHeight="1">
      <c r="A509" s="306" t="inlineStr">
        <is>
          <t>20.  Rotatie mat. vaste activa (kapitaalintensiteit)</t>
        </is>
      </c>
      <c r="B509" s="291">
        <f>(B145*(12/B9))/B21</f>
        <v/>
      </c>
      <c r="C509" s="291">
        <f>(C145*(12/C9))/C21</f>
        <v/>
      </c>
      <c r="D509" s="291">
        <f>(D145*(12/D9))/D21</f>
        <v/>
      </c>
      <c r="E509" s="291">
        <f>(E145*(12/E9))/E21</f>
        <v/>
      </c>
      <c r="F509" s="291">
        <f>(F145*(12/F9))/F21</f>
        <v/>
      </c>
      <c r="G509" s="291">
        <f>(G145*(12/G9))/G21</f>
        <v/>
      </c>
      <c r="H509" s="291">
        <f>(H145*(12/H9))/H21</f>
        <v/>
      </c>
      <c r="I509" s="291">
        <f>(I145*(12/I9))/I21</f>
        <v/>
      </c>
      <c r="J509" s="292">
        <f>(J145*(12/J9))/J21</f>
        <v/>
      </c>
      <c r="K509" s="292">
        <f>(K145*(12/K9))/K21</f>
        <v/>
      </c>
    </row>
    <row r="510" ht="13.2" customHeight="1">
      <c r="A510" s="307" t="inlineStr">
        <is>
          <t>21.  Investeringsgraad (%)</t>
        </is>
      </c>
      <c r="B510" s="291">
        <f>100*(12/B9)*SUM(B255:B257)/B145</f>
        <v/>
      </c>
      <c r="C510" s="291">
        <f>100*(12/C9)*SUM(C255:C257)/C145</f>
        <v/>
      </c>
      <c r="D510" s="291">
        <f>100*(12/D9)*SUM(D255:D257)/D145</f>
        <v/>
      </c>
      <c r="E510" s="291">
        <f>100*(12/E9)*SUM(E255:E257)/E145</f>
        <v/>
      </c>
      <c r="F510" s="291">
        <f>100*(12/F9)*SUM(F255:F257)/F145</f>
        <v/>
      </c>
      <c r="G510" s="291">
        <f>100*(12/G9)*SUM(G255:G257)/G145</f>
        <v/>
      </c>
      <c r="H510" s="291">
        <f>100*(12/H9)*SUM(H255:H257)/H145</f>
        <v/>
      </c>
      <c r="I510" s="291">
        <f>100*(12/I9)*SUM(I255:I257)/I145</f>
        <v/>
      </c>
      <c r="J510" s="292">
        <f>100*(12/J9)*SUM(J255:J257)/J145</f>
        <v/>
      </c>
      <c r="K510" s="292">
        <f>100*(12/K9)*SUM(K255:K257)/K145</f>
        <v/>
      </c>
    </row>
    <row r="511" ht="13.2" customHeight="1">
      <c r="A511" s="307" t="inlineStr">
        <is>
          <t>22.  Subsidiëringsgraad (%)</t>
        </is>
      </c>
      <c r="B511" s="291">
        <f>100*(12/B9)*(B275+B277+B278+B280)/B145</f>
        <v/>
      </c>
      <c r="C511" s="291">
        <f>100*(12/C9)*(C275+C277+C278+C280)/C145</f>
        <v/>
      </c>
      <c r="D511" s="291">
        <f>100*(12/D9)*(D275+D277+D278+D280)/D145</f>
        <v/>
      </c>
      <c r="E511" s="291">
        <f>100*(12/E9)*(E275+E277+E278+E280)/E145</f>
        <v/>
      </c>
      <c r="F511" s="291">
        <f>100*(12/F9)*(F275+F277+F278+F280)/F145</f>
        <v/>
      </c>
      <c r="G511" s="291">
        <f>100*(12/G9)*(G275+G277+G278+G280)/G145</f>
        <v/>
      </c>
      <c r="H511" s="291">
        <f>100*(12/H9)*(H275+H277+H278+H280)/H145</f>
        <v/>
      </c>
      <c r="I511" s="291">
        <f>100*(12/I9)*(I275+I277+I278+I280)/I145</f>
        <v/>
      </c>
      <c r="J511" s="292">
        <f>100*(12/J9)*(J275+J277+J278+J280)/J145</f>
        <v/>
      </c>
      <c r="K511" s="292">
        <f>100*(12/K9)*(K275+K277+K278+K280)/K145</f>
        <v/>
      </c>
    </row>
    <row r="512" ht="13.2" customHeight="1">
      <c r="A512" s="307" t="inlineStr">
        <is>
          <t>23.  Kapitaalintensiteit per werknemer (x 1.000)</t>
        </is>
      </c>
      <c r="B512" s="229">
        <f>12/B9*(B17+B19+B21)/B302</f>
        <v/>
      </c>
      <c r="C512" s="229">
        <f>12/C9*(C17+C19+C21)/C302</f>
        <v/>
      </c>
      <c r="D512" s="229">
        <f>12/D9*(D17+D19+D21)/D302</f>
        <v/>
      </c>
      <c r="E512" s="229">
        <f>12/E9*(E17+E19+E21)/E302</f>
        <v/>
      </c>
      <c r="F512" s="229">
        <f>12/F9*(F17+F19+F21)/F302</f>
        <v/>
      </c>
      <c r="G512" s="229">
        <f>12/G9*(G17+G19+G21)/G302</f>
        <v/>
      </c>
      <c r="H512" s="229">
        <f>12/H9*(H17+H19+H21)/H302</f>
        <v/>
      </c>
      <c r="I512" s="229">
        <f>12/I9*(I17+I19+I21)/I302</f>
        <v/>
      </c>
      <c r="J512" s="230">
        <f>12/J9*(J17+J19+J21)/J302</f>
        <v/>
      </c>
      <c r="K512" s="230">
        <f>12/K9*(K17+K19+K21)/K302</f>
        <v/>
      </c>
    </row>
    <row r="513" ht="13.2" customHeight="1">
      <c r="A513" s="298" t="inlineStr">
        <is>
          <t>24.  Toegevoegde waarde per werknemer (x 1.000)</t>
        </is>
      </c>
      <c r="B513" s="229">
        <f>(12/B9)*(B145+B304)/B302</f>
        <v/>
      </c>
      <c r="C513" s="229">
        <f>(12/C9)*(C145+C304)/C302</f>
        <v/>
      </c>
      <c r="D513" s="229">
        <f>(12/D9)*(D145+D304)/D302</f>
        <v/>
      </c>
      <c r="E513" s="229">
        <f>(12/E9)*(E145+E304)/E302</f>
        <v/>
      </c>
      <c r="F513" s="229">
        <f>(12/F9)*(F145+F304)/F302</f>
        <v/>
      </c>
      <c r="G513" s="229">
        <f>(12/G9)*(G145+G304)/G302</f>
        <v/>
      </c>
      <c r="H513" s="229">
        <f>(12/H9)*(H145+H304)/H302</f>
        <v/>
      </c>
      <c r="I513" s="229">
        <f>(12/I9)*(I145+I304)/I302</f>
        <v/>
      </c>
      <c r="J513" s="230">
        <f>(12/J9)*(J145+J304)/J302</f>
        <v/>
      </c>
      <c r="K513" s="230">
        <f>(12/K9)*(K145+K304)/K302</f>
        <v/>
      </c>
    </row>
    <row r="514" ht="13.2" customHeight="1">
      <c r="A514" s="308" t="inlineStr">
        <is>
          <t>25.  Personeelskost per werknemer (x 1.000)</t>
        </is>
      </c>
      <c r="B514" s="309">
        <f>(12/B9)*(B160+B304)/B302</f>
        <v/>
      </c>
      <c r="C514" s="309">
        <f>(12/C9)*(C160+C304)/C302</f>
        <v/>
      </c>
      <c r="D514" s="309">
        <f>(12/D9)*(D160+D304)/D302</f>
        <v/>
      </c>
      <c r="E514" s="309">
        <f>(12/E9)*(E160+E304)/E302</f>
        <v/>
      </c>
      <c r="F514" s="309">
        <f>(12/F9)*(F160+F304)/F302</f>
        <v/>
      </c>
      <c r="G514" s="309">
        <f>(12/G9)*(G160+G304)/G302</f>
        <v/>
      </c>
      <c r="H514" s="309">
        <f>(12/H9)*(H160+H304)/H302</f>
        <v/>
      </c>
      <c r="I514" s="309">
        <f>(12/I9)*(I160+I304)/I302</f>
        <v/>
      </c>
      <c r="J514" s="310">
        <f>(12/J9)*(J160+J304)/J302</f>
        <v/>
      </c>
      <c r="K514" s="310">
        <f>(12/K9)*(K160+K304)/K302</f>
        <v/>
      </c>
    </row>
    <row r="518">
      <c r="A518" s="311" t="inlineStr">
        <is>
          <t>Verklaring Ratio's</t>
        </is>
      </c>
      <c r="B518" s="312" t="n"/>
      <c r="C518" s="312" t="n"/>
      <c r="D518" s="312" t="n"/>
      <c r="E518" s="312" t="n"/>
      <c r="F518" s="312" t="n"/>
      <c r="G518" s="312" t="n"/>
      <c r="H518" s="312" t="n"/>
      <c r="I518" s="312" t="n"/>
      <c r="J518" s="312" t="n"/>
      <c r="K518" s="312" t="n"/>
    </row>
    <row r="519">
      <c r="A519" s="270" t="n"/>
    </row>
    <row r="520">
      <c r="A520" s="270" t="inlineStr">
        <is>
          <t>1.   Liquiditeit in ruime zin : Beperkte vlottende activa / Vreemd vermogen KT = (29/58 - 29)  :  (42/48 + 492/3)</t>
        </is>
      </c>
    </row>
    <row r="521">
      <c r="A521" s="271" t="inlineStr">
        <is>
          <t>2.   Liquiditeit in enge zin : (Vorderingen op KT + Geldbeleggingen + Liquide middelen) / (Schulden op KT - Ontvangen vooruitbetalingen)</t>
        </is>
      </c>
    </row>
    <row r="522">
      <c r="A522" s="271" t="inlineStr">
        <is>
          <t xml:space="preserve">      = (40/41 + 50/53 + 54/58)  :  (42/48 - 46)</t>
        </is>
      </c>
    </row>
    <row r="523">
      <c r="A523" s="270" t="inlineStr">
        <is>
          <t>3.   Voorraadrotatie aangekochte produkten : Kostprijs verkopen / Voorraad = 60  :  (30/31 + 34 + 35 + 36)</t>
        </is>
      </c>
    </row>
    <row r="524">
      <c r="A524" s="270" t="inlineStr">
        <is>
          <t>4.   Voorraadrotatie geproduceerde produkten : Kostprijs verkopen / Voorraad = (60/64 - 71 - 72 - 9125 - 740)  :  (32 + 33 + 37)</t>
        </is>
      </c>
    </row>
    <row r="525">
      <c r="A525" s="270" t="inlineStr">
        <is>
          <t xml:space="preserve">5.   Dagen klantenkrediet : Handelsvorderingen / Verkopen = 365 x (290 + 40)  :  (70 + 74 + 9146) </t>
        </is>
      </c>
    </row>
    <row r="526">
      <c r="A526" s="270" t="inlineStr">
        <is>
          <t>6.   Dagen leverancierskrediet : Handelsschulden / Inkopen = 365 x (175 + 44)  :  (600/8 + 61 + 9145)</t>
        </is>
      </c>
    </row>
    <row r="527">
      <c r="A527" s="270" t="inlineStr">
        <is>
          <t>7.   Aangewend werkkapitaal op omzet : (Voorraden + Handelsvorderingen - Handelsschulden) / Omzet = (3 + 40 - 44) : (70 +71 )</t>
        </is>
      </c>
    </row>
    <row r="528">
      <c r="A528" s="270" t="inlineStr">
        <is>
          <t>8.   Algemene schuldgraad : Vreemd vermogen  / Totaal passief = (16 + 17 + 42/48 + 492/3)  :  10/49</t>
        </is>
      </c>
    </row>
    <row r="529">
      <c r="A529" s="270" t="inlineStr">
        <is>
          <t>9.   LT schuldgraad : Vreemd vermogen LT / Uitgebreid eigen vermogen = (16 + 17 - 170)  :  (10/15 + 170)</t>
        </is>
      </c>
    </row>
    <row r="530">
      <c r="A530" s="271" t="inlineStr">
        <is>
          <t>10. Financiële schuldgraad : (Fin. schulden - liquide middelen - geldbeleggingen) / Totaal passief = (170/4 + 42 + 43 - 51/53 - 54/58) : 10/49</t>
        </is>
      </c>
    </row>
    <row r="531">
      <c r="A531" s="270" t="inlineStr">
        <is>
          <t>11. Dekking van LT schulden door Cashflow : Cashflow / (17 + 16)  (enkel geldig als netto-bedrijfskapitaal &gt; 0)</t>
        </is>
      </c>
    </row>
    <row r="532">
      <c r="A532" s="270" t="inlineStr">
        <is>
          <t>12. Dekking van aflossings/renteverplichtingen : Cashflow / (42 + 650 + 653 - 9126)  excl. impakt der belastingen</t>
        </is>
      </c>
    </row>
    <row r="533">
      <c r="A533" s="271" t="inlineStr">
        <is>
          <t>13. Bruto winstmarge : (Omzet - verbruikte Inkopen) / Omzet = (70 + 71 - 60) : (70 + 71)</t>
        </is>
      </c>
    </row>
    <row r="534">
      <c r="A534" s="271" t="inlineStr">
        <is>
          <t>14. Bruto verkoopmarge : Bedrijfsresultaat voor niet kaskosten / Verkopen = (70/64 + 630 + 631/4 + 635/7)  :  (70 + 74)</t>
        </is>
      </c>
    </row>
    <row r="535">
      <c r="A535" s="270" t="inlineStr">
        <is>
          <t>15. Netto verkoopmarge : Bedrijfsresultaat + Kapitaalsubsidies / Verkopen = (70/64 + 9125)  :  (70 + 74)</t>
        </is>
      </c>
    </row>
    <row r="536">
      <c r="A536" s="270" t="inlineStr">
        <is>
          <t>16. Rendabiliteit totaal vermogen : Netto resulaat voor financ. kosten en voor belast. / Totaal actief = (70/67 - 67/77 + 650 + 653 - 9126)  :  20/49</t>
        </is>
      </c>
    </row>
    <row r="537">
      <c r="A537" s="270" t="inlineStr">
        <is>
          <t>17. Rendabiliteit duurzaam vermogen : Bedrijfsresultaat + Kapitaalsubsidies / Aangewend vermogen = (70/64 + 9125) : (10/15 + 16 + 170/4 + 42 + 43 - 51/53 - 54/58)</t>
        </is>
      </c>
    </row>
    <row r="538">
      <c r="A538" s="270" t="inlineStr">
        <is>
          <t>18. Rendabiliteit eigen vermogen : Netto resultaat na belastingen / Eigen vermogen = 70/67 : 10/15</t>
        </is>
      </c>
    </row>
    <row r="539">
      <c r="A539" s="271" t="inlineStr">
        <is>
          <t>19. Rotatie van de bedrijfsactiva (produktiviteit) : Verkopen / (Totaal actief - financiële activa) = (70 + 74 - 740) : (20/58 - 28 - 29 - 50/53 - 54/58)</t>
        </is>
      </c>
    </row>
    <row r="540">
      <c r="A540" s="270" t="inlineStr">
        <is>
          <t>20. Rotatie van materiële vaste activa (kapitaalintensiteit) : Toegevoegde Waarde / Materiële vaste activa = (70/74 - 60 - 61) : 22/27</t>
        </is>
      </c>
    </row>
    <row r="541">
      <c r="A541" s="270" t="inlineStr">
        <is>
          <t>21. Investeringsgraad : Investeringen in (im)mat. vaste activa (bruto excl. desinvesteringen) / Toegevoegde Waarde (70/74 - 60 - 61)</t>
        </is>
      </c>
    </row>
    <row r="542">
      <c r="A542" s="270" t="inlineStr">
        <is>
          <t>22. Subsidiëringsgraad : Overheidsubsidies / Toegevoegde Waarde = (740 + 9125 + 9126 + 403/412) : (70/74 - 60 - 61)</t>
        </is>
      </c>
    </row>
    <row r="543">
      <c r="A543" s="313" t="inlineStr">
        <is>
          <t>23. Kapitaalintensiteit per personeelslid : Vaste bedrijfsactiva (20 + 21 + 22/27) : (9087 + 9097)</t>
        </is>
      </c>
    </row>
    <row r="544">
      <c r="A544" s="271" t="inlineStr">
        <is>
          <t>24. Toegevoegde waarde per personeelslid : (70/74 - 60 - 61 + 617)  :  (9087 + 9097)</t>
        </is>
      </c>
    </row>
    <row r="545">
      <c r="A545" s="314" t="inlineStr">
        <is>
          <t>25. Arbeidskost per personeelslid : (62 + 617) :  (9087 + 9097)</t>
        </is>
      </c>
      <c r="B545" s="315" t="n"/>
      <c r="C545" s="315" t="n"/>
      <c r="D545" s="315" t="n"/>
      <c r="E545" s="315" t="n"/>
      <c r="F545" s="315" t="n"/>
      <c r="G545" s="315" t="n"/>
      <c r="H545" s="315" t="n"/>
      <c r="I545" s="315" t="n"/>
      <c r="J545" s="315" t="n"/>
      <c r="K545" s="315" t="n"/>
    </row>
    <row r="548">
      <c r="A548" s="316" t="n"/>
    </row>
    <row r="549">
      <c r="A549" s="316" t="n"/>
    </row>
    <row r="550">
      <c r="A550" s="316" t="n"/>
    </row>
    <row r="551">
      <c r="A551" s="316" t="n"/>
    </row>
    <row r="552">
      <c r="A552" s="316" t="n"/>
    </row>
    <row r="553">
      <c r="A553" s="316" t="n"/>
    </row>
    <row r="554">
      <c r="A554" s="316" t="n"/>
    </row>
    <row r="555">
      <c r="A555" s="316" t="n"/>
    </row>
    <row r="556">
      <c r="A556" s="316" t="n"/>
    </row>
    <row r="557">
      <c r="A557" s="316" t="n"/>
    </row>
    <row r="558">
      <c r="A558" s="316" t="n"/>
    </row>
    <row r="559">
      <c r="A559" s="316" t="n"/>
    </row>
    <row r="560">
      <c r="A560" s="316" t="n"/>
    </row>
    <row r="561">
      <c r="A561" s="316" t="n"/>
    </row>
    <row r="562">
      <c r="A562" s="316" t="n"/>
    </row>
    <row r="563">
      <c r="A563" s="316" t="n"/>
    </row>
    <row r="564">
      <c r="A564" s="316" t="n"/>
    </row>
    <row r="565">
      <c r="A565" s="316" t="n"/>
    </row>
    <row r="566">
      <c r="A566" s="316" t="n"/>
    </row>
    <row r="567">
      <c r="A567" s="316" t="n"/>
    </row>
    <row r="568">
      <c r="A568" s="316" t="n"/>
    </row>
    <row r="569">
      <c r="A569" s="316" t="n"/>
    </row>
    <row r="570">
      <c r="A570" s="316" t="n"/>
    </row>
    <row r="571">
      <c r="A571" s="316" t="n"/>
    </row>
    <row r="572">
      <c r="A572" s="316" t="n"/>
    </row>
    <row r="573">
      <c r="A573" s="316" t="n"/>
    </row>
    <row r="574">
      <c r="A574" s="316" t="n"/>
    </row>
    <row r="575">
      <c r="A575" s="316" t="n"/>
    </row>
    <row r="576">
      <c r="A576" s="316" t="n"/>
    </row>
    <row r="577">
      <c r="A577" s="316" t="n"/>
    </row>
    <row r="578">
      <c r="A578" s="316" t="n"/>
    </row>
    <row r="579">
      <c r="A579" s="316" t="n"/>
    </row>
    <row r="580">
      <c r="A580" s="316" t="n"/>
    </row>
    <row r="581">
      <c r="A581" s="316" t="n"/>
    </row>
    <row r="582">
      <c r="A582" s="316" t="n"/>
    </row>
    <row r="583">
      <c r="A583" s="316" t="n"/>
    </row>
    <row r="584">
      <c r="A584" s="316" t="n"/>
    </row>
    <row r="585">
      <c r="A585" s="316" t="n"/>
    </row>
    <row r="586">
      <c r="A586" s="316" t="n"/>
    </row>
    <row r="587">
      <c r="A587" s="316" t="n"/>
    </row>
    <row r="588">
      <c r="A588" s="316" t="n"/>
    </row>
    <row r="589">
      <c r="A589" s="316" t="n"/>
    </row>
    <row r="590">
      <c r="A590" s="316" t="n"/>
    </row>
    <row r="591">
      <c r="A591" s="316" t="n"/>
    </row>
    <row r="592">
      <c r="A592" s="316" t="n"/>
    </row>
    <row r="593">
      <c r="A593" s="316" t="n"/>
    </row>
    <row r="594">
      <c r="A594" s="316" t="n"/>
    </row>
    <row r="595">
      <c r="A595" s="316" t="n"/>
    </row>
    <row r="596">
      <c r="A596" s="316" t="n"/>
    </row>
    <row r="597">
      <c r="A597" s="316" t="n"/>
    </row>
    <row r="598">
      <c r="A598" s="316" t="n"/>
    </row>
    <row r="599">
      <c r="A599" s="316" t="n"/>
    </row>
    <row r="600">
      <c r="A600" s="316" t="n"/>
    </row>
    <row r="601">
      <c r="A601" s="316" t="n"/>
    </row>
    <row r="602">
      <c r="A602" s="316" t="n"/>
    </row>
    <row r="603">
      <c r="A603" s="316" t="n"/>
    </row>
    <row r="604">
      <c r="A604" s="316" t="n"/>
    </row>
    <row r="605">
      <c r="A605" s="316" t="n"/>
    </row>
    <row r="606">
      <c r="A606" s="316" t="n"/>
    </row>
    <row r="607">
      <c r="A607" s="316" t="n"/>
    </row>
    <row r="608">
      <c r="A608" s="316" t="n"/>
    </row>
    <row r="609">
      <c r="A609" s="316" t="n"/>
    </row>
    <row r="610">
      <c r="A610" s="316" t="n"/>
    </row>
    <row r="611">
      <c r="A611" s="316" t="n"/>
    </row>
    <row r="612">
      <c r="A612" s="316" t="n"/>
    </row>
    <row r="613">
      <c r="A613" s="316" t="n"/>
    </row>
    <row r="614">
      <c r="A614" s="316" t="n"/>
    </row>
    <row r="615">
      <c r="A615" s="316" t="n"/>
    </row>
    <row r="616">
      <c r="A616" s="316" t="n"/>
    </row>
    <row r="617">
      <c r="A617" s="316" t="n"/>
    </row>
    <row r="618">
      <c r="A618" s="316" t="n"/>
    </row>
    <row r="619">
      <c r="A619" s="316" t="n"/>
    </row>
    <row r="620">
      <c r="A620" s="316" t="n"/>
    </row>
    <row r="621">
      <c r="A621" s="316" t="n"/>
    </row>
    <row r="622">
      <c r="A622" s="316" t="n"/>
    </row>
    <row r="623">
      <c r="A623" s="316" t="n"/>
    </row>
    <row r="624">
      <c r="A624" s="316" t="n"/>
    </row>
    <row r="625">
      <c r="A625" s="316" t="n"/>
    </row>
    <row r="626">
      <c r="A626" s="316" t="n"/>
    </row>
    <row r="627">
      <c r="A627" s="316" t="n"/>
    </row>
    <row r="628">
      <c r="A628" s="316" t="n"/>
    </row>
    <row r="629">
      <c r="A629" s="316" t="n"/>
    </row>
    <row r="630">
      <c r="A630" s="316" t="n"/>
    </row>
    <row r="631">
      <c r="A631" s="316" t="n"/>
    </row>
    <row r="632">
      <c r="A632" s="316" t="n"/>
    </row>
    <row r="633">
      <c r="A633" s="316" t="n"/>
    </row>
    <row r="634">
      <c r="A634" s="316" t="n"/>
    </row>
    <row r="635">
      <c r="A635" s="316" t="n"/>
    </row>
    <row r="636">
      <c r="A636" s="316" t="n"/>
    </row>
    <row r="637">
      <c r="A637" s="316" t="n"/>
    </row>
    <row r="638">
      <c r="A638" s="316" t="n"/>
    </row>
    <row r="639">
      <c r="A639" s="316" t="n"/>
    </row>
    <row r="640">
      <c r="A640" s="316" t="n"/>
    </row>
    <row r="641">
      <c r="A641" s="316" t="n"/>
    </row>
    <row r="642">
      <c r="A642" s="316" t="n"/>
    </row>
    <row r="643">
      <c r="A643" s="316" t="n"/>
    </row>
    <row r="644">
      <c r="A644" s="316" t="n"/>
    </row>
    <row r="645">
      <c r="A645" s="316" t="n"/>
    </row>
    <row r="646">
      <c r="A646" s="316" t="n"/>
    </row>
    <row r="647">
      <c r="A647" s="316" t="n"/>
    </row>
    <row r="648">
      <c r="A648" s="316" t="n"/>
    </row>
    <row r="649">
      <c r="A649" s="316" t="n"/>
    </row>
    <row r="650">
      <c r="A650" s="316" t="n"/>
    </row>
    <row r="651">
      <c r="A651" s="316" t="n"/>
    </row>
    <row r="652">
      <c r="A652" s="316" t="n"/>
    </row>
    <row r="653">
      <c r="A653" s="316" t="n"/>
    </row>
    <row r="654">
      <c r="A654" s="316" t="n"/>
    </row>
    <row r="655">
      <c r="A655" s="316" t="n"/>
    </row>
    <row r="656">
      <c r="A656" s="316" t="n"/>
    </row>
    <row r="657">
      <c r="A657" s="316" t="n"/>
    </row>
    <row r="658">
      <c r="A658" s="316" t="n"/>
    </row>
    <row r="659">
      <c r="A659" s="316" t="n"/>
    </row>
    <row r="660">
      <c r="A660" s="316" t="n"/>
    </row>
    <row r="661">
      <c r="A661" s="316" t="n"/>
    </row>
    <row r="662">
      <c r="A662" s="316" t="n"/>
    </row>
    <row r="663">
      <c r="A663" s="316" t="n"/>
    </row>
    <row r="664">
      <c r="A664" s="316" t="n"/>
    </row>
    <row r="665">
      <c r="A665" s="316" t="n"/>
    </row>
    <row r="666">
      <c r="A666" s="316" t="n"/>
    </row>
    <row r="667">
      <c r="A667" s="316" t="n"/>
    </row>
    <row r="668">
      <c r="A668" s="316" t="n"/>
    </row>
    <row r="669">
      <c r="A669" s="316" t="n"/>
    </row>
    <row r="670">
      <c r="A670" s="316" t="n"/>
    </row>
    <row r="671">
      <c r="A671" s="316" t="n"/>
    </row>
    <row r="672">
      <c r="A672" s="316" t="n"/>
    </row>
    <row r="673">
      <c r="A673" s="316" t="n"/>
    </row>
    <row r="674">
      <c r="A674" s="316" t="n"/>
    </row>
    <row r="675">
      <c r="A675" s="316" t="n"/>
    </row>
    <row r="676">
      <c r="A676" s="316" t="n"/>
    </row>
    <row r="677">
      <c r="A677" s="316" t="n"/>
    </row>
    <row r="678">
      <c r="A678" s="316" t="n"/>
    </row>
    <row r="679">
      <c r="A679" s="316" t="n"/>
    </row>
    <row r="680">
      <c r="A680" s="316" t="n"/>
    </row>
    <row r="681">
      <c r="A681" s="316" t="n"/>
    </row>
    <row r="682">
      <c r="A682" s="316" t="n"/>
    </row>
    <row r="683">
      <c r="A683" s="316" t="n"/>
    </row>
    <row r="684">
      <c r="A684" s="316" t="n"/>
    </row>
    <row r="685">
      <c r="A685" s="316" t="n"/>
    </row>
    <row r="686">
      <c r="A686" s="316" t="n"/>
    </row>
    <row r="687">
      <c r="A687" s="316" t="n"/>
    </row>
    <row r="688">
      <c r="A688" s="316" t="n"/>
    </row>
    <row r="689">
      <c r="A689" s="316" t="n"/>
    </row>
    <row r="690">
      <c r="A690" s="316" t="n"/>
    </row>
    <row r="691">
      <c r="A691" s="316" t="n"/>
    </row>
    <row r="692">
      <c r="A692" s="316" t="n"/>
    </row>
    <row r="693">
      <c r="A693" s="316" t="n"/>
    </row>
    <row r="694">
      <c r="A694" s="316" t="n"/>
    </row>
    <row r="695">
      <c r="A695" s="316" t="n"/>
    </row>
    <row r="696">
      <c r="A696" s="316" t="n"/>
    </row>
    <row r="697">
      <c r="A697" s="316" t="n"/>
    </row>
    <row r="698">
      <c r="A698" s="316" t="n"/>
    </row>
    <row r="699">
      <c r="A699" s="316" t="n"/>
    </row>
    <row r="700">
      <c r="A700" s="316" t="n"/>
    </row>
    <row r="701">
      <c r="A701" s="316" t="n"/>
    </row>
    <row r="702">
      <c r="A702" s="316" t="n"/>
    </row>
    <row r="703">
      <c r="A703" s="316" t="n"/>
    </row>
    <row r="706" ht="13.2" customHeight="1">
      <c r="D706" s="141" t="n"/>
      <c r="E706" s="141" t="n"/>
      <c r="F706" s="141" t="n"/>
      <c r="G706" s="141" t="n"/>
      <c r="H706" s="141" t="n"/>
      <c r="I706" s="141" t="n"/>
      <c r="J706" s="141" t="n"/>
      <c r="K706" s="141" t="n"/>
    </row>
    <row r="707" ht="13.2" customHeight="1">
      <c r="D707" s="141" t="n"/>
      <c r="E707" s="141" t="n"/>
      <c r="F707" s="141" t="n"/>
      <c r="G707" s="141" t="n"/>
      <c r="H707" s="141" t="n"/>
      <c r="I707" s="141" t="n"/>
      <c r="J707" s="141" t="n"/>
      <c r="K707" s="141" t="n"/>
    </row>
    <row r="708" ht="13.2" customHeight="1">
      <c r="D708" s="141" t="n"/>
      <c r="E708" s="141" t="n"/>
      <c r="F708" s="141" t="n"/>
      <c r="G708" s="141" t="n"/>
      <c r="H708" s="141" t="n"/>
      <c r="I708" s="141" t="n"/>
      <c r="J708" s="141" t="n"/>
      <c r="K708" s="141" t="n"/>
    </row>
    <row r="709" ht="13.2" customHeight="1">
      <c r="D709" s="141" t="n"/>
      <c r="E709" s="141" t="n"/>
      <c r="F709" s="141" t="n"/>
      <c r="G709" s="141" t="n"/>
      <c r="H709" s="141" t="n"/>
      <c r="I709" s="141" t="n"/>
      <c r="J709" s="141" t="n"/>
      <c r="K709" s="141" t="n"/>
    </row>
    <row r="710" ht="13.2" customHeight="1">
      <c r="D710" s="141" t="n"/>
      <c r="E710" s="141" t="n"/>
      <c r="F710" s="141" t="n"/>
      <c r="G710" s="141" t="n"/>
      <c r="H710" s="141" t="n"/>
      <c r="I710" s="141" t="n"/>
      <c r="J710" s="141" t="n"/>
      <c r="K710" s="141" t="n"/>
    </row>
    <row r="711" ht="13.2" customHeight="1">
      <c r="D711" s="141" t="n"/>
      <c r="E711" s="141" t="n"/>
      <c r="F711" s="141" t="n"/>
      <c r="G711" s="141" t="n"/>
      <c r="H711" s="141" t="n"/>
      <c r="I711" s="141" t="n"/>
      <c r="J711" s="141" t="n"/>
      <c r="K711" s="141" t="n"/>
    </row>
    <row r="712" ht="13.2" customHeight="1">
      <c r="A712" s="141" t="n"/>
      <c r="D712" s="141" t="n"/>
      <c r="E712" s="141" t="n"/>
      <c r="F712" s="141" t="n"/>
      <c r="G712" s="141" t="n"/>
      <c r="H712" s="141" t="n"/>
      <c r="I712" s="141" t="n"/>
      <c r="J712" s="141" t="n"/>
      <c r="K712" s="141" t="n"/>
    </row>
    <row r="713" ht="13.2" customHeight="1">
      <c r="A713" s="141" t="n"/>
      <c r="D713" s="141" t="n"/>
      <c r="E713" s="141" t="n"/>
      <c r="F713" s="141" t="n"/>
      <c r="G713" s="141" t="n"/>
      <c r="H713" s="141" t="n"/>
      <c r="I713" s="141" t="n"/>
      <c r="J713" s="141" t="n"/>
      <c r="K713" s="141" t="n"/>
    </row>
    <row r="714" ht="13.2" customHeight="1">
      <c r="A714" s="141" t="n"/>
      <c r="D714" s="141" t="n"/>
      <c r="E714" s="141" t="n"/>
      <c r="F714" s="141" t="n"/>
      <c r="G714" s="141" t="n"/>
      <c r="H714" s="141" t="n"/>
      <c r="I714" s="141" t="n"/>
      <c r="J714" s="141" t="n"/>
      <c r="K714" s="141" t="n"/>
    </row>
    <row r="715" ht="13.2" customHeight="1">
      <c r="A715" s="141" t="n"/>
      <c r="D715" s="141" t="n"/>
      <c r="E715" s="141" t="n"/>
      <c r="F715" s="141" t="n"/>
      <c r="G715" s="141" t="n"/>
      <c r="H715" s="141" t="n"/>
      <c r="I715" s="141" t="n"/>
      <c r="J715" s="141" t="n"/>
      <c r="K715" s="141" t="n"/>
    </row>
    <row r="716" ht="13.2" customHeight="1">
      <c r="A716" s="141" t="n"/>
      <c r="D716" s="141" t="n"/>
      <c r="E716" s="141" t="n"/>
      <c r="F716" s="141" t="n"/>
      <c r="G716" s="141" t="n"/>
      <c r="H716" s="141" t="n"/>
      <c r="I716" s="141" t="n"/>
      <c r="J716" s="141" t="n"/>
      <c r="K716" s="141" t="n"/>
    </row>
    <row r="717" ht="13.2" customHeight="1">
      <c r="D717" s="141" t="n"/>
      <c r="E717" s="141" t="n"/>
      <c r="F717" s="141" t="n"/>
      <c r="G717" s="141" t="n"/>
      <c r="H717" s="141" t="n"/>
      <c r="I717" s="141" t="n"/>
      <c r="J717" s="141" t="n"/>
      <c r="K717" s="141" t="n"/>
    </row>
    <row r="718" ht="13.2" customHeight="1">
      <c r="D718" s="141" t="n"/>
      <c r="E718" s="141" t="n"/>
      <c r="F718" s="141" t="n"/>
      <c r="G718" s="141" t="n"/>
      <c r="H718" s="141" t="n"/>
      <c r="I718" s="141" t="n"/>
      <c r="J718" s="141" t="n"/>
      <c r="K718" s="141" t="n"/>
    </row>
    <row r="719" ht="13.2" customHeight="1">
      <c r="D719" s="141" t="n"/>
      <c r="E719" s="141" t="n"/>
      <c r="F719" s="141" t="n"/>
      <c r="G719" s="141" t="n"/>
      <c r="H719" s="141" t="n"/>
      <c r="I719" s="141" t="n"/>
      <c r="J719" s="141" t="n"/>
      <c r="K719" s="141" t="n"/>
    </row>
    <row r="720" ht="13.2" customHeight="1">
      <c r="D720" s="141" t="n"/>
      <c r="E720" s="141" t="n"/>
      <c r="F720" s="141" t="n"/>
      <c r="G720" s="141" t="n"/>
      <c r="H720" s="141" t="n"/>
      <c r="I720" s="141" t="n"/>
      <c r="J720" s="141" t="n"/>
      <c r="K720" s="141" t="n"/>
    </row>
    <row r="721" ht="13.2" customHeight="1">
      <c r="D721" s="141" t="n"/>
      <c r="E721" s="141" t="n"/>
      <c r="F721" s="141" t="n"/>
      <c r="G721" s="141" t="n"/>
      <c r="H721" s="141" t="n"/>
      <c r="I721" s="141" t="n"/>
      <c r="J721" s="141" t="n"/>
      <c r="K721" s="141" t="n"/>
    </row>
    <row r="722" ht="13.2" customHeight="1">
      <c r="D722" s="141" t="n"/>
      <c r="E722" s="141" t="n"/>
      <c r="F722" s="141" t="n"/>
      <c r="G722" s="141" t="n"/>
      <c r="H722" s="141" t="n"/>
      <c r="I722" s="141" t="n"/>
      <c r="J722" s="141" t="n"/>
      <c r="K722" s="141" t="n"/>
    </row>
    <row r="723" ht="13.2" customHeight="1">
      <c r="D723" s="141" t="n"/>
      <c r="E723" s="141" t="n"/>
      <c r="F723" s="141" t="n"/>
      <c r="G723" s="141" t="n"/>
      <c r="H723" s="141" t="n"/>
      <c r="I723" s="141" t="n"/>
      <c r="J723" s="141" t="n"/>
      <c r="K723" s="141" t="n"/>
    </row>
    <row r="724" ht="13.2" customHeight="1">
      <c r="D724" s="141" t="n"/>
      <c r="E724" s="141" t="n"/>
      <c r="F724" s="141" t="n"/>
      <c r="G724" s="141" t="n"/>
      <c r="H724" s="141" t="n"/>
      <c r="I724" s="141" t="n"/>
      <c r="J724" s="141" t="n"/>
      <c r="K724" s="141" t="n"/>
    </row>
    <row r="725" ht="13.2" customHeight="1">
      <c r="D725" s="141" t="n"/>
      <c r="E725" s="141" t="n"/>
      <c r="F725" s="141" t="n"/>
      <c r="G725" s="141" t="n"/>
      <c r="H725" s="141" t="n"/>
      <c r="I725" s="141" t="n"/>
      <c r="J725" s="141" t="n"/>
      <c r="K725" s="141" t="n"/>
    </row>
    <row r="726" ht="13.2" customHeight="1">
      <c r="D726" s="141" t="n"/>
      <c r="E726" s="141" t="n"/>
      <c r="F726" s="141" t="n"/>
      <c r="G726" s="141" t="n"/>
      <c r="H726" s="141" t="n"/>
      <c r="I726" s="141" t="n"/>
      <c r="J726" s="141" t="n"/>
      <c r="K726" s="141" t="n"/>
    </row>
    <row r="727" ht="13.2" customHeight="1">
      <c r="D727" s="141" t="n"/>
      <c r="E727" s="141" t="n"/>
      <c r="F727" s="141" t="n"/>
      <c r="G727" s="141" t="n"/>
      <c r="H727" s="141" t="n"/>
      <c r="I727" s="141" t="n"/>
      <c r="J727" s="141" t="n"/>
      <c r="K727" s="141" t="n"/>
    </row>
    <row r="728" ht="13.2" customHeight="1">
      <c r="D728" s="141" t="n"/>
      <c r="E728" s="141" t="n"/>
      <c r="F728" s="141" t="n"/>
      <c r="G728" s="141" t="n"/>
      <c r="H728" s="141" t="n"/>
      <c r="I728" s="141" t="n"/>
      <c r="J728" s="141" t="n"/>
      <c r="K728" s="141" t="n"/>
    </row>
    <row r="729" ht="13.2" customHeight="1">
      <c r="D729" s="141" t="n"/>
      <c r="E729" s="141" t="n"/>
      <c r="F729" s="141" t="n"/>
      <c r="G729" s="141" t="n"/>
      <c r="H729" s="141" t="n"/>
      <c r="I729" s="141" t="n"/>
      <c r="J729" s="141" t="n"/>
      <c r="K729" s="141" t="n"/>
    </row>
    <row r="730" ht="13.2" customHeight="1">
      <c r="D730" s="141" t="n"/>
      <c r="E730" s="141" t="n"/>
      <c r="F730" s="141" t="n"/>
      <c r="G730" s="141" t="n"/>
      <c r="H730" s="141" t="n"/>
      <c r="I730" s="141" t="n"/>
      <c r="J730" s="141" t="n"/>
      <c r="K730" s="141" t="n"/>
    </row>
    <row r="731" ht="13.2" customHeight="1">
      <c r="D731" s="141" t="n"/>
      <c r="E731" s="141" t="n"/>
      <c r="F731" s="141" t="n"/>
      <c r="G731" s="141" t="n"/>
      <c r="H731" s="141" t="n"/>
      <c r="I731" s="141" t="n"/>
      <c r="J731" s="141" t="n"/>
      <c r="K731" s="141" t="n"/>
    </row>
    <row r="732" ht="13.2" customHeight="1">
      <c r="D732" s="141" t="n"/>
      <c r="E732" s="141" t="n"/>
      <c r="F732" s="141" t="n"/>
      <c r="G732" s="141" t="n"/>
      <c r="H732" s="141" t="n"/>
      <c r="I732" s="141" t="n"/>
      <c r="J732" s="141" t="n"/>
      <c r="K732" s="141" t="n"/>
    </row>
    <row r="733" ht="13.2" customHeight="1">
      <c r="D733" s="141" t="n"/>
      <c r="E733" s="141" t="n"/>
      <c r="F733" s="141" t="n"/>
      <c r="G733" s="141" t="n"/>
      <c r="H733" s="141" t="n"/>
      <c r="I733" s="141" t="n"/>
      <c r="J733" s="141" t="n"/>
      <c r="K733" s="141" t="n"/>
    </row>
    <row r="734" ht="13.2" customHeight="1">
      <c r="D734" s="141" t="n"/>
      <c r="E734" s="141" t="n"/>
      <c r="F734" s="141" t="n"/>
      <c r="G734" s="141" t="n"/>
      <c r="H734" s="141" t="n"/>
      <c r="I734" s="141" t="n"/>
      <c r="J734" s="141" t="n"/>
      <c r="K734" s="141" t="n"/>
    </row>
    <row r="735" ht="13.2" customHeight="1">
      <c r="D735" s="141" t="n"/>
      <c r="E735" s="141" t="n"/>
      <c r="F735" s="141" t="n"/>
      <c r="G735" s="141" t="n"/>
      <c r="H735" s="141" t="n"/>
      <c r="I735" s="141" t="n"/>
      <c r="J735" s="141" t="n"/>
      <c r="K735" s="141" t="n"/>
    </row>
    <row r="736" ht="13.2" customHeight="1">
      <c r="D736" s="141" t="n"/>
      <c r="E736" s="141" t="n"/>
      <c r="F736" s="141" t="n"/>
      <c r="G736" s="141" t="n"/>
      <c r="H736" s="141" t="n"/>
      <c r="I736" s="141" t="n"/>
      <c r="J736" s="141" t="n"/>
      <c r="K736" s="141" t="n"/>
    </row>
    <row r="737" ht="13.2" customHeight="1">
      <c r="D737" s="141" t="n"/>
      <c r="E737" s="141" t="n"/>
      <c r="F737" s="141" t="n"/>
      <c r="G737" s="141" t="n"/>
      <c r="H737" s="141" t="n"/>
      <c r="I737" s="141" t="n"/>
      <c r="J737" s="141" t="n"/>
      <c r="K737" s="141" t="n"/>
    </row>
    <row r="738" ht="13.2" customHeight="1">
      <c r="D738" s="141" t="n"/>
      <c r="E738" s="141" t="n"/>
      <c r="F738" s="141" t="n"/>
      <c r="G738" s="141" t="n"/>
      <c r="H738" s="141" t="n"/>
      <c r="I738" s="141" t="n"/>
      <c r="J738" s="141" t="n"/>
      <c r="K738" s="141" t="n"/>
    </row>
    <row r="739" ht="13.2" customHeight="1">
      <c r="D739" s="141" t="n"/>
      <c r="E739" s="141" t="n"/>
      <c r="F739" s="141" t="n"/>
      <c r="G739" s="141" t="n"/>
      <c r="H739" s="141" t="n"/>
      <c r="I739" s="141" t="n"/>
      <c r="J739" s="141" t="n"/>
      <c r="K739" s="141" t="n"/>
    </row>
    <row r="740" ht="13.2" customHeight="1">
      <c r="D740" s="141" t="n"/>
      <c r="E740" s="141" t="n"/>
      <c r="F740" s="141" t="n"/>
      <c r="G740" s="141" t="n"/>
      <c r="H740" s="141" t="n"/>
      <c r="I740" s="141" t="n"/>
      <c r="J740" s="141" t="n"/>
      <c r="K740" s="141" t="n"/>
    </row>
    <row r="741" ht="13.2" customHeight="1">
      <c r="D741" s="141" t="n"/>
      <c r="E741" s="141" t="n"/>
      <c r="F741" s="141" t="n"/>
      <c r="G741" s="141" t="n"/>
      <c r="H741" s="141" t="n"/>
      <c r="I741" s="141" t="n"/>
      <c r="J741" s="141" t="n"/>
      <c r="K741" s="141" t="n"/>
    </row>
    <row r="742" ht="13.2" customHeight="1">
      <c r="D742" s="141" t="n"/>
      <c r="E742" s="141" t="n"/>
      <c r="F742" s="141" t="n"/>
      <c r="G742" s="141" t="n"/>
      <c r="H742" s="141" t="n"/>
      <c r="I742" s="141" t="n"/>
      <c r="J742" s="141" t="n"/>
      <c r="K742" s="141" t="n"/>
    </row>
    <row r="743" ht="13.2" customHeight="1">
      <c r="D743" s="141" t="n"/>
      <c r="E743" s="141" t="n"/>
      <c r="F743" s="141" t="n"/>
      <c r="G743" s="141" t="n"/>
      <c r="H743" s="141" t="n"/>
      <c r="I743" s="141" t="n"/>
      <c r="J743" s="141" t="n"/>
      <c r="K743" s="141" t="n"/>
    </row>
    <row r="744" ht="13.2" customHeight="1">
      <c r="D744" s="141" t="n"/>
      <c r="E744" s="141" t="n"/>
      <c r="F744" s="141" t="n"/>
      <c r="G744" s="141" t="n"/>
      <c r="H744" s="141" t="n"/>
      <c r="I744" s="141" t="n"/>
      <c r="J744" s="141" t="n"/>
      <c r="K744" s="141" t="n"/>
    </row>
    <row r="745" ht="13.2" customHeight="1">
      <c r="D745" s="141" t="n"/>
      <c r="E745" s="141" t="n"/>
      <c r="F745" s="141" t="n"/>
      <c r="G745" s="141" t="n"/>
      <c r="H745" s="141" t="n"/>
      <c r="I745" s="141" t="n"/>
      <c r="J745" s="141" t="n"/>
      <c r="K745" s="141" t="n"/>
    </row>
    <row r="746" ht="13.2" customHeight="1">
      <c r="D746" s="141" t="n"/>
      <c r="E746" s="141" t="n"/>
      <c r="F746" s="141" t="n"/>
      <c r="G746" s="141" t="n"/>
      <c r="H746" s="141" t="n"/>
      <c r="I746" s="141" t="n"/>
      <c r="J746" s="141" t="n"/>
      <c r="K746" s="141" t="n"/>
    </row>
    <row r="747" ht="13.2" customHeight="1">
      <c r="D747" s="141" t="n"/>
      <c r="E747" s="141" t="n"/>
      <c r="F747" s="141" t="n"/>
      <c r="G747" s="141" t="n"/>
      <c r="H747" s="141" t="n"/>
      <c r="I747" s="141" t="n"/>
      <c r="J747" s="141" t="n"/>
      <c r="K747" s="141" t="n"/>
    </row>
    <row r="748" ht="13.2" customHeight="1">
      <c r="D748" s="141" t="n"/>
      <c r="E748" s="141" t="n"/>
      <c r="F748" s="141" t="n"/>
      <c r="G748" s="141" t="n"/>
      <c r="H748" s="141" t="n"/>
      <c r="I748" s="141" t="n"/>
      <c r="J748" s="141" t="n"/>
      <c r="K748" s="141" t="n"/>
    </row>
    <row r="749" ht="13.2" customHeight="1">
      <c r="D749" s="141" t="n"/>
      <c r="E749" s="141" t="n"/>
      <c r="F749" s="141" t="n"/>
      <c r="G749" s="141" t="n"/>
      <c r="H749" s="141" t="n"/>
      <c r="I749" s="141" t="n"/>
      <c r="J749" s="141" t="n"/>
      <c r="K749" s="141" t="n"/>
    </row>
  </sheetData>
  <pageMargins left="0.53" right="0.3" top="0.77" bottom="0.1968503937007874" header="0.62" footer="0.5"/>
  <pageSetup orientation="portrait" paperSize="9" scale="65" horizontalDpi="300" verticalDpi="300"/>
  <headerFooter alignWithMargins="0">
    <oddHeader/>
    <oddFooter>&amp;LSES - &amp;D&amp;C&amp;F&amp;R&amp;A - &amp;P</oddFooter>
    <evenHeader/>
    <evenFooter/>
    <firstHeader/>
    <firstFooter/>
  </headerFooter>
  <rowBreaks count="10" manualBreakCount="10">
    <brk id="69" min="0" max="10" man="1"/>
    <brk id="138" min="0" max="10" man="1"/>
    <brk id="197" min="0" max="10" man="1"/>
    <brk id="248" min="0" max="10" man="1"/>
    <brk id="305" min="0" max="10" man="1"/>
    <brk id="391" min="0" max="10" man="1"/>
    <brk id="470" min="0" max="10" man="1"/>
    <brk id="548" min="0" max="65535" man="1"/>
    <brk id="627" min="0" max="65535" man="1"/>
    <brk id="705" min="0" max="65535" man="1"/>
  </rowBreaks>
</worksheet>
</file>

<file path=xl/worksheets/sheet5.xml><?xml version="1.0" encoding="utf-8"?>
<worksheet xmlns="http://schemas.openxmlformats.org/spreadsheetml/2006/main">
  <sheetPr>
    <tabColor theme="4" tint="0.5999938962981048"/>
    <outlinePr summaryBelow="1" summaryRight="1"/>
    <pageSetUpPr autoPageBreaks="0"/>
  </sheetPr>
  <dimension ref="A1:U91"/>
  <sheetViews>
    <sheetView showGridLines="0" zoomScaleNormal="100" zoomScaleSheetLayoutView="100" workbookViewId="0">
      <selection activeCell="C20" sqref="C20"/>
    </sheetView>
  </sheetViews>
  <sheetFormatPr baseColWidth="8" defaultColWidth="9.109375" defaultRowHeight="13.2"/>
  <cols>
    <col width="34" customWidth="1" style="141" min="1" max="1"/>
    <col outlineLevel="1" width="10.44140625" customWidth="1" style="141" min="2" max="3"/>
    <col width="10.44140625" customWidth="1" style="141" min="4" max="6"/>
    <col outlineLevel="1" width="10.44140625" customWidth="1" style="141" min="7" max="11"/>
    <col width="1.44140625" customWidth="1" style="141" min="12" max="12"/>
    <col width="9.109375" customWidth="1" style="141" min="13" max="16384"/>
  </cols>
  <sheetData>
    <row r="1" ht="27" customHeight="1" thickBot="1" thickTop="1">
      <c r="A1" s="699">
        <f>+Historiek!A2</f>
        <v/>
      </c>
      <c r="B1" s="815" t="inlineStr">
        <is>
          <t xml:space="preserve">OVERZICHT  BALANSEN </t>
        </is>
      </c>
      <c r="C1" s="888" t="n"/>
      <c r="D1" s="888" t="n"/>
      <c r="E1" s="888" t="n"/>
      <c r="F1" s="888" t="n"/>
      <c r="G1" s="888" t="n"/>
      <c r="H1" s="888" t="n"/>
      <c r="I1" s="888" t="n"/>
      <c r="J1" s="888" t="n"/>
      <c r="K1" s="888" t="n"/>
      <c r="L1" s="889" t="n"/>
    </row>
    <row r="2" ht="13.8" customHeight="1" thickTop="1"/>
    <row r="4" ht="15.6" customFormat="1" customHeight="1" s="344">
      <c r="A4" s="700" t="inlineStr">
        <is>
          <t>ACTIEF (in k€)</t>
        </is>
      </c>
      <c r="B4" s="701">
        <f>Historiek!B7</f>
        <v/>
      </c>
      <c r="C4" s="701">
        <f>Historiek!C7</f>
        <v/>
      </c>
      <c r="D4" s="701">
        <f>Historiek!D7</f>
        <v/>
      </c>
      <c r="E4" s="701">
        <f>Historiek!E7</f>
        <v/>
      </c>
      <c r="F4" s="701">
        <f>Historiek!F7</f>
        <v/>
      </c>
      <c r="G4" s="701">
        <f>Historiek!G7</f>
        <v/>
      </c>
      <c r="H4" s="701">
        <f>Historiek!H7</f>
        <v/>
      </c>
      <c r="I4" s="701">
        <f>Historiek!I7</f>
        <v/>
      </c>
      <c r="J4" s="701">
        <f>Historiek!J7</f>
        <v/>
      </c>
      <c r="K4" s="701">
        <f>Historiek!K7</f>
        <v/>
      </c>
      <c r="L4" s="702" t="n"/>
    </row>
    <row r="5">
      <c r="A5" s="345" t="n"/>
      <c r="L5" s="323" t="n"/>
    </row>
    <row r="6">
      <c r="A6" s="346" t="inlineStr">
        <is>
          <t>Oprichtingskosten</t>
        </is>
      </c>
      <c r="B6" s="347">
        <f>Historiek!B17/1000</f>
        <v/>
      </c>
      <c r="C6" s="347">
        <f>Historiek!C17/1000</f>
        <v/>
      </c>
      <c r="D6" s="347">
        <f>Historiek!D17/1000</f>
        <v/>
      </c>
      <c r="E6" s="347">
        <f>Historiek!E17/1000</f>
        <v/>
      </c>
      <c r="F6" s="347">
        <f>Historiek!F17/1000</f>
        <v/>
      </c>
      <c r="G6" s="347">
        <f>Historiek!G17/1000</f>
        <v/>
      </c>
      <c r="H6" s="347">
        <f>Historiek!H17/1000</f>
        <v/>
      </c>
      <c r="I6" s="347">
        <f>Historiek!I17/1000</f>
        <v/>
      </c>
      <c r="J6" s="347">
        <f>Historiek!J17/1000</f>
        <v/>
      </c>
      <c r="K6" s="347">
        <f>Historiek!K17/1000</f>
        <v/>
      </c>
      <c r="L6" s="318" t="n"/>
    </row>
    <row r="7">
      <c r="A7" s="346" t="inlineStr">
        <is>
          <t>Immaterieel vast actief</t>
        </is>
      </c>
      <c r="B7" s="347">
        <f>Historiek!B19/1000</f>
        <v/>
      </c>
      <c r="C7" s="347">
        <f>Historiek!C19/1000</f>
        <v/>
      </c>
      <c r="D7" s="347">
        <f>Historiek!D19/1000</f>
        <v/>
      </c>
      <c r="E7" s="347">
        <f>Historiek!E19/1000</f>
        <v/>
      </c>
      <c r="F7" s="347">
        <f>Historiek!F19/1000</f>
        <v/>
      </c>
      <c r="G7" s="347">
        <f>Historiek!G19/1000</f>
        <v/>
      </c>
      <c r="H7" s="347">
        <f>Historiek!H19/1000</f>
        <v/>
      </c>
      <c r="I7" s="347">
        <f>Historiek!I19/1000</f>
        <v/>
      </c>
      <c r="J7" s="347">
        <f>Historiek!J19/1000</f>
        <v/>
      </c>
      <c r="K7" s="347">
        <f>Historiek!K19/1000</f>
        <v/>
      </c>
      <c r="L7" s="318" t="n"/>
    </row>
    <row r="8">
      <c r="A8" s="346" t="inlineStr">
        <is>
          <t>Materieel vast actief</t>
        </is>
      </c>
      <c r="B8" s="347">
        <f>SUM(B9:B11)</f>
        <v/>
      </c>
      <c r="C8" s="347">
        <f>SUM(C9:C11)</f>
        <v/>
      </c>
      <c r="D8" s="347">
        <f>SUM(D9:D11)</f>
        <v/>
      </c>
      <c r="E8" s="347">
        <f>SUM(E9:E11)</f>
        <v/>
      </c>
      <c r="F8" s="347">
        <f>SUM(F9:F11)</f>
        <v/>
      </c>
      <c r="G8" s="347">
        <f>SUM(G9:G11)</f>
        <v/>
      </c>
      <c r="H8" s="347">
        <f>SUM(H9:H11)</f>
        <v/>
      </c>
      <c r="I8" s="347">
        <f>SUM(I9:I11)</f>
        <v/>
      </c>
      <c r="J8" s="347">
        <f>SUM(J9:J11)</f>
        <v/>
      </c>
      <c r="K8" s="347">
        <f>SUM(K9:K11)</f>
        <v/>
      </c>
      <c r="L8" s="318" t="n"/>
    </row>
    <row r="9">
      <c r="A9" s="348" t="inlineStr">
        <is>
          <t xml:space="preserve">  Terreinen en gebouwen</t>
        </is>
      </c>
      <c r="B9" s="339">
        <f>Historiek!B22/1000</f>
        <v/>
      </c>
      <c r="C9" s="339">
        <f>Historiek!C22/1000</f>
        <v/>
      </c>
      <c r="D9" s="339">
        <f>Historiek!D22/1000</f>
        <v/>
      </c>
      <c r="E9" s="339">
        <f>Historiek!E22/1000</f>
        <v/>
      </c>
      <c r="F9" s="339">
        <f>Historiek!F22/1000</f>
        <v/>
      </c>
      <c r="G9" s="339">
        <f>Historiek!G22/1000</f>
        <v/>
      </c>
      <c r="H9" s="339">
        <f>Historiek!H22/1000</f>
        <v/>
      </c>
      <c r="I9" s="339">
        <f>Historiek!I22/1000</f>
        <v/>
      </c>
      <c r="J9" s="339">
        <f>Historiek!J22/1000</f>
        <v/>
      </c>
      <c r="K9" s="339">
        <f>Historiek!K22/1000</f>
        <v/>
      </c>
      <c r="L9" s="322" t="n"/>
    </row>
    <row r="10">
      <c r="A10" s="348" t="inlineStr">
        <is>
          <t xml:space="preserve">  Install., machines en uitrusting</t>
        </is>
      </c>
      <c r="B10" s="339">
        <f>Historiek!B23/1000</f>
        <v/>
      </c>
      <c r="C10" s="339">
        <f>Historiek!C23/1000</f>
        <v/>
      </c>
      <c r="D10" s="339">
        <f>Historiek!D23/1000</f>
        <v/>
      </c>
      <c r="E10" s="339">
        <f>Historiek!E23/1000</f>
        <v/>
      </c>
      <c r="F10" s="339">
        <f>Historiek!F23/1000</f>
        <v/>
      </c>
      <c r="G10" s="339">
        <f>Historiek!G23/1000</f>
        <v/>
      </c>
      <c r="H10" s="339">
        <f>Historiek!H23/1000</f>
        <v/>
      </c>
      <c r="I10" s="339">
        <f>Historiek!I23/1000</f>
        <v/>
      </c>
      <c r="J10" s="339">
        <f>Historiek!J23/1000</f>
        <v/>
      </c>
      <c r="K10" s="339">
        <f>Historiek!K23/1000</f>
        <v/>
      </c>
      <c r="L10" s="322" t="n"/>
    </row>
    <row r="11">
      <c r="A11" s="348" t="inlineStr">
        <is>
          <t xml:space="preserve">  Overige mat. vaste activa</t>
        </is>
      </c>
      <c r="B11" s="339">
        <f>(Historiek!B24+Historiek!B25+Historiek!B26+Historiek!B27)/1000</f>
        <v/>
      </c>
      <c r="C11" s="339">
        <f>(Historiek!C24+Historiek!C25+Historiek!C26+Historiek!C27)/1000</f>
        <v/>
      </c>
      <c r="D11" s="339">
        <f>(Historiek!D24+Historiek!D25+Historiek!D26+Historiek!D27)/1000</f>
        <v/>
      </c>
      <c r="E11" s="339">
        <f>(Historiek!E24+Historiek!E25+Historiek!E26+Historiek!E27)/1000</f>
        <v/>
      </c>
      <c r="F11" s="339">
        <f>(Historiek!F24+Historiek!F25+Historiek!F26+Historiek!F27)/1000</f>
        <v/>
      </c>
      <c r="G11" s="339">
        <f>(Historiek!G24+Historiek!G25+Historiek!G26+Historiek!G27)/1000</f>
        <v/>
      </c>
      <c r="H11" s="339">
        <f>(Historiek!H24+Historiek!H25+Historiek!H26+Historiek!H27)/1000</f>
        <v/>
      </c>
      <c r="I11" s="339">
        <f>(Historiek!I24+Historiek!I25+Historiek!I26+Historiek!I27)/1000</f>
        <v/>
      </c>
      <c r="J11" s="339">
        <f>(Historiek!J24+Historiek!J25+Historiek!J26+Historiek!J27)/1000</f>
        <v/>
      </c>
      <c r="K11" s="339">
        <f>(Historiek!K24+Historiek!K25+Historiek!K26+Historiek!K27)/1000</f>
        <v/>
      </c>
      <c r="L11" s="322" t="n"/>
    </row>
    <row r="12">
      <c r="A12" s="346" t="inlineStr">
        <is>
          <t>Financieel vast actief</t>
        </is>
      </c>
      <c r="B12" s="347">
        <f>SUM(B13:B14)</f>
        <v/>
      </c>
      <c r="C12" s="347">
        <f>SUM(C13:C14)</f>
        <v/>
      </c>
      <c r="D12" s="347">
        <f>SUM(D13:D14)</f>
        <v/>
      </c>
      <c r="E12" s="347">
        <f>SUM(E13:E14)</f>
        <v/>
      </c>
      <c r="F12" s="347">
        <f>SUM(F13:F14)</f>
        <v/>
      </c>
      <c r="G12" s="347">
        <f>SUM(G13:G14)</f>
        <v/>
      </c>
      <c r="H12" s="347">
        <f>SUM(H13:H14)</f>
        <v/>
      </c>
      <c r="I12" s="347">
        <f>SUM(I13:I14)</f>
        <v/>
      </c>
      <c r="J12" s="347">
        <f>SUM(J13:J14)</f>
        <v/>
      </c>
      <c r="K12" s="347">
        <f>SUM(K13:K14)</f>
        <v/>
      </c>
      <c r="L12" s="318" t="n"/>
    </row>
    <row r="13">
      <c r="A13" s="348" t="inlineStr">
        <is>
          <t xml:space="preserve">  Deelnemingen</t>
        </is>
      </c>
      <c r="B13" s="379">
        <f>(Historiek!B30+Historiek!B34)/1000</f>
        <v/>
      </c>
      <c r="C13" s="379">
        <f>(Historiek!C30+Historiek!C34)/1000</f>
        <v/>
      </c>
      <c r="D13" s="379">
        <f>(Historiek!D30+Historiek!D34)/1000</f>
        <v/>
      </c>
      <c r="E13" s="379">
        <f>(Historiek!E30+Historiek!E34)/1000</f>
        <v/>
      </c>
      <c r="F13" s="379">
        <f>(Historiek!F30+Historiek!F34)/1000</f>
        <v/>
      </c>
      <c r="G13" s="379">
        <f>(Historiek!G30+Historiek!G34)/1000</f>
        <v/>
      </c>
      <c r="H13" s="379">
        <f>(Historiek!H30+Historiek!H34)/1000</f>
        <v/>
      </c>
      <c r="I13" s="379">
        <f>(Historiek!I30+Historiek!I34)/1000</f>
        <v/>
      </c>
      <c r="J13" s="379">
        <f>(Historiek!J30+Historiek!J34)/1000</f>
        <v/>
      </c>
      <c r="K13" s="379">
        <f>(Historiek!K30+Historiek!K34)/1000</f>
        <v/>
      </c>
      <c r="L13" s="319" t="n"/>
    </row>
    <row r="14">
      <c r="A14" s="348" t="inlineStr">
        <is>
          <t xml:space="preserve">  Andere fin. vaste activa</t>
        </is>
      </c>
      <c r="B14" s="379">
        <f>Historiek!B37/1000</f>
        <v/>
      </c>
      <c r="C14" s="379">
        <f>Historiek!C37/1000</f>
        <v/>
      </c>
      <c r="D14" s="379">
        <f>Historiek!D37/1000</f>
        <v/>
      </c>
      <c r="E14" s="379">
        <f>Historiek!E37/1000</f>
        <v/>
      </c>
      <c r="F14" s="379">
        <f>Historiek!F37/1000</f>
        <v/>
      </c>
      <c r="G14" s="379">
        <f>Historiek!G37/1000</f>
        <v/>
      </c>
      <c r="H14" s="379">
        <f>Historiek!H37/1000</f>
        <v/>
      </c>
      <c r="I14" s="379">
        <f>Historiek!I37/1000</f>
        <v/>
      </c>
      <c r="J14" s="379">
        <f>Historiek!J37/1000</f>
        <v/>
      </c>
      <c r="K14" s="379">
        <f>Historiek!K37/1000</f>
        <v/>
      </c>
      <c r="L14" s="319" t="n"/>
    </row>
    <row r="15" ht="6" customHeight="1">
      <c r="A15" s="345" t="n"/>
      <c r="B15" s="339" t="n"/>
      <c r="C15" s="339" t="n"/>
      <c r="D15" s="339" t="n"/>
      <c r="E15" s="339" t="n"/>
      <c r="F15" s="339" t="n"/>
      <c r="G15" s="339" t="n"/>
      <c r="H15" s="339" t="n"/>
      <c r="I15" s="339" t="n"/>
      <c r="J15" s="339" t="n"/>
      <c r="K15" s="339" t="n"/>
      <c r="L15" s="322" t="n"/>
    </row>
    <row r="16" ht="13.8" customHeight="1">
      <c r="A16" s="703" t="inlineStr">
        <is>
          <t>Vaste activa</t>
        </is>
      </c>
      <c r="B16" s="704">
        <f>B12+B8+B7+B6</f>
        <v/>
      </c>
      <c r="C16" s="704">
        <f>C12+C8+C7+C6</f>
        <v/>
      </c>
      <c r="D16" s="704">
        <f>D12+D8+D7+D6</f>
        <v/>
      </c>
      <c r="E16" s="704">
        <f>E12+E8+E7+E6</f>
        <v/>
      </c>
      <c r="F16" s="704">
        <f>F12+F8+F7+F6</f>
        <v/>
      </c>
      <c r="G16" s="704">
        <f>G12+G8+G7+G6</f>
        <v/>
      </c>
      <c r="H16" s="704">
        <f>H12+H8+H7+H6</f>
        <v/>
      </c>
      <c r="I16" s="704">
        <f>I12+I8+I7+I6</f>
        <v/>
      </c>
      <c r="J16" s="704">
        <f>J12+J8+J7+J6</f>
        <v/>
      </c>
      <c r="K16" s="704">
        <f>K12+K8+K7+K6</f>
        <v/>
      </c>
      <c r="L16" s="705" t="n"/>
    </row>
    <row r="17">
      <c r="A17" s="345" t="n"/>
      <c r="B17" s="339" t="n"/>
      <c r="C17" s="339" t="n"/>
      <c r="D17" s="339" t="n"/>
      <c r="E17" s="339" t="n"/>
      <c r="F17" s="339" t="n"/>
      <c r="G17" s="339" t="n"/>
      <c r="H17" s="339" t="n"/>
      <c r="I17" s="339" t="n"/>
      <c r="J17" s="339" t="n"/>
      <c r="K17" s="339" t="n"/>
      <c r="L17" s="322" t="n"/>
    </row>
    <row r="18">
      <c r="A18" s="346" t="inlineStr">
        <is>
          <t>Vorderingen op &gt; 1 jaar</t>
        </is>
      </c>
      <c r="B18" s="347">
        <f>Historiek!B43/1000</f>
        <v/>
      </c>
      <c r="C18" s="347">
        <f>Historiek!C43/1000</f>
        <v/>
      </c>
      <c r="D18" s="347">
        <f>Historiek!D43/1000</f>
        <v/>
      </c>
      <c r="E18" s="347">
        <f>Historiek!E43/1000</f>
        <v/>
      </c>
      <c r="F18" s="347">
        <f>Historiek!F43/1000</f>
        <v/>
      </c>
      <c r="G18" s="347">
        <f>Historiek!G43/1000</f>
        <v/>
      </c>
      <c r="H18" s="347">
        <f>Historiek!H43/1000</f>
        <v/>
      </c>
      <c r="I18" s="347">
        <f>Historiek!I43/1000</f>
        <v/>
      </c>
      <c r="J18" s="347">
        <f>Historiek!J43/1000</f>
        <v/>
      </c>
      <c r="K18" s="347">
        <f>Historiek!K43/1000</f>
        <v/>
      </c>
      <c r="L18" s="318" t="n"/>
      <c r="P18" s="339" t="n"/>
      <c r="Q18" s="339" t="n"/>
      <c r="R18" s="339" t="n"/>
      <c r="S18" s="339" t="n"/>
      <c r="T18" s="339" t="n"/>
      <c r="U18" s="339" t="n"/>
    </row>
    <row r="19">
      <c r="A19" s="346" t="inlineStr">
        <is>
          <t>Voorraden en werken in uitvoering</t>
        </is>
      </c>
      <c r="B19" s="347">
        <f>Historiek!B47/1000</f>
        <v/>
      </c>
      <c r="C19" s="347">
        <f>Historiek!C47/1000</f>
        <v/>
      </c>
      <c r="D19" s="347">
        <f>Historiek!D47/1000</f>
        <v/>
      </c>
      <c r="E19" s="347">
        <f>Historiek!E47/1000</f>
        <v/>
      </c>
      <c r="F19" s="347">
        <f>Historiek!F47/1000</f>
        <v/>
      </c>
      <c r="G19" s="347">
        <f>Historiek!G47/1000</f>
        <v/>
      </c>
      <c r="H19" s="347">
        <f>Historiek!H47/1000</f>
        <v/>
      </c>
      <c r="I19" s="347">
        <f>Historiek!I47/1000</f>
        <v/>
      </c>
      <c r="J19" s="347">
        <f>Historiek!J47/1000</f>
        <v/>
      </c>
      <c r="K19" s="347">
        <f>Historiek!K47/1000</f>
        <v/>
      </c>
      <c r="L19" s="318" t="n"/>
      <c r="P19" s="339" t="n"/>
      <c r="Q19" s="339" t="n"/>
      <c r="R19" s="339" t="n"/>
      <c r="S19" s="339" t="n"/>
      <c r="T19" s="339" t="n"/>
      <c r="U19" s="339" t="n"/>
    </row>
    <row r="20">
      <c r="A20" s="346" t="inlineStr">
        <is>
          <t>Vorderingen op &lt; 1 jaar</t>
        </is>
      </c>
      <c r="B20" s="347">
        <f>B21+B22</f>
        <v/>
      </c>
      <c r="C20" s="347">
        <f>C21+C22</f>
        <v/>
      </c>
      <c r="D20" s="347">
        <f>D21+D22</f>
        <v/>
      </c>
      <c r="E20" s="347">
        <f>E21+E22</f>
        <v/>
      </c>
      <c r="F20" s="347">
        <f>F21+F22</f>
        <v/>
      </c>
      <c r="G20" s="347">
        <f>G21+G22</f>
        <v/>
      </c>
      <c r="H20" s="347">
        <f>H21+H22</f>
        <v/>
      </c>
      <c r="I20" s="347">
        <f>I21+I22</f>
        <v/>
      </c>
      <c r="J20" s="347">
        <f>J21+J22</f>
        <v/>
      </c>
      <c r="K20" s="347">
        <f>K21+K22</f>
        <v/>
      </c>
      <c r="L20" s="318" t="n"/>
    </row>
    <row r="21">
      <c r="A21" s="345" t="inlineStr">
        <is>
          <t xml:space="preserve">  Handelsvorderingen</t>
        </is>
      </c>
      <c r="B21" s="339">
        <f>Historiek!B58/1000</f>
        <v/>
      </c>
      <c r="C21" s="339">
        <f>Historiek!C58/1000</f>
        <v/>
      </c>
      <c r="D21" s="339">
        <f>Historiek!D58/1000</f>
        <v/>
      </c>
      <c r="E21" s="339">
        <f>Historiek!E58/1000</f>
        <v/>
      </c>
      <c r="F21" s="339">
        <f>Historiek!F58/1000</f>
        <v/>
      </c>
      <c r="G21" s="339">
        <f>Historiek!G58/1000</f>
        <v/>
      </c>
      <c r="H21" s="339">
        <f>Historiek!H58/1000</f>
        <v/>
      </c>
      <c r="I21" s="339">
        <f>Historiek!I58/1000</f>
        <v/>
      </c>
      <c r="J21" s="339">
        <f>Historiek!J58/1000</f>
        <v/>
      </c>
      <c r="K21" s="339">
        <f>Historiek!K58/1000</f>
        <v/>
      </c>
      <c r="L21" s="322" t="n"/>
    </row>
    <row r="22">
      <c r="A22" s="345" t="inlineStr">
        <is>
          <t xml:space="preserve">  Overige vorderingen </t>
        </is>
      </c>
      <c r="B22" s="339">
        <f>Historiek!B59/1000</f>
        <v/>
      </c>
      <c r="C22" s="339">
        <f>Historiek!C59/1000</f>
        <v/>
      </c>
      <c r="D22" s="339">
        <f>Historiek!D59/1000</f>
        <v/>
      </c>
      <c r="E22" s="339">
        <f>Historiek!E59/1000</f>
        <v/>
      </c>
      <c r="F22" s="339">
        <f>Historiek!F59/1000</f>
        <v/>
      </c>
      <c r="G22" s="339">
        <f>Historiek!G59/1000</f>
        <v/>
      </c>
      <c r="H22" s="339">
        <f>Historiek!H59/1000</f>
        <v/>
      </c>
      <c r="I22" s="339">
        <f>Historiek!I59/1000</f>
        <v/>
      </c>
      <c r="J22" s="339">
        <f>Historiek!J59/1000</f>
        <v/>
      </c>
      <c r="K22" s="339">
        <f>Historiek!K59/1000</f>
        <v/>
      </c>
      <c r="L22" s="322" t="n"/>
    </row>
    <row r="23">
      <c r="A23" s="346" t="inlineStr">
        <is>
          <t>Liquiditeiten,  geldbeleggingen</t>
        </is>
      </c>
      <c r="B23" s="347">
        <f>(Historiek!B61+Historiek!B65)/1000</f>
        <v/>
      </c>
      <c r="C23" s="347">
        <f>(Historiek!C61+Historiek!C65)/1000</f>
        <v/>
      </c>
      <c r="D23" s="347">
        <f>(Historiek!D61+Historiek!D65)/1000</f>
        <v/>
      </c>
      <c r="E23" s="347">
        <f>(Historiek!E61+Historiek!E65)/1000</f>
        <v/>
      </c>
      <c r="F23" s="347">
        <f>(Historiek!F61+Historiek!F65)/1000</f>
        <v/>
      </c>
      <c r="G23" s="347">
        <f>(Historiek!G61+Historiek!G65)/1000</f>
        <v/>
      </c>
      <c r="H23" s="347">
        <f>(Historiek!H61+Historiek!H65)/1000</f>
        <v/>
      </c>
      <c r="I23" s="347">
        <f>(Historiek!I61+Historiek!I65)/1000</f>
        <v/>
      </c>
      <c r="J23" s="347">
        <f>(Historiek!J61+Historiek!J65)/1000</f>
        <v/>
      </c>
      <c r="K23" s="347">
        <f>(Historiek!K61+Historiek!K65)/1000</f>
        <v/>
      </c>
      <c r="L23" s="318" t="n"/>
    </row>
    <row r="24">
      <c r="A24" s="346" t="inlineStr">
        <is>
          <t>Overlopende rekeningen</t>
        </is>
      </c>
      <c r="B24" s="347">
        <f>Historiek!B67/1000</f>
        <v/>
      </c>
      <c r="C24" s="347">
        <f>Historiek!C67/1000</f>
        <v/>
      </c>
      <c r="D24" s="347">
        <f>Historiek!D67/1000</f>
        <v/>
      </c>
      <c r="E24" s="347">
        <f>Historiek!E67/1000</f>
        <v/>
      </c>
      <c r="F24" s="347">
        <f>Historiek!F67/1000</f>
        <v/>
      </c>
      <c r="G24" s="347">
        <f>Historiek!G67/1000</f>
        <v/>
      </c>
      <c r="H24" s="347">
        <f>Historiek!H67/1000</f>
        <v/>
      </c>
      <c r="I24" s="347">
        <f>Historiek!I67/1000</f>
        <v/>
      </c>
      <c r="J24" s="347">
        <f>Historiek!J67/1000</f>
        <v/>
      </c>
      <c r="K24" s="347">
        <f>Historiek!K67/1000</f>
        <v/>
      </c>
      <c r="L24" s="318" t="n"/>
    </row>
    <row r="25" ht="6" customHeight="1">
      <c r="A25" s="346" t="n"/>
      <c r="B25" s="339" t="n"/>
      <c r="C25" s="339" t="n"/>
      <c r="D25" s="339" t="n"/>
      <c r="E25" s="339" t="n"/>
      <c r="F25" s="339" t="n"/>
      <c r="G25" s="339" t="n"/>
      <c r="H25" s="339" t="n"/>
      <c r="I25" s="339" t="n"/>
      <c r="J25" s="339" t="n"/>
      <c r="K25" s="339" t="n"/>
      <c r="L25" s="322" t="n"/>
    </row>
    <row r="26" ht="13.8" customHeight="1">
      <c r="A26" s="703" t="inlineStr">
        <is>
          <t>Vlottende activa</t>
        </is>
      </c>
      <c r="B26" s="704">
        <f>B24+B20+B19+B18+B23</f>
        <v/>
      </c>
      <c r="C26" s="704">
        <f>C24+C20+C19+C18+C23</f>
        <v/>
      </c>
      <c r="D26" s="704">
        <f>D24+D20+D19+D18+D23</f>
        <v/>
      </c>
      <c r="E26" s="704">
        <f>E24+E20+E19+E18+E23</f>
        <v/>
      </c>
      <c r="F26" s="704">
        <f>F24+F20+F19+F18+F23</f>
        <v/>
      </c>
      <c r="G26" s="704">
        <f>G24+G20+G19+G18+G23</f>
        <v/>
      </c>
      <c r="H26" s="704">
        <f>H24+H20+H19+H18+H23</f>
        <v/>
      </c>
      <c r="I26" s="704">
        <f>I24+I20+I19+I18+I23</f>
        <v/>
      </c>
      <c r="J26" s="704">
        <f>J24+J20+J19+J18+J23</f>
        <v/>
      </c>
      <c r="K26" s="704">
        <f>K24+K20+K19+K18+K23</f>
        <v/>
      </c>
      <c r="L26" s="705" t="n"/>
    </row>
    <row r="27">
      <c r="A27" s="345" t="n"/>
      <c r="B27" s="339" t="n"/>
      <c r="C27" s="339" t="n"/>
      <c r="D27" s="339" t="n"/>
      <c r="E27" s="339" t="n"/>
      <c r="F27" s="339" t="n"/>
      <c r="G27" s="339" t="n"/>
      <c r="H27" s="339" t="n"/>
      <c r="I27" s="339" t="n"/>
      <c r="J27" s="339" t="n"/>
      <c r="K27" s="339" t="n"/>
      <c r="L27" s="322" t="n"/>
    </row>
    <row r="28" ht="15.6" customHeight="1">
      <c r="A28" s="706" t="inlineStr">
        <is>
          <t>TOTAAL DER ACTIVA</t>
        </is>
      </c>
      <c r="B28" s="704">
        <f>B16+B26</f>
        <v/>
      </c>
      <c r="C28" s="704">
        <f>C16+C26</f>
        <v/>
      </c>
      <c r="D28" s="704">
        <f>D16+D26</f>
        <v/>
      </c>
      <c r="E28" s="704">
        <f>E16+E26</f>
        <v/>
      </c>
      <c r="F28" s="704">
        <f>F16+F26</f>
        <v/>
      </c>
      <c r="G28" s="704">
        <f>G16+G26</f>
        <v/>
      </c>
      <c r="H28" s="704">
        <f>H16+H26</f>
        <v/>
      </c>
      <c r="I28" s="704">
        <f>I16+I26</f>
        <v/>
      </c>
      <c r="J28" s="704">
        <f>J16+J26</f>
        <v/>
      </c>
      <c r="K28" s="704">
        <f>K16+K26</f>
        <v/>
      </c>
      <c r="L28" s="705" t="n"/>
    </row>
    <row r="29">
      <c r="B29" s="339" t="n"/>
      <c r="C29" s="339" t="n"/>
      <c r="D29" s="339" t="n"/>
      <c r="E29" s="339" t="n"/>
      <c r="F29" s="339" t="n"/>
      <c r="G29" s="339" t="n"/>
      <c r="H29" s="339" t="n"/>
      <c r="I29" s="339" t="n"/>
      <c r="J29" s="339" t="n"/>
      <c r="K29" s="339" t="n"/>
      <c r="L29" s="339" t="n"/>
    </row>
    <row r="30">
      <c r="B30" s="339" t="n"/>
      <c r="C30" s="339" t="n"/>
      <c r="D30" s="339" t="n"/>
      <c r="E30" s="339" t="n"/>
      <c r="F30" s="339" t="n"/>
      <c r="G30" s="339" t="n"/>
      <c r="H30" s="339" t="n"/>
      <c r="I30" s="339" t="n"/>
      <c r="J30" s="339" t="n"/>
      <c r="K30" s="339" t="n"/>
      <c r="L30" s="339" t="n"/>
    </row>
    <row r="31" ht="15.6" customFormat="1" customHeight="1" s="344">
      <c r="A31" s="700" t="inlineStr">
        <is>
          <t>PASSIEF (in 1.000 €)</t>
        </is>
      </c>
      <c r="B31" s="701">
        <f>B4</f>
        <v/>
      </c>
      <c r="C31" s="701">
        <f>C4</f>
        <v/>
      </c>
      <c r="D31" s="701">
        <f>D4</f>
        <v/>
      </c>
      <c r="E31" s="701">
        <f>E4</f>
        <v/>
      </c>
      <c r="F31" s="701">
        <f>F4</f>
        <v/>
      </c>
      <c r="G31" s="701">
        <f>G4</f>
        <v/>
      </c>
      <c r="H31" s="701">
        <f>H4</f>
        <v/>
      </c>
      <c r="I31" s="701">
        <f>I4</f>
        <v/>
      </c>
      <c r="J31" s="701">
        <f>J4</f>
        <v/>
      </c>
      <c r="K31" s="701">
        <f>K4</f>
        <v/>
      </c>
      <c r="L31" s="702" t="n"/>
    </row>
    <row r="32">
      <c r="A32" s="345" t="n"/>
      <c r="B32" s="339" t="n"/>
      <c r="C32" s="339" t="n"/>
      <c r="D32" s="339" t="n"/>
      <c r="E32" s="339" t="n"/>
      <c r="F32" s="339" t="n"/>
      <c r="G32" s="339" t="n"/>
      <c r="H32" s="339" t="n"/>
      <c r="I32" s="339" t="n"/>
      <c r="J32" s="339" t="n"/>
      <c r="K32" s="339" t="n"/>
      <c r="L32" s="322" t="n"/>
    </row>
    <row r="33">
      <c r="A33" s="346" t="inlineStr">
        <is>
          <t>Kapitaal &amp; uitgiftepremies</t>
        </is>
      </c>
      <c r="B33" s="347">
        <f>(Historiek!B77+Historiek!B81)/1000</f>
        <v/>
      </c>
      <c r="C33" s="347">
        <f>(Historiek!C77+Historiek!C81)/1000</f>
        <v/>
      </c>
      <c r="D33" s="347">
        <f>(Historiek!D77+Historiek!D81)/1000</f>
        <v/>
      </c>
      <c r="E33" s="347">
        <f>(Historiek!E77+Historiek!E81)/1000</f>
        <v/>
      </c>
      <c r="F33" s="347">
        <f>(Historiek!F77+Historiek!F81)/1000</f>
        <v/>
      </c>
      <c r="G33" s="347">
        <f>(Historiek!G77+Historiek!G81)/1000</f>
        <v/>
      </c>
      <c r="H33" s="347">
        <f>(Historiek!H77+Historiek!H81)/1000</f>
        <v/>
      </c>
      <c r="I33" s="347">
        <f>(Historiek!I77+Historiek!I81)/1000</f>
        <v/>
      </c>
      <c r="J33" s="347">
        <f>(Historiek!J77+Historiek!J81)/1000</f>
        <v/>
      </c>
      <c r="K33" s="347">
        <f>(Historiek!K77+Historiek!K81)/1000</f>
        <v/>
      </c>
      <c r="L33" s="318" t="n"/>
    </row>
    <row r="34">
      <c r="A34" s="346" t="inlineStr">
        <is>
          <t>Herwaarderingsmeerwaarden</t>
        </is>
      </c>
      <c r="B34" s="347">
        <f>Historiek!B83/1000</f>
        <v/>
      </c>
      <c r="C34" s="347">
        <f>Historiek!C83/1000</f>
        <v/>
      </c>
      <c r="D34" s="347">
        <f>Historiek!D83/1000</f>
        <v/>
      </c>
      <c r="E34" s="347">
        <f>Historiek!E83/1000</f>
        <v/>
      </c>
      <c r="F34" s="347">
        <f>Historiek!F83/1000</f>
        <v/>
      </c>
      <c r="G34" s="347">
        <f>Historiek!G83/1000</f>
        <v/>
      </c>
      <c r="H34" s="347">
        <f>Historiek!H83/1000</f>
        <v/>
      </c>
      <c r="I34" s="347">
        <f>Historiek!I83/1000</f>
        <v/>
      </c>
      <c r="J34" s="347">
        <f>Historiek!J83/1000</f>
        <v/>
      </c>
      <c r="K34" s="347">
        <f>Historiek!K83/1000</f>
        <v/>
      </c>
      <c r="L34" s="318" t="n"/>
    </row>
    <row r="35">
      <c r="A35" s="346" t="inlineStr">
        <is>
          <t>Reserves &amp; overgedragen resultaten</t>
        </is>
      </c>
      <c r="B35" s="347">
        <f>(Historiek!B91+Historiek!B92+Historiek!B85)/1000</f>
        <v/>
      </c>
      <c r="C35" s="347">
        <f>(Historiek!C91+Historiek!C92+Historiek!C85)/1000</f>
        <v/>
      </c>
      <c r="D35" s="347">
        <f>(Historiek!D91+Historiek!D92+Historiek!D85)/1000</f>
        <v/>
      </c>
      <c r="E35" s="347">
        <f>(Historiek!E91+Historiek!E92+Historiek!E85)/1000</f>
        <v/>
      </c>
      <c r="F35" s="347">
        <f>(Historiek!F91+Historiek!F92+Historiek!F85)/1000</f>
        <v/>
      </c>
      <c r="G35" s="347">
        <f>(Historiek!G91+Historiek!G92+Historiek!G85)/1000</f>
        <v/>
      </c>
      <c r="H35" s="347">
        <f>(Historiek!H91+Historiek!H92+Historiek!H85)/1000</f>
        <v/>
      </c>
      <c r="I35" s="347">
        <f>(Historiek!I91+Historiek!I92+Historiek!I85)/1000</f>
        <v/>
      </c>
      <c r="J35" s="347">
        <f>(Historiek!J91+Historiek!J92+Historiek!J85)/1000</f>
        <v/>
      </c>
      <c r="K35" s="347">
        <f>(Historiek!K91+Historiek!K92+Historiek!K85)/1000</f>
        <v/>
      </c>
      <c r="L35" s="318" t="n"/>
    </row>
    <row r="36">
      <c r="A36" s="346" t="inlineStr">
        <is>
          <t>Kapitaalsubsidies</t>
        </is>
      </c>
      <c r="B36" s="347">
        <f>Historiek!B94/1000</f>
        <v/>
      </c>
      <c r="C36" s="347">
        <f>Historiek!C94/1000</f>
        <v/>
      </c>
      <c r="D36" s="347">
        <f>Historiek!D94/1000</f>
        <v/>
      </c>
      <c r="E36" s="347">
        <f>Historiek!E94/1000</f>
        <v/>
      </c>
      <c r="F36" s="347">
        <f>Historiek!F94/1000</f>
        <v/>
      </c>
      <c r="G36" s="347">
        <f>Historiek!G94/1000</f>
        <v/>
      </c>
      <c r="H36" s="347">
        <f>Historiek!H94/1000</f>
        <v/>
      </c>
      <c r="I36" s="347">
        <f>Historiek!I94/1000</f>
        <v/>
      </c>
      <c r="J36" s="347">
        <f>Historiek!J94/1000</f>
        <v/>
      </c>
      <c r="K36" s="347">
        <f>Historiek!K94/1000</f>
        <v/>
      </c>
      <c r="L36" s="318" t="n"/>
    </row>
    <row r="37" ht="6" customHeight="1">
      <c r="A37" s="345" t="n"/>
      <c r="B37" s="339" t="n"/>
      <c r="C37" s="339" t="n"/>
      <c r="D37" s="339" t="n"/>
      <c r="E37" s="339" t="n"/>
      <c r="F37" s="339" t="n"/>
      <c r="G37" s="339" t="n"/>
      <c r="H37" s="339" t="n"/>
      <c r="I37" s="339" t="n"/>
      <c r="J37" s="339" t="n"/>
      <c r="K37" s="339" t="n"/>
      <c r="L37" s="322" t="n"/>
    </row>
    <row r="38" ht="13.8" customHeight="1">
      <c r="A38" s="703" t="inlineStr">
        <is>
          <t>Eigen vermogen</t>
        </is>
      </c>
      <c r="B38" s="704">
        <f>SUM(B33:B36)</f>
        <v/>
      </c>
      <c r="C38" s="704">
        <f>SUM(C33:C36)</f>
        <v/>
      </c>
      <c r="D38" s="704">
        <f>SUM(D33:D36)</f>
        <v/>
      </c>
      <c r="E38" s="704">
        <f>SUM(E33:E36)</f>
        <v/>
      </c>
      <c r="F38" s="704">
        <f>SUM(F33:F36)</f>
        <v/>
      </c>
      <c r="G38" s="704">
        <f>SUM(G33:G36)</f>
        <v/>
      </c>
      <c r="H38" s="704">
        <f>SUM(H33:H36)</f>
        <v/>
      </c>
      <c r="I38" s="704">
        <f>SUM(I33:I36)</f>
        <v/>
      </c>
      <c r="J38" s="704">
        <f>SUM(J33:J36)</f>
        <v/>
      </c>
      <c r="K38" s="704">
        <f>SUM(K33:K36)</f>
        <v/>
      </c>
      <c r="L38" s="705" t="n"/>
    </row>
    <row r="39" ht="13.8" customHeight="1">
      <c r="A39" s="351" t="n"/>
      <c r="B39" s="347" t="n"/>
      <c r="C39" s="347" t="n"/>
      <c r="D39" s="347" t="n"/>
      <c r="E39" s="347" t="n"/>
      <c r="F39" s="347" t="n"/>
      <c r="G39" s="347" t="n"/>
      <c r="H39" s="347" t="n"/>
      <c r="I39" s="347" t="n"/>
      <c r="J39" s="347" t="n"/>
      <c r="K39" s="347" t="n"/>
      <c r="L39" s="318" t="n"/>
    </row>
    <row r="40" ht="13.8" customHeight="1">
      <c r="A40" s="703" t="inlineStr">
        <is>
          <t>Voorzieningen &amp; uitgest. belastingen</t>
        </is>
      </c>
      <c r="B40" s="704">
        <f>Historiek!B96/1000</f>
        <v/>
      </c>
      <c r="C40" s="704">
        <f>Historiek!C96/1000</f>
        <v/>
      </c>
      <c r="D40" s="704">
        <f>Historiek!D96/1000</f>
        <v/>
      </c>
      <c r="E40" s="704">
        <f>Historiek!E96/1000</f>
        <v/>
      </c>
      <c r="F40" s="704">
        <f>Historiek!F96/1000</f>
        <v/>
      </c>
      <c r="G40" s="704">
        <f>Historiek!G96/1000</f>
        <v/>
      </c>
      <c r="H40" s="704">
        <f>Historiek!H96/1000</f>
        <v/>
      </c>
      <c r="I40" s="704">
        <f>Historiek!I96/1000</f>
        <v/>
      </c>
      <c r="J40" s="704">
        <f>Historiek!J96/1000</f>
        <v/>
      </c>
      <c r="K40" s="704">
        <f>Historiek!K96/1000</f>
        <v/>
      </c>
      <c r="L40" s="705" t="n"/>
    </row>
    <row r="41">
      <c r="A41" s="345" t="n"/>
      <c r="B41" s="339" t="n"/>
      <c r="C41" s="339" t="n"/>
      <c r="D41" s="339" t="n"/>
      <c r="E41" s="339" t="n"/>
      <c r="F41" s="339" t="n"/>
      <c r="G41" s="339" t="n"/>
      <c r="H41" s="339" t="n"/>
      <c r="I41" s="339" t="n"/>
      <c r="J41" s="339" t="n"/>
      <c r="K41" s="339" t="n"/>
      <c r="L41" s="322" t="n"/>
    </row>
    <row r="42">
      <c r="A42" s="346" t="inlineStr">
        <is>
          <t>Schulden op &gt; 1 jaar</t>
        </is>
      </c>
      <c r="B42" s="347">
        <f>SUM(B43:B45)</f>
        <v/>
      </c>
      <c r="C42" s="347">
        <f>SUM(C43:C45)</f>
        <v/>
      </c>
      <c r="D42" s="347">
        <f>SUM(D43:D45)</f>
        <v/>
      </c>
      <c r="E42" s="347">
        <f>SUM(E43:E45)</f>
        <v/>
      </c>
      <c r="F42" s="347">
        <f>SUM(F43:F45)</f>
        <v/>
      </c>
      <c r="G42" s="347">
        <f>SUM(G43:G45)</f>
        <v/>
      </c>
      <c r="H42" s="347">
        <f>SUM(H43:H45)</f>
        <v/>
      </c>
      <c r="I42" s="347">
        <f>SUM(I43:I45)</f>
        <v/>
      </c>
      <c r="J42" s="347">
        <f>SUM(J43:J45)</f>
        <v/>
      </c>
      <c r="K42" s="347">
        <f>SUM(K43:K45)</f>
        <v/>
      </c>
      <c r="L42" s="318" t="n"/>
    </row>
    <row r="43">
      <c r="A43" s="345" t="inlineStr">
        <is>
          <t xml:space="preserve">  Achtergestelde leningen</t>
        </is>
      </c>
      <c r="B43" s="379">
        <f>Historiek!B109/1000</f>
        <v/>
      </c>
      <c r="C43" s="379">
        <f>Historiek!C109/1000</f>
        <v/>
      </c>
      <c r="D43" s="379">
        <f>Historiek!D109/1000</f>
        <v/>
      </c>
      <c r="E43" s="379">
        <f>Historiek!E109/1000</f>
        <v/>
      </c>
      <c r="F43" s="379">
        <f>Historiek!F109/1000</f>
        <v/>
      </c>
      <c r="G43" s="379">
        <f>Historiek!G109/1000</f>
        <v/>
      </c>
      <c r="H43" s="379">
        <f>Historiek!H109/1000</f>
        <v/>
      </c>
      <c r="I43" s="379">
        <f>Historiek!I109/1000</f>
        <v/>
      </c>
      <c r="J43" s="379">
        <f>Historiek!J109/1000</f>
        <v/>
      </c>
      <c r="K43" s="379">
        <f>Historiek!K109/1000</f>
        <v/>
      </c>
      <c r="L43" s="318" t="n"/>
    </row>
    <row r="44">
      <c r="A44" s="345" t="inlineStr">
        <is>
          <t xml:space="preserve">  Financiële schulden</t>
        </is>
      </c>
      <c r="B44" s="339">
        <f>Historiek!B108/1000-B43</f>
        <v/>
      </c>
      <c r="C44" s="339">
        <f>Historiek!C108/1000-C43</f>
        <v/>
      </c>
      <c r="D44" s="339">
        <f>Historiek!D108/1000-D43</f>
        <v/>
      </c>
      <c r="E44" s="339">
        <f>Historiek!E108/1000-E43</f>
        <v/>
      </c>
      <c r="F44" s="339">
        <f>Historiek!F108/1000-F43</f>
        <v/>
      </c>
      <c r="G44" s="339">
        <f>Historiek!G108/1000-G43</f>
        <v/>
      </c>
      <c r="H44" s="339">
        <f>Historiek!H108/1000-H43</f>
        <v/>
      </c>
      <c r="I44" s="339">
        <f>Historiek!I108/1000-I43</f>
        <v/>
      </c>
      <c r="J44" s="339">
        <f>Historiek!J108/1000-J43</f>
        <v/>
      </c>
      <c r="K44" s="339">
        <f>Historiek!K108/1000-K43</f>
        <v/>
      </c>
      <c r="L44" s="322" t="n"/>
    </row>
    <row r="45">
      <c r="A45" s="345" t="inlineStr">
        <is>
          <t xml:space="preserve">  Overige schulden</t>
        </is>
      </c>
      <c r="B45" s="339">
        <f>(Historiek!B118+Historiek!B117+Historiek!B114)/1000</f>
        <v/>
      </c>
      <c r="C45" s="339">
        <f>(Historiek!C118+Historiek!C117+Historiek!C114)/1000</f>
        <v/>
      </c>
      <c r="D45" s="339">
        <f>(Historiek!D118+Historiek!D117+Historiek!D114)/1000</f>
        <v/>
      </c>
      <c r="E45" s="339">
        <f>(Historiek!E118+Historiek!E117+Historiek!E114)/1000</f>
        <v/>
      </c>
      <c r="F45" s="339">
        <f>(Historiek!F118+Historiek!F117+Historiek!F114)/1000</f>
        <v/>
      </c>
      <c r="G45" s="339">
        <f>(Historiek!G118+Historiek!G117+Historiek!G114)/1000</f>
        <v/>
      </c>
      <c r="H45" s="339">
        <f>(Historiek!H118+Historiek!H117+Historiek!H114)/1000</f>
        <v/>
      </c>
      <c r="I45" s="339">
        <f>(Historiek!I118+Historiek!I117+Historiek!I114)/1000</f>
        <v/>
      </c>
      <c r="J45" s="339">
        <f>(Historiek!J118+Historiek!J117+Historiek!J114)/1000</f>
        <v/>
      </c>
      <c r="K45" s="339">
        <f>(Historiek!K118+Historiek!K117+Historiek!K114)/1000</f>
        <v/>
      </c>
      <c r="L45" s="322" t="n"/>
    </row>
    <row r="46">
      <c r="A46" s="346" t="inlineStr">
        <is>
          <t>Schulden op &lt; 1 jaar</t>
        </is>
      </c>
      <c r="B46" s="347">
        <f>SUM(B47:B52)</f>
        <v/>
      </c>
      <c r="C46" s="347">
        <f>SUM(C47:C52)</f>
        <v/>
      </c>
      <c r="D46" s="347">
        <f>SUM(D47:D52)</f>
        <v/>
      </c>
      <c r="E46" s="347">
        <f>SUM(E47:E52)</f>
        <v/>
      </c>
      <c r="F46" s="347">
        <f>SUM(F47:F52)</f>
        <v/>
      </c>
      <c r="G46" s="347">
        <f>SUM(G47:G52)</f>
        <v/>
      </c>
      <c r="H46" s="347">
        <f>SUM(H47:H52)</f>
        <v/>
      </c>
      <c r="I46" s="347">
        <f>SUM(I47:I52)</f>
        <v/>
      </c>
      <c r="J46" s="347">
        <f>SUM(J47:J52)</f>
        <v/>
      </c>
      <c r="K46" s="347">
        <f>SUM(K47:K52)</f>
        <v/>
      </c>
      <c r="L46" s="318" t="n"/>
    </row>
    <row r="47">
      <c r="A47" s="345" t="inlineStr">
        <is>
          <t xml:space="preserve">  Schulden op &gt; 1 jaar, binnen 1 j vervallen</t>
        </is>
      </c>
      <c r="B47" s="339">
        <f>Historiek!B121/1000</f>
        <v/>
      </c>
      <c r="C47" s="339">
        <f>Historiek!C121/1000</f>
        <v/>
      </c>
      <c r="D47" s="339">
        <f>Historiek!D121/1000</f>
        <v/>
      </c>
      <c r="E47" s="339">
        <f>Historiek!E121/1000</f>
        <v/>
      </c>
      <c r="F47" s="339">
        <f>Historiek!F121/1000</f>
        <v/>
      </c>
      <c r="G47" s="339">
        <f>Historiek!G121/1000</f>
        <v/>
      </c>
      <c r="H47" s="339">
        <f>Historiek!H121/1000</f>
        <v/>
      </c>
      <c r="I47" s="339">
        <f>Historiek!I121/1000</f>
        <v/>
      </c>
      <c r="J47" s="339">
        <f>Historiek!J121/1000</f>
        <v/>
      </c>
      <c r="K47" s="339">
        <f>Historiek!K121/1000</f>
        <v/>
      </c>
      <c r="L47" s="322" t="n"/>
    </row>
    <row r="48">
      <c r="A48" s="345" t="inlineStr">
        <is>
          <t xml:space="preserve">  Financiële schulden</t>
        </is>
      </c>
      <c r="B48" s="339">
        <f>Historiek!B122/1000</f>
        <v/>
      </c>
      <c r="C48" s="339">
        <f>Historiek!C122/1000</f>
        <v/>
      </c>
      <c r="D48" s="339">
        <f>Historiek!D122/1000</f>
        <v/>
      </c>
      <c r="E48" s="339">
        <f>Historiek!E122/1000</f>
        <v/>
      </c>
      <c r="F48" s="339">
        <f>Historiek!F122/1000</f>
        <v/>
      </c>
      <c r="G48" s="339">
        <f>Historiek!G122/1000</f>
        <v/>
      </c>
      <c r="H48" s="339">
        <f>Historiek!H122/1000</f>
        <v/>
      </c>
      <c r="I48" s="339">
        <f>Historiek!I122/1000</f>
        <v/>
      </c>
      <c r="J48" s="339">
        <f>Historiek!J122/1000</f>
        <v/>
      </c>
      <c r="K48" s="339">
        <f>Historiek!K122/1000</f>
        <v/>
      </c>
      <c r="L48" s="322" t="n"/>
    </row>
    <row r="49">
      <c r="A49" s="345" t="inlineStr">
        <is>
          <t xml:space="preserve">  Handelsschulden</t>
        </is>
      </c>
      <c r="B49" s="339">
        <f>Historiek!B125/1000</f>
        <v/>
      </c>
      <c r="C49" s="339">
        <f>Historiek!C125/1000</f>
        <v/>
      </c>
      <c r="D49" s="339">
        <f>Historiek!D125/1000</f>
        <v/>
      </c>
      <c r="E49" s="339">
        <f>Historiek!E125/1000</f>
        <v/>
      </c>
      <c r="F49" s="339">
        <f>Historiek!F125/1000</f>
        <v/>
      </c>
      <c r="G49" s="339">
        <f>Historiek!G125/1000</f>
        <v/>
      </c>
      <c r="H49" s="339">
        <f>Historiek!H125/1000</f>
        <v/>
      </c>
      <c r="I49" s="339">
        <f>Historiek!I125/1000</f>
        <v/>
      </c>
      <c r="J49" s="339">
        <f>Historiek!J125/1000</f>
        <v/>
      </c>
      <c r="K49" s="339">
        <f>Historiek!K125/1000</f>
        <v/>
      </c>
      <c r="L49" s="322" t="n"/>
    </row>
    <row r="50">
      <c r="A50" s="345" t="inlineStr">
        <is>
          <t xml:space="preserve">  Ontvangen vooruitbetalingen</t>
        </is>
      </c>
      <c r="B50" s="339">
        <f>Historiek!B128/1000</f>
        <v/>
      </c>
      <c r="C50" s="339">
        <f>Historiek!C128/1000</f>
        <v/>
      </c>
      <c r="D50" s="339">
        <f>Historiek!D128/1000</f>
        <v/>
      </c>
      <c r="E50" s="339">
        <f>Historiek!E128/1000</f>
        <v/>
      </c>
      <c r="F50" s="339">
        <f>Historiek!F128/1000</f>
        <v/>
      </c>
      <c r="G50" s="339">
        <f>Historiek!G128/1000</f>
        <v/>
      </c>
      <c r="H50" s="339">
        <f>Historiek!H128/1000</f>
        <v/>
      </c>
      <c r="I50" s="339">
        <f>Historiek!I128/1000</f>
        <v/>
      </c>
      <c r="J50" s="339">
        <f>Historiek!J128/1000</f>
        <v/>
      </c>
      <c r="K50" s="339">
        <f>Historiek!K128/1000</f>
        <v/>
      </c>
      <c r="L50" s="322" t="n"/>
    </row>
    <row r="51">
      <c r="A51" s="345" t="inlineStr">
        <is>
          <t xml:space="preserve">  Belast., bezoldig., soc. lasten</t>
        </is>
      </c>
      <c r="B51" s="339">
        <f>Historiek!B129/1000</f>
        <v/>
      </c>
      <c r="C51" s="339">
        <f>Historiek!C129/1000</f>
        <v/>
      </c>
      <c r="D51" s="339">
        <f>Historiek!D129/1000</f>
        <v/>
      </c>
      <c r="E51" s="339">
        <f>Historiek!E129/1000</f>
        <v/>
      </c>
      <c r="F51" s="339">
        <f>Historiek!F129/1000</f>
        <v/>
      </c>
      <c r="G51" s="339">
        <f>Historiek!G129/1000</f>
        <v/>
      </c>
      <c r="H51" s="339">
        <f>Historiek!H129/1000</f>
        <v/>
      </c>
      <c r="I51" s="339">
        <f>Historiek!I129/1000</f>
        <v/>
      </c>
      <c r="J51" s="339">
        <f>Historiek!J129/1000</f>
        <v/>
      </c>
      <c r="K51" s="339">
        <f>Historiek!K129/1000</f>
        <v/>
      </c>
      <c r="L51" s="322" t="n"/>
    </row>
    <row r="52">
      <c r="A52" s="345" t="inlineStr">
        <is>
          <t xml:space="preserve">  Overige schulden</t>
        </is>
      </c>
      <c r="B52" s="339">
        <f>Historiek!B132/1000</f>
        <v/>
      </c>
      <c r="C52" s="339">
        <f>Historiek!C132/1000</f>
        <v/>
      </c>
      <c r="D52" s="339">
        <f>Historiek!D132/1000</f>
        <v/>
      </c>
      <c r="E52" s="339">
        <f>Historiek!E132/1000</f>
        <v/>
      </c>
      <c r="F52" s="339">
        <f>Historiek!F132/1000</f>
        <v/>
      </c>
      <c r="G52" s="339">
        <f>Historiek!G132/1000</f>
        <v/>
      </c>
      <c r="H52" s="339">
        <f>Historiek!H132/1000</f>
        <v/>
      </c>
      <c r="I52" s="339">
        <f>Historiek!I132/1000</f>
        <v/>
      </c>
      <c r="J52" s="339">
        <f>Historiek!J132/1000</f>
        <v/>
      </c>
      <c r="K52" s="339">
        <f>Historiek!K132/1000</f>
        <v/>
      </c>
      <c r="L52" s="322" t="n"/>
    </row>
    <row r="53">
      <c r="A53" s="346" t="inlineStr">
        <is>
          <t>Overlopende rekeningen</t>
        </is>
      </c>
      <c r="B53" s="347">
        <f>Historiek!B134/1000</f>
        <v/>
      </c>
      <c r="C53" s="347">
        <f>Historiek!C134/1000</f>
        <v/>
      </c>
      <c r="D53" s="347">
        <f>Historiek!D134/1000</f>
        <v/>
      </c>
      <c r="E53" s="347">
        <f>Historiek!E134/1000</f>
        <v/>
      </c>
      <c r="F53" s="347">
        <f>Historiek!F134/1000</f>
        <v/>
      </c>
      <c r="G53" s="347">
        <f>Historiek!G134/1000</f>
        <v/>
      </c>
      <c r="H53" s="347">
        <f>Historiek!H134/1000</f>
        <v/>
      </c>
      <c r="I53" s="347">
        <f>Historiek!I134/1000</f>
        <v/>
      </c>
      <c r="J53" s="347">
        <f>Historiek!J134/1000</f>
        <v/>
      </c>
      <c r="K53" s="347">
        <f>Historiek!K134/1000</f>
        <v/>
      </c>
      <c r="L53" s="318" t="n"/>
    </row>
    <row r="54" ht="6" customHeight="1">
      <c r="A54" s="346" t="n"/>
      <c r="B54" s="339" t="n"/>
      <c r="C54" s="339" t="n"/>
      <c r="D54" s="339" t="n"/>
      <c r="E54" s="339" t="n"/>
      <c r="F54" s="339" t="n"/>
      <c r="G54" s="339" t="n"/>
      <c r="H54" s="339" t="n"/>
      <c r="I54" s="339" t="n"/>
      <c r="J54" s="339" t="n"/>
      <c r="K54" s="339" t="n"/>
      <c r="L54" s="322" t="n"/>
    </row>
    <row r="55" ht="13.8" customHeight="1">
      <c r="A55" s="703" t="inlineStr">
        <is>
          <t>Schulden</t>
        </is>
      </c>
      <c r="B55" s="704">
        <f>B53+B46+B42</f>
        <v/>
      </c>
      <c r="C55" s="704">
        <f>C53+C46+C42</f>
        <v/>
      </c>
      <c r="D55" s="704">
        <f>D53+D46+D42</f>
        <v/>
      </c>
      <c r="E55" s="704">
        <f>E53+E46+E42</f>
        <v/>
      </c>
      <c r="F55" s="704">
        <f>F53+F46+F42</f>
        <v/>
      </c>
      <c r="G55" s="704">
        <f>G53+G46+G42</f>
        <v/>
      </c>
      <c r="H55" s="704">
        <f>H53+H46+H42</f>
        <v/>
      </c>
      <c r="I55" s="704">
        <f>I53+I46+I42</f>
        <v/>
      </c>
      <c r="J55" s="704">
        <f>J53+J46+J42</f>
        <v/>
      </c>
      <c r="K55" s="704">
        <f>K53+K46+K42</f>
        <v/>
      </c>
      <c r="L55" s="705" t="n"/>
    </row>
    <row r="56">
      <c r="A56" s="345" t="n"/>
      <c r="B56" s="339" t="n"/>
      <c r="C56" s="339" t="n"/>
      <c r="D56" s="339" t="n"/>
      <c r="E56" s="339" t="n"/>
      <c r="F56" s="339" t="n"/>
      <c r="G56" s="339" t="n"/>
      <c r="H56" s="339" t="n"/>
      <c r="I56" s="339" t="n"/>
      <c r="J56" s="339" t="n"/>
      <c r="K56" s="339" t="n"/>
      <c r="L56" s="322" t="n"/>
    </row>
    <row r="57" ht="15.6" customHeight="1">
      <c r="A57" s="706" t="inlineStr">
        <is>
          <t>TOTAAL DER PASSIVA</t>
        </is>
      </c>
      <c r="B57" s="704">
        <f>B55+B40+B38</f>
        <v/>
      </c>
      <c r="C57" s="704">
        <f>C55+C40+C38</f>
        <v/>
      </c>
      <c r="D57" s="704">
        <f>D55+D40+D38</f>
        <v/>
      </c>
      <c r="E57" s="704">
        <f>E55+E40+E38</f>
        <v/>
      </c>
      <c r="F57" s="704">
        <f>F55+F40+F38</f>
        <v/>
      </c>
      <c r="G57" s="704">
        <f>G55+G40+G38</f>
        <v/>
      </c>
      <c r="H57" s="704">
        <f>H55+H40+H38</f>
        <v/>
      </c>
      <c r="I57" s="704">
        <f>I55+I40+I38</f>
        <v/>
      </c>
      <c r="J57" s="704">
        <f>J55+J40+J38</f>
        <v/>
      </c>
      <c r="K57" s="704">
        <f>K55+K40+K38</f>
        <v/>
      </c>
      <c r="L57" s="705" t="n"/>
    </row>
    <row r="58">
      <c r="A58" s="352" t="n"/>
      <c r="B58" s="347" t="n"/>
      <c r="C58" s="347" t="n"/>
      <c r="D58" s="347" t="n"/>
      <c r="E58" s="347" t="n"/>
      <c r="F58" s="347" t="n"/>
      <c r="G58" s="347" t="n"/>
      <c r="H58" s="347" t="n"/>
      <c r="I58" s="347" t="n"/>
      <c r="J58" s="347" t="n"/>
      <c r="K58" s="347" t="n"/>
      <c r="L58" s="347" t="n"/>
    </row>
    <row r="59" ht="15.6" customHeight="1">
      <c r="A59" s="700" t="inlineStr">
        <is>
          <t>KERNRATIO'S</t>
        </is>
      </c>
      <c r="B59" s="701">
        <f>B4</f>
        <v/>
      </c>
      <c r="C59" s="701">
        <f>C4</f>
        <v/>
      </c>
      <c r="D59" s="701">
        <f>D4</f>
        <v/>
      </c>
      <c r="E59" s="701">
        <f>E4</f>
        <v/>
      </c>
      <c r="F59" s="701">
        <f>F4</f>
        <v/>
      </c>
      <c r="G59" s="701">
        <f>G4</f>
        <v/>
      </c>
      <c r="H59" s="701">
        <f>H4</f>
        <v/>
      </c>
      <c r="I59" s="701">
        <f>I4</f>
        <v/>
      </c>
      <c r="J59" s="701">
        <f>J4</f>
        <v/>
      </c>
      <c r="K59" s="701">
        <f>K4</f>
        <v/>
      </c>
      <c r="L59" s="702" t="n"/>
    </row>
    <row r="60">
      <c r="A60" s="353" t="inlineStr">
        <is>
          <t xml:space="preserve">Solvabiliteit </t>
        </is>
      </c>
      <c r="B60" s="354">
        <f>IF(B57=0,0,+B38/B57)</f>
        <v/>
      </c>
      <c r="C60" s="354">
        <f>IF(C57=0,0,+C38/C57)</f>
        <v/>
      </c>
      <c r="D60" s="354">
        <f>IF(D57=0,0,+D38/D57)</f>
        <v/>
      </c>
      <c r="E60" s="354">
        <f>IF(E57=0,0,+E38/E57)</f>
        <v/>
      </c>
      <c r="F60" s="354">
        <f>IF(F57=0,0,+F38/F57)</f>
        <v/>
      </c>
      <c r="G60" s="354">
        <f>IF(G57=0,0,+G38/G57)</f>
        <v/>
      </c>
      <c r="H60" s="354">
        <f>IF(H57=0,0,+H38/H57)</f>
        <v/>
      </c>
      <c r="I60" s="354">
        <f>IF(I57=0,0,+I38/I57)</f>
        <v/>
      </c>
      <c r="J60" s="355">
        <f>IF(J57=0,0,+J38/J57)</f>
        <v/>
      </c>
      <c r="K60" s="355">
        <f>IF(K57=0,0,+K38/K57)</f>
        <v/>
      </c>
      <c r="L60" s="356" t="n"/>
    </row>
    <row r="61">
      <c r="A61" s="348" t="inlineStr">
        <is>
          <t>Solvabiliteit (bancair)</t>
        </is>
      </c>
      <c r="B61" s="354">
        <f>IF(B57=0,0,(Historiek!B75+Historiek!B109-Historiek!B17-Historiek!B19)/(B57*1000-Historiek!B17-Historiek!B19))</f>
        <v/>
      </c>
      <c r="C61" s="354">
        <f>IF(C57=0,0,(Historiek!C75+Historiek!C109-Historiek!C17-Historiek!C19)/(C57*1000-Historiek!C17-Historiek!C19))</f>
        <v/>
      </c>
      <c r="D61" s="354">
        <f>IF(D57=0,0,(Historiek!D75+Historiek!D109-Historiek!D17-Historiek!D19)/(D57*1000-Historiek!D17-Historiek!D19))</f>
        <v/>
      </c>
      <c r="E61" s="354">
        <f>IF(E57=0,0,(Historiek!E75+Historiek!E109-Historiek!E17-Historiek!E19)/(E57*1000-Historiek!E17-Historiek!E19))</f>
        <v/>
      </c>
      <c r="F61" s="354">
        <f>IF(F57=0,0,(Historiek!F75+Historiek!F109-Historiek!F17-Historiek!F19)/(F57*1000-Historiek!F17-Historiek!F19))</f>
        <v/>
      </c>
      <c r="G61" s="354">
        <f>IF(G57=0,0,(Historiek!G75+Historiek!G109-Historiek!G17-Historiek!G19)/(G57*1000-Historiek!G17-Historiek!G19))</f>
        <v/>
      </c>
      <c r="H61" s="354">
        <f>IF(H57=0,0,(Historiek!H75+Historiek!H109-Historiek!H17-Historiek!H19)/(H57*1000-Historiek!H17-Historiek!H19))</f>
        <v/>
      </c>
      <c r="I61" s="354">
        <f>IF(I57=0,0,(Historiek!I75+Historiek!I109-Historiek!I17-Historiek!I19)/(I57*1000-Historiek!I17-Historiek!I19))</f>
        <v/>
      </c>
      <c r="J61" s="354">
        <f>IF(J57=0,0,(Historiek!J75+Historiek!J109-Historiek!J17-Historiek!J19)/(J57*1000-Historiek!J17-Historiek!J19))</f>
        <v/>
      </c>
      <c r="K61" s="354">
        <f>IF(K57=0,0,(Historiek!K75+Historiek!K109-Historiek!K17-Historiek!K19)/(K57*1000-Historiek!K17-Historiek!K19))</f>
        <v/>
      </c>
      <c r="L61" s="356" t="n"/>
    </row>
    <row r="62">
      <c r="A62" s="348" t="inlineStr">
        <is>
          <t>Financiële schuldgraad</t>
        </is>
      </c>
      <c r="B62" s="354">
        <f>IF(B57=0,0,+(B43+B44+B47+B48-B23)/B57)</f>
        <v/>
      </c>
      <c r="C62" s="354">
        <f>IF(C57=0,0,+(C43+C44+C47+C48-C23)/C57)</f>
        <v/>
      </c>
      <c r="D62" s="354">
        <f>IF(D57=0,0,+(D43+D44+D47+D48-D23)/D57)</f>
        <v/>
      </c>
      <c r="E62" s="354">
        <f>IF(E57=0,0,+(E43+E44+E47+E48-E23)/E57)</f>
        <v/>
      </c>
      <c r="F62" s="354">
        <f>IF(F57=0,0,+(F43+F44+F47+F48-F23)/F57)</f>
        <v/>
      </c>
      <c r="G62" s="354">
        <f>IF(G57=0,0,+(G43+G44+G47+G48-G23)/G57)</f>
        <v/>
      </c>
      <c r="H62" s="354">
        <f>IF(H57=0,0,+(H43+H44+H47+H48-H23)/H57)</f>
        <v/>
      </c>
      <c r="I62" s="354">
        <f>IF(I57=0,0,+(I43+I44+I47+I48-I23)/I57)</f>
        <v/>
      </c>
      <c r="J62" s="354">
        <f>IF(J57=0,0,+(J43+J44+J47+J48-J23)/J57)</f>
        <v/>
      </c>
      <c r="K62" s="354">
        <f>IF(K57=0,0,+(K43+K44+K47+K48-K23)/K57)</f>
        <v/>
      </c>
      <c r="L62" s="356" t="n"/>
    </row>
    <row r="63">
      <c r="A63" s="348" t="inlineStr">
        <is>
          <t>NFD</t>
        </is>
      </c>
      <c r="B63" s="357">
        <f>B44+B45+B47+B48-B23+B43</f>
        <v/>
      </c>
      <c r="C63" s="357">
        <f>C44+C45+C47+C48-C23+C43</f>
        <v/>
      </c>
      <c r="D63" s="357">
        <f>D44+D45+D47+D48-D23+D43</f>
        <v/>
      </c>
      <c r="E63" s="357">
        <f>E44+E45+E47+E48-E23+E43</f>
        <v/>
      </c>
      <c r="F63" s="357">
        <f>F44+F45+F47+F48-F23+F43</f>
        <v/>
      </c>
      <c r="G63" s="357">
        <f>G44+G45+G47+G48-G23+G43</f>
        <v/>
      </c>
      <c r="H63" s="357">
        <f>H44+H45+H47+H48-H23+H43</f>
        <v/>
      </c>
      <c r="I63" s="357">
        <f>I44+I45+I47+I48-I23+I43</f>
        <v/>
      </c>
      <c r="J63" s="357">
        <f>J44+J45+J47+J48-J23+J43</f>
        <v/>
      </c>
      <c r="K63" s="357">
        <f>K44+K45+K47+K48-K23+K43</f>
        <v/>
      </c>
      <c r="L63" s="358" t="n"/>
    </row>
    <row r="64">
      <c r="A64" s="348" t="inlineStr">
        <is>
          <t>NFD / Ebitda</t>
        </is>
      </c>
      <c r="B64" s="890">
        <f>IF(B63&lt;0,"",IF(Resultaten!B26=0,0,B63/Resultaten!B26))</f>
        <v/>
      </c>
      <c r="C64" s="890">
        <f>IF(C63&lt;0,"",IF(Resultaten!C26=0,0,C63/Resultaten!C26))</f>
        <v/>
      </c>
      <c r="D64" s="890">
        <f>IF(D63&lt;0,"",IF(Resultaten!D26=0,0,D63/Resultaten!D26))</f>
        <v/>
      </c>
      <c r="E64" s="890">
        <f>IF(E63&lt;0,"",IF(Resultaten!E26=0,0,E63/Resultaten!E26))</f>
        <v/>
      </c>
      <c r="F64" s="890">
        <f>IF(F63&lt;0,"",IF(Resultaten!F26=0,0,F63/Resultaten!F26))</f>
        <v/>
      </c>
      <c r="G64" s="890">
        <f>IF(G63&lt;0,"",IF(Resultaten!G26=0,0,G63/Resultaten!G26))</f>
        <v/>
      </c>
      <c r="H64" s="890">
        <f>IF(H63&lt;0,"",IF(Resultaten!H26=0,0,H63/Resultaten!H26))</f>
        <v/>
      </c>
      <c r="I64" s="890">
        <f>IF(I63&lt;0,"",IF(Resultaten!I26=0,0,I63/Resultaten!I26))</f>
        <v/>
      </c>
      <c r="J64" s="890">
        <f>IF(J63&lt;0,"",IF(Resultaten!J26=0,0,J63/Resultaten!J26))</f>
        <v/>
      </c>
      <c r="K64" s="890">
        <f>IF(K63&lt;0,"",IF(Resultaten!K26=0,0,K63/Resultaten!K26))</f>
        <v/>
      </c>
      <c r="L64" s="891" t="n"/>
    </row>
    <row r="65">
      <c r="A65" s="892" t="inlineStr">
        <is>
          <t>DSCR (Ebitda / intesten + Aflossingen)</t>
        </is>
      </c>
      <c r="B65" s="890">
        <f>IF(Resultaten!B34=0,0,Resultaten!B26/Resultaten!B34)</f>
        <v/>
      </c>
      <c r="C65" s="890">
        <f>IF(Resultaten!C34=0,0,Resultaten!C26/Resultaten!C34)</f>
        <v/>
      </c>
      <c r="D65" s="890">
        <f>IF(Resultaten!D34=0,0,Resultaten!D26/Resultaten!D34)</f>
        <v/>
      </c>
      <c r="E65" s="890">
        <f>IF(Resultaten!E34=0,0,Resultaten!E26/Resultaten!E34)</f>
        <v/>
      </c>
      <c r="F65" s="890">
        <f>IF(Resultaten!F34=0,0,Resultaten!F26/Resultaten!F34)</f>
        <v/>
      </c>
      <c r="G65" s="890">
        <f>IF(Resultaten!G34=0,0,Resultaten!G26/Resultaten!G34)</f>
        <v/>
      </c>
      <c r="H65" s="890">
        <f>IF(Resultaten!H34=0,0,Resultaten!H26/Resultaten!H34)</f>
        <v/>
      </c>
      <c r="I65" s="890">
        <f>IF(Resultaten!I34=0,0,Resultaten!I26/Resultaten!I34)</f>
        <v/>
      </c>
      <c r="J65" s="890">
        <f>IF(Resultaten!J34=0,0,Resultaten!J26/Resultaten!J34)</f>
        <v/>
      </c>
      <c r="K65" s="890">
        <f>IF(Resultaten!K34=0,0,Resultaten!K26/Resultaten!K34)</f>
        <v/>
      </c>
      <c r="L65" s="891" t="n"/>
    </row>
    <row r="66">
      <c r="A66" s="348" t="inlineStr">
        <is>
          <t>EV / Kapitaal</t>
        </is>
      </c>
      <c r="B66" s="354">
        <f>IF(Historiek!B77=0,0,B38/(Historiek!B77/1000))</f>
        <v/>
      </c>
      <c r="C66" s="354">
        <f>IF(Historiek!C77=0,0,C38/(Historiek!C77/1000))</f>
        <v/>
      </c>
      <c r="D66" s="354">
        <f>IF(Historiek!D77=0,0,D38/(Historiek!D77/1000))</f>
        <v/>
      </c>
      <c r="E66" s="354">
        <f>IF(Historiek!E77=0,0,E38/(Historiek!E77/1000))</f>
        <v/>
      </c>
      <c r="F66" s="354">
        <f>IF(Historiek!F77=0,0,F38/(Historiek!F77/1000))</f>
        <v/>
      </c>
      <c r="G66" s="354">
        <f>IF(Historiek!G77=0,0,G38/(Historiek!G77/1000))</f>
        <v/>
      </c>
      <c r="H66" s="354">
        <f>IF(Historiek!H77=0,0,H38/(Historiek!H77/1000))</f>
        <v/>
      </c>
      <c r="I66" s="354">
        <f>IF(Historiek!I77=0,0,I38/(Historiek!I77/1000))</f>
        <v/>
      </c>
      <c r="J66" s="354">
        <f>IF(Historiek!J77=0,0,J38/(Historiek!J77/1000))</f>
        <v/>
      </c>
      <c r="K66" s="354">
        <f>IF(Historiek!K77=0,0,K38/(Historiek!K77/1000))</f>
        <v/>
      </c>
      <c r="L66" s="356" t="n"/>
    </row>
    <row r="67">
      <c r="A67" s="348" t="inlineStr">
        <is>
          <t>Aangewend werkkapitaal op omzet</t>
        </is>
      </c>
      <c r="B67" s="354">
        <f>IF(Resultaten!B7+Resultaten!B8=0,0,+(B21+B19-B49+Historiek!B114/1000)/((Resultaten!B7+Resultaten!B8)*(12/Resultaten!B5)))</f>
        <v/>
      </c>
      <c r="C67" s="354">
        <f>IF(Resultaten!C7+Resultaten!C8=0,0,+(C21+C19-C49+Historiek!C114/1000)/((Resultaten!C7+Resultaten!C8)*(12/Resultaten!C5)))</f>
        <v/>
      </c>
      <c r="D67" s="354">
        <f>IF(Resultaten!D7+Resultaten!D8=0,0,+(D21+D19-D49+Historiek!D114/1000)/((Resultaten!D7+Resultaten!D8)*(12/Resultaten!D5)))</f>
        <v/>
      </c>
      <c r="E67" s="354">
        <f>IF(Resultaten!E7+Resultaten!E8=0,0,+(E21+E19-E49+Historiek!E114/1000)/((Resultaten!E7+Resultaten!E8)*(12/Resultaten!E5)))</f>
        <v/>
      </c>
      <c r="F67" s="354">
        <f>IF(Resultaten!F7+Resultaten!F8=0,0,+(F21+F19-F49+Historiek!F114/1000)/((Resultaten!F7+Resultaten!F8)*(12/Resultaten!F5)))</f>
        <v/>
      </c>
      <c r="G67" s="354">
        <f>IF(Resultaten!G7+Resultaten!G8=0,0,+(G21+G19-G49+Historiek!G114/1000)/((Resultaten!G7+Resultaten!G8)*(12/Resultaten!G5)))</f>
        <v/>
      </c>
      <c r="H67" s="354">
        <f>IF(Resultaten!H7+Resultaten!H8=0,0,+(H21+H19-H49+Historiek!H114/1000)/((Resultaten!H7+Resultaten!H8)*(12/Resultaten!H5)))</f>
        <v/>
      </c>
      <c r="I67" s="354">
        <f>IF(Resultaten!I7+Resultaten!I8=0,0,+(I21+I19-I49+Historiek!I114/1000)/((Resultaten!I7+Resultaten!I8)*(12/Resultaten!I5)))</f>
        <v/>
      </c>
      <c r="J67" s="354">
        <f>IF(Resultaten!J7+Resultaten!J8=0,0,+(J21+J19-J49+Historiek!J114/1000)/((Resultaten!J7+Resultaten!J8)*(12/Resultaten!J5)))</f>
        <v/>
      </c>
      <c r="K67" s="354">
        <f>IF(Resultaten!K7+Resultaten!K8=0,0,+(K21+K19-K49+Historiek!K114/1000)/((Resultaten!K7+Resultaten!K8)*(12/Resultaten!K5)))</f>
        <v/>
      </c>
      <c r="L67" s="356" t="n"/>
    </row>
    <row r="68">
      <c r="A68" s="348" t="inlineStr">
        <is>
          <t>Duurzaam vermogen (CE)</t>
        </is>
      </c>
      <c r="B68" s="357">
        <f>Summary!B23</f>
        <v/>
      </c>
      <c r="C68" s="357">
        <f>Summary!C23</f>
        <v/>
      </c>
      <c r="D68" s="357">
        <f>Summary!D23</f>
        <v/>
      </c>
      <c r="E68" s="357">
        <f>Summary!E23</f>
        <v/>
      </c>
      <c r="F68" s="357">
        <f>Summary!F23</f>
        <v/>
      </c>
      <c r="G68" s="357">
        <f>Summary!G23</f>
        <v/>
      </c>
      <c r="H68" s="357">
        <f>Summary!H23</f>
        <v/>
      </c>
      <c r="I68" s="357">
        <f>Summary!I23</f>
        <v/>
      </c>
      <c r="J68" s="357">
        <f>Summary!J23</f>
        <v/>
      </c>
      <c r="K68" s="357">
        <f>Summary!L23</f>
        <v/>
      </c>
      <c r="L68" s="891" t="n"/>
    </row>
    <row r="69">
      <c r="A69" s="348" t="inlineStr">
        <is>
          <t>Rendement duurzaam vermogen (ROCE)</t>
        </is>
      </c>
      <c r="B69" s="354">
        <f>Summary!B36</f>
        <v/>
      </c>
      <c r="C69" s="354">
        <f>Summary!C36</f>
        <v/>
      </c>
      <c r="D69" s="354">
        <f>Summary!D36</f>
        <v/>
      </c>
      <c r="E69" s="354">
        <f>Summary!E36</f>
        <v/>
      </c>
      <c r="F69" s="354">
        <f>Summary!F36</f>
        <v/>
      </c>
      <c r="G69" s="354">
        <f>Summary!G36</f>
        <v/>
      </c>
      <c r="H69" s="354">
        <f>Summary!H36</f>
        <v/>
      </c>
      <c r="I69" s="354">
        <f>Summary!I36</f>
        <v/>
      </c>
      <c r="J69" s="354">
        <f>Summary!J36</f>
        <v/>
      </c>
      <c r="K69" s="354">
        <f>Summary!L36</f>
        <v/>
      </c>
      <c r="L69" s="356" t="n"/>
    </row>
    <row r="70">
      <c r="A70" s="348" t="inlineStr">
        <is>
          <t>Aantal dagen klantenkrediet</t>
        </is>
      </c>
      <c r="B70" s="890">
        <f>IF(Resultaten!B7+Resultaten!B16=0,0,+(Historiek!B44/1000+B21)/((Resultaten!B7+Resultaten!B16+Historiek!B292)*(12/Resultaten!B5))*365)</f>
        <v/>
      </c>
      <c r="C70" s="890">
        <f>IF(Resultaten!C7+Resultaten!C16=0,0,+(Historiek!C44/1000+C21)/((Resultaten!C7+Resultaten!C16+Historiek!C292)*(12/Resultaten!C5))*365)</f>
        <v/>
      </c>
      <c r="D70" s="890">
        <f>IF(Resultaten!D7+Resultaten!D16=0,0,+(Historiek!D44/1000+D21)/((Resultaten!D7+Resultaten!D16+Historiek!D292)*(12/Resultaten!D5))*365)</f>
        <v/>
      </c>
      <c r="E70" s="890">
        <f>IF(Resultaten!E7+Resultaten!E16=0,0,+(Historiek!E44/1000+E21)/((Resultaten!E7+Resultaten!E16+Historiek!E292)*(12/Resultaten!E5))*365)</f>
        <v/>
      </c>
      <c r="F70" s="890">
        <f>IF(Resultaten!F7+Resultaten!F16=0,0,+(Historiek!F44/1000+F21)/((Resultaten!F7+Resultaten!F16+Historiek!F292)*(12/Resultaten!F5))*365)</f>
        <v/>
      </c>
      <c r="G70" s="890">
        <f>IF(Resultaten!G7+Resultaten!G16=0,0,+(Historiek!G44/1000+G21)/((Resultaten!G7+Resultaten!G16+Historiek!G292)*(12/Resultaten!G5))*365)</f>
        <v/>
      </c>
      <c r="H70" s="890">
        <f>IF(Resultaten!H7+Resultaten!H16=0,0,+(Historiek!H44/1000+H21)/((Resultaten!H7+Resultaten!H16+Historiek!H292)*(12/Resultaten!H5))*365)</f>
        <v/>
      </c>
      <c r="I70" s="890">
        <f>IF(Resultaten!I7+Resultaten!I16=0,0,+(Historiek!I44/1000+I21)/((Resultaten!I7+Resultaten!I16+Historiek!I292)*(12/Resultaten!I5))*365)</f>
        <v/>
      </c>
      <c r="J70" s="890">
        <f>IF(Resultaten!J7+Resultaten!J16=0,0,+(Historiek!J44/1000+J21)/((Resultaten!J7+Resultaten!J16+Historiek!J292)*(12/Resultaten!J5))*365)</f>
        <v/>
      </c>
      <c r="K70" s="890">
        <f>IF(Resultaten!K7+Resultaten!K16=0,0,+(Historiek!K44/1000+K21)/((Resultaten!K7+Resultaten!K16+Historiek!K292)*(12/Resultaten!K5))*365)</f>
        <v/>
      </c>
      <c r="L70" s="891" t="n"/>
    </row>
    <row r="71">
      <c r="A71" s="348" t="inlineStr">
        <is>
          <t>Aantal dagen leverancierskrediet</t>
        </is>
      </c>
      <c r="B71" s="890">
        <f>IF(Resultaten!B9+Resultaten!B14=0,0,+(B49+Historiek!B114/1000)/((Resultaten!B9+Resultaten!B14+Historiek!B291)*(12/Resultaten!B5))*365)</f>
        <v/>
      </c>
      <c r="C71" s="890">
        <f>IF(Resultaten!C9+Resultaten!C14=0,0,+(C49+Historiek!C114/1000)/((Resultaten!C9+Resultaten!C14+Historiek!C291)*(12/Resultaten!C5))*365)</f>
        <v/>
      </c>
      <c r="D71" s="890">
        <f>IF(Resultaten!D9+Resultaten!D14=0,0,+(D49+Historiek!D114/1000)/((Resultaten!D9+Resultaten!D14+Historiek!D291)*(12/Resultaten!D5))*365)</f>
        <v/>
      </c>
      <c r="E71" s="890">
        <f>IF(Resultaten!E9+Resultaten!E14=0,0,+(E49+Historiek!E114/1000)/((Resultaten!E9+Resultaten!E14+Historiek!E291)*(12/Resultaten!E5))*365)</f>
        <v/>
      </c>
      <c r="F71" s="890">
        <f>IF(Resultaten!F9+Resultaten!F14=0,0,+(F49+Historiek!F114/1000)/((Resultaten!F9+Resultaten!F14+Historiek!F291)*(12/Resultaten!F5))*365)</f>
        <v/>
      </c>
      <c r="G71" s="890">
        <f>IF(Resultaten!G9+Resultaten!G14=0,0,+(G49+Historiek!G114/1000)/((Resultaten!G9+Resultaten!G14+Historiek!G291)*(12/Resultaten!G5))*365)</f>
        <v/>
      </c>
      <c r="H71" s="890">
        <f>IF(Resultaten!H9+Resultaten!H14=0,0,+(H49+Historiek!H114/1000)/((Resultaten!H9+Resultaten!H14+Historiek!H291)*(12/Resultaten!H5))*365)</f>
        <v/>
      </c>
      <c r="I71" s="890">
        <f>IF(Resultaten!I9+Resultaten!I14=0,0,+(I49+Historiek!I114/1000)/((Resultaten!I9+Resultaten!I14+Historiek!I291)*(12/Resultaten!I5))*365)</f>
        <v/>
      </c>
      <c r="J71" s="890">
        <f>IF(Resultaten!J9+Resultaten!J14=0,0,+(J49+Historiek!J114/1000)/((Resultaten!J9+Resultaten!J14+Historiek!J291)*(12/Resultaten!J5))*365)</f>
        <v/>
      </c>
      <c r="K71" s="890">
        <f>IF(Resultaten!K9+Resultaten!K14=0,0,+(K49+Historiek!K114/1000)/((Resultaten!K9+Resultaten!K14+Historiek!K291)*(12/Resultaten!K5))*365)</f>
        <v/>
      </c>
      <c r="L71" s="891" t="n"/>
    </row>
    <row r="72">
      <c r="A72" s="362" t="inlineStr">
        <is>
          <t>Tewerkstelling (FTE's), incl interim</t>
        </is>
      </c>
      <c r="B72" s="893">
        <f>Historiek!B302</f>
        <v/>
      </c>
      <c r="C72" s="893">
        <f>Historiek!C302</f>
        <v/>
      </c>
      <c r="D72" s="893">
        <f>Historiek!D302</f>
        <v/>
      </c>
      <c r="E72" s="893">
        <f>Historiek!E302</f>
        <v/>
      </c>
      <c r="F72" s="893">
        <f>Historiek!F302</f>
        <v/>
      </c>
      <c r="G72" s="893">
        <f>Historiek!G302</f>
        <v/>
      </c>
      <c r="H72" s="893">
        <f>Historiek!H302</f>
        <v/>
      </c>
      <c r="I72" s="893">
        <f>Historiek!I302</f>
        <v/>
      </c>
      <c r="J72" s="893">
        <f>Historiek!J302</f>
        <v/>
      </c>
      <c r="K72" s="893">
        <f>Historiek!K302</f>
        <v/>
      </c>
      <c r="L72" s="894" t="n"/>
    </row>
    <row r="74" ht="15.6" customHeight="1">
      <c r="A74" s="707" t="inlineStr">
        <is>
          <t>BALANSEVENWICHT</t>
        </is>
      </c>
      <c r="B74" s="708">
        <f>B59</f>
        <v/>
      </c>
      <c r="C74" s="708">
        <f>C59</f>
        <v/>
      </c>
      <c r="D74" s="708">
        <f>D59</f>
        <v/>
      </c>
      <c r="E74" s="708">
        <f>E59</f>
        <v/>
      </c>
      <c r="F74" s="708">
        <f>F59</f>
        <v/>
      </c>
      <c r="G74" s="708">
        <f>G59</f>
        <v/>
      </c>
      <c r="H74" s="708">
        <f>H59</f>
        <v/>
      </c>
      <c r="I74" s="708">
        <f>I59</f>
        <v/>
      </c>
      <c r="J74" s="708">
        <f>J59</f>
        <v/>
      </c>
      <c r="K74" s="708">
        <f>K59</f>
        <v/>
      </c>
      <c r="L74" s="709" t="n"/>
    </row>
    <row r="75">
      <c r="A75" s="365" t="inlineStr">
        <is>
          <t>- netto bedrijfskapitaal</t>
        </is>
      </c>
      <c r="B75" s="895">
        <f>B38+B40+B42-B16-B18</f>
        <v/>
      </c>
      <c r="C75" s="895">
        <f>C38+C40+C42-C16-C18</f>
        <v/>
      </c>
      <c r="D75" s="895">
        <f>D38+D40+D42-D16-D18</f>
        <v/>
      </c>
      <c r="E75" s="895">
        <f>E38+E40+E42-E16-E18</f>
        <v/>
      </c>
      <c r="F75" s="895">
        <f>F38+F40+F42-F16-F18</f>
        <v/>
      </c>
      <c r="G75" s="895">
        <f>G38+G40+G42-G16-G18</f>
        <v/>
      </c>
      <c r="H75" s="895">
        <f>H38+H40+H42-H16-H18</f>
        <v/>
      </c>
      <c r="I75" s="895">
        <f>I38+I40+I42-I16-I18</f>
        <v/>
      </c>
      <c r="J75" s="895">
        <f>J38+J40+J42-J16-J18</f>
        <v/>
      </c>
      <c r="K75" s="895">
        <f>K38+K40+K42-K16-K18</f>
        <v/>
      </c>
      <c r="L75" s="367" t="n"/>
    </row>
    <row r="76">
      <c r="A76" s="368" t="inlineStr">
        <is>
          <t>- behoefte aan bedrijfskapitaal</t>
        </is>
      </c>
      <c r="B76" s="896">
        <f>B19+B20+B24-B49-B50-B51-B52-B53</f>
        <v/>
      </c>
      <c r="C76" s="896">
        <f>C19+C20+C24-C49-C50-C51-C52-C53</f>
        <v/>
      </c>
      <c r="D76" s="896">
        <f>D19+D20+D24-D49-D50-D51-D52-D53</f>
        <v/>
      </c>
      <c r="E76" s="896">
        <f>E19+E20+E24-E49-E50-E51-E52-E53</f>
        <v/>
      </c>
      <c r="F76" s="896">
        <f>F19+F20+F24-F49-F50-F51-F52-F53</f>
        <v/>
      </c>
      <c r="G76" s="896">
        <f>G19+G20+G24-G49-G50-G51-G52-G53</f>
        <v/>
      </c>
      <c r="H76" s="896">
        <f>H19+H20+H24-H49-H50-H51-H52-H53</f>
        <v/>
      </c>
      <c r="I76" s="896">
        <f>I19+I20+I24-I49-I50-I51-I52-I53</f>
        <v/>
      </c>
      <c r="J76" s="896">
        <f>J19+J20+J24-J49-J50-J51-J52-J53</f>
        <v/>
      </c>
      <c r="K76" s="896">
        <f>K19+K20+K24-K49-K50-K51-K52-K53</f>
        <v/>
      </c>
      <c r="L76" s="319" t="n"/>
    </row>
    <row r="77">
      <c r="A77" s="369" t="inlineStr">
        <is>
          <t>- netto thesaurie</t>
        </is>
      </c>
      <c r="B77" s="897">
        <f>B75-B76</f>
        <v/>
      </c>
      <c r="C77" s="897">
        <f>C75-C76</f>
        <v/>
      </c>
      <c r="D77" s="897">
        <f>D75-D76</f>
        <v/>
      </c>
      <c r="E77" s="897">
        <f>E75-E76</f>
        <v/>
      </c>
      <c r="F77" s="897">
        <f>F75-F76</f>
        <v/>
      </c>
      <c r="G77" s="897">
        <f>G75-G76</f>
        <v/>
      </c>
      <c r="H77" s="897">
        <f>H75-H76</f>
        <v/>
      </c>
      <c r="I77" s="897">
        <f>I75-I76</f>
        <v/>
      </c>
      <c r="J77" s="897">
        <f>J75-J76</f>
        <v/>
      </c>
      <c r="K77" s="897">
        <f>K75-K76</f>
        <v/>
      </c>
      <c r="L77" s="371" t="n"/>
    </row>
    <row r="78">
      <c r="H78" s="347" t="n"/>
      <c r="I78" s="347" t="n"/>
      <c r="J78" s="347" t="n"/>
      <c r="K78" s="347" t="n"/>
      <c r="L78" s="347" t="n"/>
    </row>
    <row r="79" ht="15.6" customHeight="1">
      <c r="A79" s="710" t="inlineStr">
        <is>
          <t>VERMOGENSSTROOMANALYSE</t>
        </is>
      </c>
      <c r="B79" s="701">
        <f>B74</f>
        <v/>
      </c>
      <c r="C79" s="701">
        <f>C74</f>
        <v/>
      </c>
      <c r="D79" s="701">
        <f>D74</f>
        <v/>
      </c>
      <c r="E79" s="701">
        <f>E74</f>
        <v/>
      </c>
      <c r="F79" s="701">
        <f>F74</f>
        <v/>
      </c>
      <c r="G79" s="701">
        <f>G74</f>
        <v/>
      </c>
      <c r="H79" s="701">
        <f>H74</f>
        <v/>
      </c>
      <c r="I79" s="701">
        <f>I74</f>
        <v/>
      </c>
      <c r="J79" s="701">
        <f>J74</f>
        <v/>
      </c>
      <c r="K79" s="701">
        <f>K74</f>
        <v/>
      </c>
      <c r="L79" s="702" t="n"/>
    </row>
    <row r="80">
      <c r="A80" s="372" t="inlineStr">
        <is>
          <t>Liquide middelen bij aanvang</t>
        </is>
      </c>
      <c r="B80" s="373" t="n"/>
      <c r="C80" s="373" t="n"/>
      <c r="D80" s="373" t="n"/>
      <c r="E80" s="373" t="n"/>
      <c r="F80" s="373" t="n"/>
      <c r="G80" s="373" t="n"/>
      <c r="H80" s="373" t="n"/>
      <c r="I80" s="373" t="n"/>
      <c r="J80" s="373" t="n"/>
      <c r="K80" s="373" t="n"/>
      <c r="L80" s="374" t="n"/>
    </row>
    <row r="81">
      <c r="A81" s="375" t="inlineStr">
        <is>
          <t>Resultaat na belastingen</t>
        </is>
      </c>
      <c r="B81" s="898">
        <f>Resultaten!B48</f>
        <v/>
      </c>
      <c r="C81" s="898">
        <f>Resultaten!C48</f>
        <v/>
      </c>
      <c r="D81" s="898">
        <f>Resultaten!D48</f>
        <v/>
      </c>
      <c r="E81" s="898">
        <f>Resultaten!E48</f>
        <v/>
      </c>
      <c r="F81" s="898">
        <f>Resultaten!F48</f>
        <v/>
      </c>
      <c r="G81" s="898">
        <f>Resultaten!G48</f>
        <v/>
      </c>
      <c r="H81" s="898">
        <f>Resultaten!H48</f>
        <v/>
      </c>
      <c r="I81" s="898">
        <f>Resultaten!I48</f>
        <v/>
      </c>
      <c r="J81" s="898">
        <f>Resultaten!J48</f>
        <v/>
      </c>
      <c r="K81" s="898">
        <f>Resultaten!K48</f>
        <v/>
      </c>
      <c r="L81" s="322" t="n"/>
    </row>
    <row r="82">
      <c r="A82" s="376" t="inlineStr">
        <is>
          <t>Afschrijvingen, waardeverminderingen, ..</t>
        </is>
      </c>
      <c r="B82" s="898">
        <f>Resultaten!B29+Resultaten!B35-Resultaten!B42</f>
        <v/>
      </c>
      <c r="C82" s="898">
        <f>Resultaten!C29+Resultaten!C35-Resultaten!C42</f>
        <v/>
      </c>
      <c r="D82" s="898">
        <f>Resultaten!D29+Resultaten!D35-Resultaten!D42</f>
        <v/>
      </c>
      <c r="E82" s="898">
        <f>Resultaten!E29+Resultaten!E35-Resultaten!E42</f>
        <v/>
      </c>
      <c r="F82" s="898">
        <f>Resultaten!F29+Resultaten!F35-Resultaten!F42</f>
        <v/>
      </c>
      <c r="G82" s="898">
        <f>Resultaten!G29+Resultaten!G35-Resultaten!G42</f>
        <v/>
      </c>
      <c r="H82" s="898">
        <f>Resultaten!H29+Resultaten!H35-Resultaten!H42</f>
        <v/>
      </c>
      <c r="I82" s="898">
        <f>Resultaten!I29+Resultaten!I35-Resultaten!I42</f>
        <v/>
      </c>
      <c r="J82" s="898">
        <f>Resultaten!J29+Resultaten!J35-Resultaten!J42</f>
        <v/>
      </c>
      <c r="K82" s="898">
        <f>Resultaten!K29+Resultaten!K35-Resultaten!K42</f>
        <v/>
      </c>
      <c r="L82" s="322" t="n"/>
    </row>
    <row r="83" customFormat="1" s="377">
      <c r="A83" s="376" t="inlineStr">
        <is>
          <t>Mutatie behoefte BK (exc. waardevermind voorraden, debit)</t>
        </is>
      </c>
      <c r="B83" s="898" t="n"/>
      <c r="C83" s="898" t="n"/>
      <c r="D83" s="898" t="n"/>
      <c r="E83" s="898" t="n"/>
      <c r="F83" s="898" t="n"/>
      <c r="G83" s="898" t="n"/>
      <c r="H83" s="898" t="n"/>
      <c r="I83" s="898" t="n"/>
      <c r="J83" s="898" t="n"/>
      <c r="K83" s="898" t="n"/>
      <c r="L83" s="322" t="n"/>
    </row>
    <row r="84" customFormat="1" s="377">
      <c r="A84" s="375" t="inlineStr">
        <is>
          <t>Netto investeringen</t>
        </is>
      </c>
      <c r="B84" s="898">
        <f>-(Historiek!B370+Historiek!B371)/1000</f>
        <v/>
      </c>
      <c r="C84" s="898">
        <f>-(Historiek!C370+Historiek!C371)/1000</f>
        <v/>
      </c>
      <c r="D84" s="898">
        <f>-(Historiek!D370+Historiek!D371)/1000</f>
        <v/>
      </c>
      <c r="E84" s="898">
        <f>-(Historiek!E370+Historiek!E371)/1000</f>
        <v/>
      </c>
      <c r="F84" s="898">
        <f>-(Historiek!F370+Historiek!F371)/1000</f>
        <v/>
      </c>
      <c r="G84" s="898">
        <f>-(Historiek!G370+Historiek!G371)/1000</f>
        <v/>
      </c>
      <c r="H84" s="898">
        <f>-(Historiek!H370+Historiek!H371)/1000</f>
        <v/>
      </c>
      <c r="I84" s="898">
        <f>-(Historiek!I370+Historiek!I371)/1000</f>
        <v/>
      </c>
      <c r="J84" s="898">
        <f>-(Historiek!J370+Historiek!J371)/1000</f>
        <v/>
      </c>
      <c r="K84" s="898">
        <f>-(Historiek!K370+Historiek!K371)/1000</f>
        <v/>
      </c>
      <c r="L84" s="322" t="n"/>
    </row>
    <row r="85" ht="13.8" customFormat="1" customHeight="1" s="378">
      <c r="A85" s="375" t="inlineStr">
        <is>
          <t>Kapitaalvolstorting</t>
        </is>
      </c>
      <c r="B85" s="898" t="n">
        <v>0</v>
      </c>
      <c r="C85" s="898" t="n">
        <v>0</v>
      </c>
      <c r="D85" s="898" t="n">
        <v>0</v>
      </c>
      <c r="E85" s="898" t="n">
        <v>0</v>
      </c>
      <c r="F85" s="898" t="n">
        <v>0</v>
      </c>
      <c r="G85" s="898" t="n">
        <v>0</v>
      </c>
      <c r="H85" s="898" t="n">
        <v>0</v>
      </c>
      <c r="I85" s="898" t="n">
        <v>0</v>
      </c>
      <c r="J85" s="898" t="n">
        <v>0</v>
      </c>
      <c r="K85" s="898" t="n">
        <v>0</v>
      </c>
      <c r="L85" s="322" t="n"/>
    </row>
    <row r="86" ht="13.8" customFormat="1" customHeight="1" s="378">
      <c r="A86" s="375" t="inlineStr">
        <is>
          <t>Opname nieuwe LT bankfinancieringen</t>
        </is>
      </c>
      <c r="B86" s="898">
        <f>Historiek!B359/1000</f>
        <v/>
      </c>
      <c r="C86" s="898">
        <f>Historiek!C359/1000</f>
        <v/>
      </c>
      <c r="D86" s="898">
        <f>Historiek!D359/1000</f>
        <v/>
      </c>
      <c r="E86" s="898">
        <f>Historiek!E359/1000</f>
        <v/>
      </c>
      <c r="F86" s="898">
        <f>Historiek!F359/1000</f>
        <v/>
      </c>
      <c r="G86" s="898">
        <f>Historiek!G359/1000</f>
        <v/>
      </c>
      <c r="H86" s="898">
        <f>Historiek!H359/1000</f>
        <v/>
      </c>
      <c r="I86" s="898">
        <f>Historiek!I359/1000</f>
        <v/>
      </c>
      <c r="J86" s="898">
        <f>Historiek!J359/1000</f>
        <v/>
      </c>
      <c r="K86" s="898">
        <f>Historiek!K359/1000</f>
        <v/>
      </c>
      <c r="L86" s="322" t="n"/>
    </row>
    <row r="87" customFormat="1" s="379">
      <c r="A87" s="375" t="inlineStr">
        <is>
          <t>Wijziging in LT financieringen</t>
        </is>
      </c>
      <c r="B87" s="898">
        <f>-Historiek!B373/1000</f>
        <v/>
      </c>
      <c r="C87" s="898">
        <f>-Historiek!C373/1000</f>
        <v/>
      </c>
      <c r="D87" s="898">
        <f>-Historiek!D373/1000</f>
        <v/>
      </c>
      <c r="E87" s="898">
        <f>-Historiek!E373/1000</f>
        <v/>
      </c>
      <c r="F87" s="898">
        <f>-Historiek!F373/1000</f>
        <v/>
      </c>
      <c r="G87" s="898">
        <f>-Historiek!G373/1000</f>
        <v/>
      </c>
      <c r="H87" s="898">
        <f>-Historiek!H373/1000</f>
        <v/>
      </c>
      <c r="I87" s="898">
        <f>-Historiek!I373/1000</f>
        <v/>
      </c>
      <c r="J87" s="898">
        <f>-Historiek!J373/1000</f>
        <v/>
      </c>
      <c r="K87" s="898">
        <f>-Historiek!K373/1000</f>
        <v/>
      </c>
      <c r="L87" s="322" t="n"/>
    </row>
    <row r="88">
      <c r="A88" s="376" t="inlineStr">
        <is>
          <t>Wijziging in korte termijn financiering (incl &lt; 1 jr)</t>
        </is>
      </c>
      <c r="B88" s="898">
        <f>B48+B47</f>
        <v/>
      </c>
      <c r="C88" s="898">
        <f>C48+C47</f>
        <v/>
      </c>
      <c r="D88" s="898">
        <f>D48+D47</f>
        <v/>
      </c>
      <c r="E88" s="898">
        <f>E48+E47</f>
        <v/>
      </c>
      <c r="F88" s="898">
        <f>F48+F47</f>
        <v/>
      </c>
      <c r="G88" s="898">
        <f>G48+G47</f>
        <v/>
      </c>
      <c r="H88" s="898">
        <f>H48+H47</f>
        <v/>
      </c>
      <c r="I88" s="898">
        <f>I48+I47</f>
        <v/>
      </c>
      <c r="J88" s="898">
        <f>J48+J47</f>
        <v/>
      </c>
      <c r="K88" s="898">
        <f>K48+K47</f>
        <v/>
      </c>
      <c r="L88" s="322" t="n"/>
    </row>
    <row r="89">
      <c r="A89" s="376" t="inlineStr">
        <is>
          <t>Diversen (dividenden, subsidies, uitgestelde bel, LT vorder,..)</t>
        </is>
      </c>
      <c r="B89" s="898">
        <f>B90-B80-B81-B82-B83-B84-B85-B86-B87-B88</f>
        <v/>
      </c>
      <c r="C89" s="898">
        <f>C90-C80-C81-C82-C83-C84-C85-C86-C87-C88</f>
        <v/>
      </c>
      <c r="D89" s="898">
        <f>D90-D80-D81-D82-D83-D84-D85-D86-D87-D88</f>
        <v/>
      </c>
      <c r="E89" s="898">
        <f>E90-E80-E81-E82-E83-E84-E85-E86-E87-E88</f>
        <v/>
      </c>
      <c r="F89" s="898">
        <f>F90-F80-F81-F82-F83-F84-F85-F86-F87-F88</f>
        <v/>
      </c>
      <c r="G89" s="898">
        <f>G90-G80-G81-G82-G83-G84-G85-G86-G87-G88</f>
        <v/>
      </c>
      <c r="H89" s="898">
        <f>H90-H80-H81-H82-H83-H84-H85-H86-H87-H88</f>
        <v/>
      </c>
      <c r="I89" s="898">
        <f>I90-I80-I81-I82-I83-I84-I85-I86-I87-I88</f>
        <v/>
      </c>
      <c r="J89" s="898">
        <f>J90-J80-J81-J82-J83-J84-J85-J86-J87-J88</f>
        <v/>
      </c>
      <c r="K89" s="898">
        <f>K90-K80-K81-K82-K83-K84-K85-K86-K87-K88</f>
        <v/>
      </c>
      <c r="L89" s="380">
        <f>L90-L80-L81-L82-L83-L84-L85-L86-L87-L88</f>
        <v/>
      </c>
    </row>
    <row r="90">
      <c r="A90" s="372" t="inlineStr">
        <is>
          <t>Liquide middelen bij afsluiting</t>
        </is>
      </c>
      <c r="B90" s="899">
        <f>B23</f>
        <v/>
      </c>
      <c r="C90" s="899">
        <f>C23</f>
        <v/>
      </c>
      <c r="D90" s="899">
        <f>D23</f>
        <v/>
      </c>
      <c r="E90" s="899">
        <f>E23</f>
        <v/>
      </c>
      <c r="F90" s="899">
        <f>F23</f>
        <v/>
      </c>
      <c r="G90" s="899">
        <f>G23</f>
        <v/>
      </c>
      <c r="H90" s="899">
        <f>H23</f>
        <v/>
      </c>
      <c r="I90" s="899">
        <f>I23</f>
        <v/>
      </c>
      <c r="J90" s="899">
        <f>J23</f>
        <v/>
      </c>
      <c r="K90" s="899">
        <f>K23</f>
        <v/>
      </c>
      <c r="L90" s="374" t="n"/>
    </row>
    <row r="91">
      <c r="A91" s="352" t="n"/>
      <c r="B91" s="347" t="n"/>
      <c r="C91" s="347" t="n"/>
      <c r="D91" s="347" t="n"/>
      <c r="E91" s="347" t="n"/>
      <c r="F91" s="347" t="n"/>
      <c r="G91" s="347" t="n"/>
    </row>
  </sheetData>
  <mergeCells count="1">
    <mergeCell ref="B1:L1"/>
  </mergeCells>
  <pageMargins left="0.6" right="0.3543307086614174" top="0.8" bottom="0.78" header="0.5118110236220472" footer="0.44"/>
  <pageSetup orientation="portrait" paperSize="9" scale="70" horizontalDpi="300" verticalDpi="300"/>
  <headerFooter alignWithMargins="0">
    <oddHeader/>
    <oddFooter>&amp;LSES - &amp;D&amp;C&amp;F&amp;R&amp;A - &amp;P</oddFooter>
    <evenHeader/>
    <evenFooter/>
    <firstHeader/>
    <firstFooter/>
  </headerFooter>
  <rowBreaks count="1" manualBreakCount="1">
    <brk id="77" min="0" max="16383" man="1"/>
  </rowBreaks>
</worksheet>
</file>

<file path=xl/worksheets/sheet6.xml><?xml version="1.0" encoding="utf-8"?>
<worksheet xmlns="http://schemas.openxmlformats.org/spreadsheetml/2006/main">
  <sheetPr>
    <tabColor theme="4" tint="0.5999938962981048"/>
    <outlinePr summaryBelow="1" summaryRight="1"/>
    <pageSetUpPr fitToPage="1"/>
  </sheetPr>
  <dimension ref="A1:Q57"/>
  <sheetViews>
    <sheetView showGridLines="0" zoomScaleNormal="100" zoomScaleSheetLayoutView="100" workbookViewId="0">
      <selection activeCell="N16" sqref="N16"/>
    </sheetView>
  </sheetViews>
  <sheetFormatPr baseColWidth="8" defaultColWidth="9.109375" defaultRowHeight="13.2"/>
  <cols>
    <col width="34" customWidth="1" style="141" min="1" max="1"/>
    <col outlineLevel="1" width="12" customWidth="1" style="141" min="2" max="3"/>
    <col width="12" customWidth="1" style="141" min="4" max="6"/>
    <col outlineLevel="1" width="12" customWidth="1" style="141" min="7" max="11"/>
    <col width="0.88671875" customWidth="1" style="141" min="12" max="12"/>
    <col width="9.109375" customWidth="1" style="141" min="13" max="13"/>
    <col width="10.88671875" customWidth="1" style="141" min="14" max="14"/>
    <col width="9.109375" customWidth="1" style="141" min="15" max="20"/>
    <col width="10.88671875" bestFit="1" customWidth="1" style="141" min="21" max="21"/>
    <col width="9.109375" customWidth="1" style="141" min="22" max="16384"/>
  </cols>
  <sheetData>
    <row r="1" ht="27" customHeight="1" thickBot="1" thickTop="1">
      <c r="A1" s="699">
        <f>+Historiek!A2</f>
        <v/>
      </c>
      <c r="B1" s="726" t="n"/>
      <c r="C1" s="814" t="inlineStr">
        <is>
          <t>OVERZICHT  RESULTATEN</t>
        </is>
      </c>
      <c r="D1" s="888" t="n"/>
      <c r="E1" s="888" t="n"/>
      <c r="F1" s="888" t="n"/>
      <c r="G1" s="888" t="n"/>
      <c r="H1" s="888" t="n"/>
      <c r="I1" s="888" t="n"/>
      <c r="J1" s="888" t="n"/>
      <c r="K1" s="888" t="n"/>
      <c r="L1" s="727" t="n"/>
    </row>
    <row r="2" ht="13.8" customHeight="1" thickTop="1"/>
    <row r="3">
      <c r="J3" s="382" t="n"/>
      <c r="K3" s="382" t="n"/>
    </row>
    <row r="4" ht="15.6" customFormat="1" customHeight="1" s="383">
      <c r="A4" s="711" t="inlineStr">
        <is>
          <t>Cijfers in k€</t>
        </is>
      </c>
      <c r="B4" s="701">
        <f>Historiek!B7</f>
        <v/>
      </c>
      <c r="C4" s="701">
        <f>Historiek!C7</f>
        <v/>
      </c>
      <c r="D4" s="701">
        <f>Historiek!D7</f>
        <v/>
      </c>
      <c r="E4" s="701">
        <f>Historiek!E7</f>
        <v/>
      </c>
      <c r="F4" s="701">
        <f>Historiek!F7</f>
        <v/>
      </c>
      <c r="G4" s="701">
        <f>Historiek!G7</f>
        <v/>
      </c>
      <c r="H4" s="701">
        <f>Historiek!H7</f>
        <v/>
      </c>
      <c r="I4" s="701">
        <f>Historiek!I7</f>
        <v/>
      </c>
      <c r="J4" s="701">
        <f>Historiek!J7</f>
        <v/>
      </c>
      <c r="K4" s="701">
        <f>Historiek!K7</f>
        <v/>
      </c>
      <c r="L4" s="702" t="n"/>
    </row>
    <row r="5" ht="10.5" customFormat="1" customHeight="1" s="384">
      <c r="A5" s="712" t="inlineStr">
        <is>
          <t>boekjaar : aantal maanden</t>
        </is>
      </c>
      <c r="B5" s="713">
        <f>Historiek!B9</f>
        <v/>
      </c>
      <c r="C5" s="713">
        <f>Historiek!C9</f>
        <v/>
      </c>
      <c r="D5" s="713">
        <f>Historiek!D9</f>
        <v/>
      </c>
      <c r="E5" s="713">
        <f>Historiek!E9</f>
        <v/>
      </c>
      <c r="F5" s="713">
        <f>Historiek!F9</f>
        <v/>
      </c>
      <c r="G5" s="713">
        <f>Historiek!G9</f>
        <v/>
      </c>
      <c r="H5" s="713">
        <f>Historiek!H9</f>
        <v/>
      </c>
      <c r="I5" s="713">
        <f>Historiek!I9</f>
        <v/>
      </c>
      <c r="J5" s="713">
        <f>Historiek!J9</f>
        <v/>
      </c>
      <c r="K5" s="713">
        <f>Historiek!K9</f>
        <v/>
      </c>
      <c r="L5" s="714" t="n"/>
    </row>
    <row r="6">
      <c r="A6" s="385" t="n"/>
      <c r="B6" s="386" t="n"/>
      <c r="C6" s="386" t="n"/>
      <c r="D6" s="386" t="n"/>
      <c r="E6" s="386" t="n"/>
      <c r="F6" s="386" t="n"/>
      <c r="G6" s="386" t="n"/>
      <c r="H6" s="386" t="n"/>
      <c r="I6" s="386" t="n"/>
      <c r="J6" s="386" t="n"/>
      <c r="K6" s="386" t="n"/>
      <c r="L6" s="317" t="n"/>
    </row>
    <row r="7" customFormat="1" s="352">
      <c r="A7" s="346" t="inlineStr">
        <is>
          <t>OMZET</t>
        </is>
      </c>
      <c r="B7" s="347">
        <f>Historiek!B148/1000</f>
        <v/>
      </c>
      <c r="C7" s="347">
        <f>Historiek!C148/1000</f>
        <v/>
      </c>
      <c r="D7" s="347">
        <f>Historiek!D148/1000</f>
        <v/>
      </c>
      <c r="E7" s="347">
        <f>Historiek!E148/1000</f>
        <v/>
      </c>
      <c r="F7" s="347">
        <f>Historiek!F148/1000</f>
        <v/>
      </c>
      <c r="G7" s="347">
        <f>Historiek!G148/1000</f>
        <v/>
      </c>
      <c r="H7" s="347">
        <f>Historiek!H148/1000</f>
        <v/>
      </c>
      <c r="I7" s="347">
        <f>Historiek!I148/1000</f>
        <v/>
      </c>
      <c r="J7" s="347">
        <f>Historiek!J148/1000</f>
        <v/>
      </c>
      <c r="K7" s="347">
        <f>Historiek!K148/1000</f>
        <v/>
      </c>
      <c r="L7" s="318" t="n"/>
    </row>
    <row r="8" ht="14.4" customFormat="1" customHeight="1" s="352">
      <c r="A8" s="387" t="inlineStr">
        <is>
          <t>+ Voorraadwijz gereed product</t>
        </is>
      </c>
      <c r="B8" s="379">
        <f>Historiek!B149/1000</f>
        <v/>
      </c>
      <c r="C8" s="379">
        <f>Historiek!C149/1000</f>
        <v/>
      </c>
      <c r="D8" s="379">
        <f>Historiek!D149/1000</f>
        <v/>
      </c>
      <c r="E8" s="379">
        <f>Historiek!E149/1000</f>
        <v/>
      </c>
      <c r="F8" s="379">
        <f>Historiek!F149/1000</f>
        <v/>
      </c>
      <c r="G8" s="379">
        <f>Historiek!G149/1000</f>
        <v/>
      </c>
      <c r="H8" s="379">
        <f>Historiek!H149/1000</f>
        <v/>
      </c>
      <c r="I8" s="379">
        <f>Historiek!I149/1000</f>
        <v/>
      </c>
      <c r="J8" s="379">
        <f>Historiek!J149/1000</f>
        <v/>
      </c>
      <c r="K8" s="379">
        <f>Historiek!K149/1000</f>
        <v/>
      </c>
      <c r="L8" s="318" t="n"/>
      <c r="Q8" s="900" t="n"/>
    </row>
    <row r="9" ht="14.4" customHeight="1">
      <c r="A9" s="387" t="inlineStr">
        <is>
          <t>-Aankopen</t>
        </is>
      </c>
      <c r="B9" s="379">
        <f>Historiek!B156/1000</f>
        <v/>
      </c>
      <c r="C9" s="379">
        <f>Historiek!C156/1000</f>
        <v/>
      </c>
      <c r="D9" s="379">
        <f>Historiek!D156/1000</f>
        <v/>
      </c>
      <c r="E9" s="379">
        <f>Historiek!E156/1000</f>
        <v/>
      </c>
      <c r="F9" s="379">
        <f>Historiek!F156/1000</f>
        <v/>
      </c>
      <c r="G9" s="379">
        <f>Historiek!G156/1000</f>
        <v/>
      </c>
      <c r="H9" s="379">
        <f>Historiek!H156/1000</f>
        <v/>
      </c>
      <c r="I9" s="379">
        <f>Historiek!I156/1000</f>
        <v/>
      </c>
      <c r="J9" s="379">
        <f>Historiek!J156/1000</f>
        <v/>
      </c>
      <c r="K9" s="379">
        <f>Historiek!K156/1000</f>
        <v/>
      </c>
      <c r="L9" s="319" t="n"/>
      <c r="Q9" s="900" t="n"/>
    </row>
    <row r="10">
      <c r="A10" s="387" t="n"/>
      <c r="B10" s="347" t="n"/>
      <c r="C10" s="347" t="n"/>
      <c r="D10" s="347" t="n"/>
      <c r="E10" s="390" t="n"/>
      <c r="F10" s="390" t="n"/>
      <c r="G10" s="347" t="n"/>
      <c r="H10" s="347" t="n"/>
      <c r="I10" s="347" t="n"/>
      <c r="J10" s="347" t="n"/>
      <c r="K10" s="347" t="n"/>
      <c r="L10" s="318" t="n"/>
      <c r="Q10" s="901" t="n"/>
    </row>
    <row r="11">
      <c r="A11" s="715" t="inlineStr">
        <is>
          <t>= Bruto winstmarge</t>
        </is>
      </c>
      <c r="B11" s="716">
        <f>B7-B9+B8</f>
        <v/>
      </c>
      <c r="C11" s="716">
        <f>C7-C9+C8</f>
        <v/>
      </c>
      <c r="D11" s="716">
        <f>D7-D9+D8</f>
        <v/>
      </c>
      <c r="E11" s="716">
        <f>E7-E9+E8</f>
        <v/>
      </c>
      <c r="F11" s="716">
        <f>F7-F9+F8</f>
        <v/>
      </c>
      <c r="G11" s="716">
        <f>G7-G9+G8</f>
        <v/>
      </c>
      <c r="H11" s="716">
        <f>H7-H9+H8</f>
        <v/>
      </c>
      <c r="I11" s="716">
        <f>I7-I9+I8</f>
        <v/>
      </c>
      <c r="J11" s="716">
        <f>J7-J9+J8</f>
        <v/>
      </c>
      <c r="K11" s="716">
        <f>K7-K9+K8</f>
        <v/>
      </c>
      <c r="L11" s="717" t="n"/>
    </row>
    <row r="12">
      <c r="A12" s="718" t="inlineStr">
        <is>
          <t>(in % vd omzet)</t>
        </is>
      </c>
      <c r="B12" s="719">
        <f>IF(B7=0,0,B11/B7)</f>
        <v/>
      </c>
      <c r="C12" s="719">
        <f>IF(C7=0,0,C11/C7)</f>
        <v/>
      </c>
      <c r="D12" s="719">
        <f>IF(D7=0,0,D11/D7)</f>
        <v/>
      </c>
      <c r="E12" s="719">
        <f>IF(E7=0,0,E11/E7)</f>
        <v/>
      </c>
      <c r="F12" s="719">
        <f>IF(F7=0,0,F11/F7)</f>
        <v/>
      </c>
      <c r="G12" s="719">
        <f>IF(G7=0,0,G11/G7)</f>
        <v/>
      </c>
      <c r="H12" s="719">
        <f>IF(H7=0,0,H11/H7)</f>
        <v/>
      </c>
      <c r="I12" s="719">
        <f>IF(I7=0,0,I11/I7)</f>
        <v/>
      </c>
      <c r="J12" s="719">
        <f>IF(J7=0,0,J11/J7)</f>
        <v/>
      </c>
      <c r="K12" s="719">
        <f>IF(K7=0,0,K11/K7)</f>
        <v/>
      </c>
      <c r="L12" s="720" t="n"/>
    </row>
    <row r="13" ht="12.75" customHeight="1">
      <c r="A13" s="348" t="n"/>
      <c r="B13" s="347" t="n"/>
      <c r="C13" s="347" t="n"/>
      <c r="D13" s="347" t="n"/>
      <c r="E13" s="390" t="n"/>
      <c r="F13" s="390" t="n"/>
      <c r="G13" s="347" t="n"/>
      <c r="H13" s="347" t="n"/>
      <c r="I13" s="347" t="n"/>
      <c r="J13" s="347" t="n"/>
      <c r="K13" s="347" t="n"/>
      <c r="L13" s="318" t="n"/>
    </row>
    <row r="14">
      <c r="A14" s="387" t="inlineStr">
        <is>
          <t>-Diensten en diverse goederen</t>
        </is>
      </c>
      <c r="B14" s="339">
        <f>Historiek!B159/1000</f>
        <v/>
      </c>
      <c r="C14" s="339">
        <f>Historiek!C159/1000</f>
        <v/>
      </c>
      <c r="D14" s="339">
        <f>Historiek!D159/1000</f>
        <v/>
      </c>
      <c r="E14" s="379">
        <f>Historiek!E159/1000</f>
        <v/>
      </c>
      <c r="F14" s="379">
        <f>Historiek!F159/1000</f>
        <v/>
      </c>
      <c r="G14" s="339">
        <f>Historiek!G159/1000</f>
        <v/>
      </c>
      <c r="H14" s="339">
        <f>Historiek!H159/1000</f>
        <v/>
      </c>
      <c r="I14" s="339">
        <f>Historiek!I159/1000</f>
        <v/>
      </c>
      <c r="J14" s="339">
        <f>Historiek!J159/1000</f>
        <v/>
      </c>
      <c r="K14" s="339">
        <f>Historiek!K159/1000</f>
        <v/>
      </c>
      <c r="L14" s="322" t="n"/>
    </row>
    <row r="15">
      <c r="A15" s="391" t="inlineStr">
        <is>
          <t>+ Geproduceerde vaste activa</t>
        </is>
      </c>
      <c r="B15" s="339">
        <f>Historiek!B150/1000</f>
        <v/>
      </c>
      <c r="C15" s="339">
        <f>Historiek!C150/1000</f>
        <v/>
      </c>
      <c r="D15" s="339">
        <f>Historiek!D150/1000</f>
        <v/>
      </c>
      <c r="E15" s="379">
        <f>Historiek!E150/1000</f>
        <v/>
      </c>
      <c r="F15" s="379">
        <f>Historiek!F150/1000</f>
        <v/>
      </c>
      <c r="G15" s="339">
        <f>Historiek!G150/1000</f>
        <v/>
      </c>
      <c r="H15" s="339">
        <f>Historiek!H150/1000</f>
        <v/>
      </c>
      <c r="I15" s="379">
        <f>Historiek!I150/1000</f>
        <v/>
      </c>
      <c r="J15" s="379">
        <f>Historiek!J150/1000</f>
        <v/>
      </c>
      <c r="K15" s="379">
        <f>Historiek!K150/1000</f>
        <v/>
      </c>
      <c r="L15" s="322" t="n"/>
    </row>
    <row r="16">
      <c r="A16" s="391" t="inlineStr">
        <is>
          <t>+ Andere bedrijfsopbrengsten</t>
        </is>
      </c>
      <c r="B16" s="339">
        <f>Historiek!B151/1000</f>
        <v/>
      </c>
      <c r="C16" s="339">
        <f>Historiek!C151/1000</f>
        <v/>
      </c>
      <c r="D16" s="339">
        <f>Historiek!D151/1000</f>
        <v/>
      </c>
      <c r="E16" s="379">
        <f>Historiek!E151/1000</f>
        <v/>
      </c>
      <c r="F16" s="379">
        <f>Historiek!F151/1000</f>
        <v/>
      </c>
      <c r="G16" s="339">
        <f>Historiek!G151/1000</f>
        <v/>
      </c>
      <c r="H16" s="339">
        <f>Historiek!H151/1000</f>
        <v/>
      </c>
      <c r="I16" s="339">
        <f>Historiek!I151/1000</f>
        <v/>
      </c>
      <c r="J16" s="339">
        <f>Historiek!J151/1000</f>
        <v/>
      </c>
      <c r="K16" s="339">
        <f>Historiek!K151/1000</f>
        <v/>
      </c>
      <c r="L16" s="322" t="n"/>
    </row>
    <row r="17">
      <c r="A17" s="348" t="n"/>
      <c r="B17" s="339" t="n"/>
      <c r="C17" s="339" t="n"/>
      <c r="D17" s="339" t="n"/>
      <c r="E17" s="339" t="n"/>
      <c r="F17" s="339" t="n"/>
      <c r="G17" s="339" t="n"/>
      <c r="H17" s="339" t="n"/>
      <c r="I17" s="339" t="n"/>
      <c r="J17" s="339" t="n"/>
      <c r="K17" s="339" t="n"/>
      <c r="L17" s="322" t="n"/>
    </row>
    <row r="18">
      <c r="A18" s="715" t="inlineStr">
        <is>
          <t>= Toegevoegde waarde (TW)</t>
        </is>
      </c>
      <c r="B18" s="716">
        <f>B11-B14+B15+B16</f>
        <v/>
      </c>
      <c r="C18" s="716">
        <f>C11-C14+C15+C16</f>
        <v/>
      </c>
      <c r="D18" s="716">
        <f>D11-D14+D15+D16</f>
        <v/>
      </c>
      <c r="E18" s="716">
        <f>E11-E14+E15+E16</f>
        <v/>
      </c>
      <c r="F18" s="716">
        <f>F11-F14+F15+F16</f>
        <v/>
      </c>
      <c r="G18" s="716">
        <f>G11-G14+G15+G16</f>
        <v/>
      </c>
      <c r="H18" s="716">
        <f>H11-H14+H15+H16</f>
        <v/>
      </c>
      <c r="I18" s="716">
        <f>I11-I14+I15+I16</f>
        <v/>
      </c>
      <c r="J18" s="716">
        <f>J11-J14+J15+J16</f>
        <v/>
      </c>
      <c r="K18" s="716">
        <f>K11-K14+K15+K16</f>
        <v/>
      </c>
      <c r="L18" s="717" t="n"/>
    </row>
    <row r="19">
      <c r="A19" s="721" t="inlineStr">
        <is>
          <t>(in % vd bedrijfsopbrengsten)</t>
        </is>
      </c>
      <c r="B19" s="719">
        <f>IF(B7+B16=0,0,B18/(B7+B16))</f>
        <v/>
      </c>
      <c r="C19" s="719">
        <f>IF(C7+C16=0,0,C18/(C7+C16))</f>
        <v/>
      </c>
      <c r="D19" s="719">
        <f>IF(D7+D16=0,0,D18/(D7+D16))</f>
        <v/>
      </c>
      <c r="E19" s="719">
        <f>IF(E7+E16=0,0,E18/(E7+E16))</f>
        <v/>
      </c>
      <c r="F19" s="719">
        <f>IF(F7+F16=0,0,F18/(F7+F16))</f>
        <v/>
      </c>
      <c r="G19" s="719">
        <f>IF(G7+G16=0,0,G18/(G7+G16))</f>
        <v/>
      </c>
      <c r="H19" s="719">
        <f>IF(H7+H16=0,0,H18/(H7+H16))</f>
        <v/>
      </c>
      <c r="I19" s="719">
        <f>IF(I7+I16=0,0,I18/(I7+I16))</f>
        <v/>
      </c>
      <c r="J19" s="719">
        <f>IF(J7+J16=0,0,J18/(J7+J16))</f>
        <v/>
      </c>
      <c r="K19" s="719">
        <f>IF(K7+K16=0,0,K18/(K7+K16))</f>
        <v/>
      </c>
      <c r="L19" s="720" t="n"/>
    </row>
    <row r="20">
      <c r="A20" s="345" t="n"/>
      <c r="L20" s="323" t="n"/>
    </row>
    <row r="21">
      <c r="A21" s="391" t="inlineStr">
        <is>
          <t>- Personeelskosten</t>
        </is>
      </c>
      <c r="B21" s="339">
        <f>Historiek!B160/1000</f>
        <v/>
      </c>
      <c r="C21" s="339">
        <f>Historiek!C160/1000</f>
        <v/>
      </c>
      <c r="D21" s="339">
        <f>Historiek!D160/1000</f>
        <v/>
      </c>
      <c r="E21" s="339">
        <f>Historiek!E160/1000</f>
        <v/>
      </c>
      <c r="F21" s="339">
        <f>Historiek!F160/1000</f>
        <v/>
      </c>
      <c r="G21" s="339">
        <f>Historiek!G160/1000</f>
        <v/>
      </c>
      <c r="H21" s="339">
        <f>Historiek!H160/1000</f>
        <v/>
      </c>
      <c r="I21" s="339">
        <f>Historiek!I160/1000</f>
        <v/>
      </c>
      <c r="J21" s="339">
        <f>Historiek!J160/1000</f>
        <v/>
      </c>
      <c r="K21" s="339">
        <f>Historiek!K160/1000</f>
        <v/>
      </c>
      <c r="L21" s="322" t="n"/>
    </row>
    <row r="22">
      <c r="A22" s="391" t="inlineStr">
        <is>
          <t>- Andere bedrijfskosten</t>
        </is>
      </c>
      <c r="B22" s="339">
        <f>Historiek!B164/1000</f>
        <v/>
      </c>
      <c r="C22" s="339">
        <f>Historiek!C164/1000</f>
        <v/>
      </c>
      <c r="D22" s="339">
        <f>Historiek!D164/1000</f>
        <v/>
      </c>
      <c r="E22" s="339">
        <f>Historiek!E164/1000</f>
        <v/>
      </c>
      <c r="F22" s="339">
        <f>Historiek!F164/1000</f>
        <v/>
      </c>
      <c r="G22" s="339">
        <f>Historiek!G164/1000</f>
        <v/>
      </c>
      <c r="H22" s="339">
        <f>Historiek!H164/1000</f>
        <v/>
      </c>
      <c r="I22" s="339">
        <f>Historiek!I164/1000</f>
        <v/>
      </c>
      <c r="J22" s="339">
        <f>Historiek!J164/1000</f>
        <v/>
      </c>
      <c r="K22" s="339">
        <f>Historiek!K164/1000</f>
        <v/>
      </c>
      <c r="L22" s="322" t="n"/>
    </row>
    <row r="23">
      <c r="A23" s="391" t="inlineStr">
        <is>
          <t>+ Andere financiële opbrengsten</t>
        </is>
      </c>
      <c r="B23" s="339">
        <f>Historiek!B172/1000</f>
        <v/>
      </c>
      <c r="C23" s="339">
        <f>Historiek!C172/1000</f>
        <v/>
      </c>
      <c r="D23" s="339">
        <f>Historiek!D172/1000</f>
        <v/>
      </c>
      <c r="E23" s="339">
        <f>Historiek!E172/1000</f>
        <v/>
      </c>
      <c r="F23" s="339">
        <f>Historiek!F172/1000</f>
        <v/>
      </c>
      <c r="G23" s="339">
        <f>Historiek!G172/1000</f>
        <v/>
      </c>
      <c r="H23" s="339">
        <f>Historiek!H172/1000</f>
        <v/>
      </c>
      <c r="I23" s="339">
        <f>Historiek!I172/1000</f>
        <v/>
      </c>
      <c r="J23" s="339">
        <f>Historiek!J172/1000</f>
        <v/>
      </c>
      <c r="K23" s="339">
        <f>Historiek!K172/1000</f>
        <v/>
      </c>
      <c r="L23" s="322" t="n"/>
    </row>
    <row r="24">
      <c r="A24" s="391" t="inlineStr">
        <is>
          <t>- Andere financiële kosten</t>
        </is>
      </c>
      <c r="B24" s="339">
        <f>Historiek!B177/1000</f>
        <v/>
      </c>
      <c r="C24" s="339">
        <f>Historiek!C177/1000</f>
        <v/>
      </c>
      <c r="D24" s="339">
        <f>Historiek!D177/1000</f>
        <v/>
      </c>
      <c r="E24" s="339">
        <f>Historiek!E177/1000</f>
        <v/>
      </c>
      <c r="F24" s="339">
        <f>Historiek!F177/1000</f>
        <v/>
      </c>
      <c r="G24" s="339">
        <f>Historiek!G177/1000</f>
        <v/>
      </c>
      <c r="H24" s="339">
        <f>Historiek!H177/1000</f>
        <v/>
      </c>
      <c r="I24" s="339">
        <f>Historiek!I177/1000</f>
        <v/>
      </c>
      <c r="J24" s="339">
        <f>Historiek!J177/1000</f>
        <v/>
      </c>
      <c r="K24" s="339">
        <f>Historiek!K177/1000</f>
        <v/>
      </c>
      <c r="L24" s="322" t="n"/>
      <c r="N24" s="898" t="n"/>
    </row>
    <row r="25">
      <c r="A25" s="345" t="n"/>
      <c r="B25" s="339" t="n"/>
      <c r="C25" s="339" t="n"/>
      <c r="D25" s="339" t="n"/>
      <c r="E25" s="339" t="n"/>
      <c r="F25" s="339" t="n"/>
      <c r="G25" s="339" t="n"/>
      <c r="H25" s="339" t="n"/>
      <c r="I25" s="339" t="n"/>
      <c r="J25" s="339" t="n"/>
      <c r="K25" s="339" t="n"/>
      <c r="L25" s="323" t="n"/>
    </row>
    <row r="26">
      <c r="A26" s="715" t="inlineStr">
        <is>
          <t>= Operationele cashflow  (EBITDA)</t>
        </is>
      </c>
      <c r="B26" s="716">
        <f>B18-B21-B22+B23-B24</f>
        <v/>
      </c>
      <c r="C26" s="716">
        <f>C18-C21-C22+C23-C24</f>
        <v/>
      </c>
      <c r="D26" s="716">
        <f>D18-D21-D22+D23-D24</f>
        <v/>
      </c>
      <c r="E26" s="716">
        <f>E18-E21-E22+E23-E24</f>
        <v/>
      </c>
      <c r="F26" s="716">
        <f>F18-F21-F22+F23-F24</f>
        <v/>
      </c>
      <c r="G26" s="716">
        <f>G18-G21-G22+G23-G24</f>
        <v/>
      </c>
      <c r="H26" s="716">
        <f>H18-H21-H22+H23-H24</f>
        <v/>
      </c>
      <c r="I26" s="716">
        <f>I18-I21-I22+I23-I24</f>
        <v/>
      </c>
      <c r="J26" s="716">
        <f>J18-J21-J22+J23-J24</f>
        <v/>
      </c>
      <c r="K26" s="716">
        <f>K18-K21-K22+K23-K24</f>
        <v/>
      </c>
      <c r="L26" s="717" t="n"/>
    </row>
    <row r="27">
      <c r="A27" s="721" t="inlineStr">
        <is>
          <t>(in % vd bedrijfsopbrengsten)</t>
        </is>
      </c>
      <c r="B27" s="719">
        <f>IF(B7+B16=0,0,B26/(B7+B16))</f>
        <v/>
      </c>
      <c r="C27" s="719">
        <f>IF(C7+C16=0,0,C26/(C7+C16))</f>
        <v/>
      </c>
      <c r="D27" s="719">
        <f>IF(D7+D16=0,0,D26/(D7+D16))</f>
        <v/>
      </c>
      <c r="E27" s="719">
        <f>IF(E7+E16=0,0,E26/(E7+E16))</f>
        <v/>
      </c>
      <c r="F27" s="719">
        <f>IF(F7+F16=0,0,F26/(F7+F16))</f>
        <v/>
      </c>
      <c r="G27" s="719">
        <f>IF(G7+G16=0,0,G26/(G7+G16))</f>
        <v/>
      </c>
      <c r="H27" s="719">
        <f>IF(H7+H16=0,0,H26/(H7+H16))</f>
        <v/>
      </c>
      <c r="I27" s="719">
        <f>IF(I7+I16=0,0,I26/(I7+I16))</f>
        <v/>
      </c>
      <c r="J27" s="719">
        <f>IF(J7+J16=0,0,J26/(J7+J16))</f>
        <v/>
      </c>
      <c r="K27" s="719">
        <f>IF(K7+K16=0,0,K26/(K7+K16))</f>
        <v/>
      </c>
      <c r="L27" s="720" t="n"/>
      <c r="Q27" s="901" t="n"/>
    </row>
    <row r="28">
      <c r="A28" s="345" t="n"/>
      <c r="L28" s="323" t="n"/>
      <c r="Q28" s="898" t="n"/>
    </row>
    <row r="29">
      <c r="A29" s="391" t="inlineStr">
        <is>
          <t>- Afschrijvingen, waardevermind.  en voorz.</t>
        </is>
      </c>
      <c r="B29" s="339">
        <f>(Historiek!B161+Historiek!B162+Historiek!B163)/1000</f>
        <v/>
      </c>
      <c r="C29" s="339">
        <f>(Historiek!C161+Historiek!C162+Historiek!C163)/1000</f>
        <v/>
      </c>
      <c r="D29" s="339">
        <f>(Historiek!D161+Historiek!D162+Historiek!D163)/1000</f>
        <v/>
      </c>
      <c r="E29" s="339">
        <f>(Historiek!E161+Historiek!E162+Historiek!E163)/1000</f>
        <v/>
      </c>
      <c r="F29" s="339">
        <f>(Historiek!F161+Historiek!F162+Historiek!F163)/1000</f>
        <v/>
      </c>
      <c r="G29" s="339">
        <f>(Historiek!G161+Historiek!G162+Historiek!G163)/1000</f>
        <v/>
      </c>
      <c r="H29" s="339">
        <f>(Historiek!H161+Historiek!H162+Historiek!H163)/1000</f>
        <v/>
      </c>
      <c r="I29" s="339">
        <f>(Historiek!I161+Historiek!I162+Historiek!I163)/1000</f>
        <v/>
      </c>
      <c r="J29" s="339">
        <f>(Historiek!J161+Historiek!J162+Historiek!J163)/1000</f>
        <v/>
      </c>
      <c r="K29" s="339">
        <f>(Historiek!K161+Historiek!K162+Historiek!K163)/1000</f>
        <v/>
      </c>
      <c r="L29" s="322" t="n"/>
      <c r="Q29" s="901" t="n"/>
    </row>
    <row r="30">
      <c r="A30" s="345" t="n"/>
      <c r="B30" s="339" t="n"/>
      <c r="C30" s="339" t="n"/>
      <c r="D30" s="339" t="n"/>
      <c r="E30" s="339" t="n"/>
      <c r="F30" s="339" t="n"/>
      <c r="G30" s="339" t="n"/>
      <c r="H30" s="339" t="n"/>
      <c r="I30" s="339" t="n"/>
      <c r="J30" s="339" t="n"/>
      <c r="K30" s="339" t="n"/>
      <c r="L30" s="323" t="n"/>
    </row>
    <row r="31">
      <c r="A31" s="715" t="inlineStr">
        <is>
          <t>= Operationeel resultaat  (EBIT)</t>
        </is>
      </c>
      <c r="B31" s="716">
        <f>B26-B29</f>
        <v/>
      </c>
      <c r="C31" s="716">
        <f>C26-C29</f>
        <v/>
      </c>
      <c r="D31" s="716">
        <f>D26-D29</f>
        <v/>
      </c>
      <c r="E31" s="716">
        <f>E26-E29</f>
        <v/>
      </c>
      <c r="F31" s="716">
        <f>F26-F29</f>
        <v/>
      </c>
      <c r="G31" s="716">
        <f>G26-G29</f>
        <v/>
      </c>
      <c r="H31" s="716">
        <f>H26-H29</f>
        <v/>
      </c>
      <c r="I31" s="716">
        <f>I26-I29</f>
        <v/>
      </c>
      <c r="J31" s="716">
        <f>J26-J29</f>
        <v/>
      </c>
      <c r="K31" s="716">
        <f>K26-K29</f>
        <v/>
      </c>
      <c r="L31" s="717" t="n"/>
    </row>
    <row r="32" ht="14.4" customHeight="1">
      <c r="A32" s="721" t="inlineStr">
        <is>
          <t>(in % vd bedrijfsopbrengsten)</t>
        </is>
      </c>
      <c r="B32" s="719">
        <f>IF(B7+B16=0,0,B31/(B7+B16))</f>
        <v/>
      </c>
      <c r="C32" s="719">
        <f>IF(C7+C16=0,0,C31/(C7+C16))</f>
        <v/>
      </c>
      <c r="D32" s="719">
        <f>IF(D7+D16=0,0,D31/(D7+D16))</f>
        <v/>
      </c>
      <c r="E32" s="719">
        <f>IF(E7+E16=0,0,E31/(E7+E16))</f>
        <v/>
      </c>
      <c r="F32" s="719">
        <f>IF(F7+F16=0,0,F31/(F7+F16))</f>
        <v/>
      </c>
      <c r="G32" s="719">
        <f>IF(G7+G16=0,0,G31/(G7+G16))</f>
        <v/>
      </c>
      <c r="H32" s="719">
        <f>IF(H7+H16=0,0,H31/(H7+H16))</f>
        <v/>
      </c>
      <c r="I32" s="719">
        <f>IF(I7+I16=0,0,I31/(I7+I16))</f>
        <v/>
      </c>
      <c r="J32" s="719">
        <f>IF(J7+J16=0,0,J31/(J7+J16))</f>
        <v/>
      </c>
      <c r="K32" s="719">
        <f>IF(K7+K16=0,0,K31/(K7+K16))</f>
        <v/>
      </c>
      <c r="L32" s="720" t="n"/>
      <c r="N32" s="900" t="n"/>
    </row>
    <row r="33">
      <c r="A33" s="345" t="n"/>
      <c r="L33" s="323" t="n"/>
    </row>
    <row r="34">
      <c r="A34" s="391" t="inlineStr">
        <is>
          <t>- Kosten van schulden</t>
        </is>
      </c>
      <c r="B34" s="339">
        <f>Historiek!B175/1000</f>
        <v/>
      </c>
      <c r="C34" s="339">
        <f>Historiek!C175/1000</f>
        <v/>
      </c>
      <c r="D34" s="339">
        <f>Historiek!D175/1000</f>
        <v/>
      </c>
      <c r="E34" s="339">
        <f>Historiek!E175/1000</f>
        <v/>
      </c>
      <c r="F34" s="339">
        <f>Historiek!F175/1000</f>
        <v/>
      </c>
      <c r="G34" s="339">
        <f>Historiek!G175/1000</f>
        <v/>
      </c>
      <c r="H34" s="339">
        <f>Historiek!H175/1000</f>
        <v/>
      </c>
      <c r="I34" s="339">
        <f>Historiek!I175/1000</f>
        <v/>
      </c>
      <c r="J34" s="339">
        <f>Historiek!J175/1000</f>
        <v/>
      </c>
      <c r="K34" s="339">
        <f>Historiek!K175/1000</f>
        <v/>
      </c>
      <c r="L34" s="322" t="n"/>
    </row>
    <row r="35">
      <c r="A35" s="391" t="inlineStr">
        <is>
          <t>- Waardeverminderingen op vlot. activa</t>
        </is>
      </c>
      <c r="B35" s="339">
        <f>Historiek!B176/1000</f>
        <v/>
      </c>
      <c r="C35" s="339">
        <f>Historiek!C176/1000</f>
        <v/>
      </c>
      <c r="D35" s="339">
        <f>Historiek!D176/1000</f>
        <v/>
      </c>
      <c r="E35" s="339">
        <f>Historiek!E176/1000</f>
        <v/>
      </c>
      <c r="F35" s="339">
        <f>Historiek!F176/1000</f>
        <v/>
      </c>
      <c r="G35" s="339">
        <f>Historiek!G176/1000</f>
        <v/>
      </c>
      <c r="H35" s="339">
        <f>Historiek!H176/1000</f>
        <v/>
      </c>
      <c r="I35" s="339">
        <f>Historiek!I176/1000</f>
        <v/>
      </c>
      <c r="J35" s="339">
        <f>Historiek!J176/1000</f>
        <v/>
      </c>
      <c r="K35" s="339">
        <f>Historiek!K176/1000</f>
        <v/>
      </c>
      <c r="L35" s="322" t="n"/>
    </row>
    <row r="36">
      <c r="A36" s="391" t="inlineStr">
        <is>
          <t>+ Opbrengsten uit vlottende activa</t>
        </is>
      </c>
      <c r="B36" s="339">
        <f>Historiek!B171/1000</f>
        <v/>
      </c>
      <c r="C36" s="339">
        <f>Historiek!C171/1000</f>
        <v/>
      </c>
      <c r="D36" s="339">
        <f>Historiek!D171/1000</f>
        <v/>
      </c>
      <c r="E36" s="339">
        <f>Historiek!E171/1000</f>
        <v/>
      </c>
      <c r="F36" s="339">
        <f>Historiek!F171/1000</f>
        <v/>
      </c>
      <c r="G36" s="339">
        <f>Historiek!G171/1000</f>
        <v/>
      </c>
      <c r="H36" s="339">
        <f>Historiek!H171/1000</f>
        <v/>
      </c>
      <c r="I36" s="339">
        <f>Historiek!I171/1000</f>
        <v/>
      </c>
      <c r="J36" s="339">
        <f>Historiek!J171/1000</f>
        <v/>
      </c>
      <c r="K36" s="339">
        <f>Historiek!K171/1000</f>
        <v/>
      </c>
      <c r="L36" s="322" t="n"/>
    </row>
    <row r="37">
      <c r="A37" s="391" t="inlineStr">
        <is>
          <t>+ Opbrengsten uit fin. vaste activa</t>
        </is>
      </c>
      <c r="B37" s="339">
        <f>Historiek!B170/1000</f>
        <v/>
      </c>
      <c r="C37" s="339">
        <f>Historiek!C170/1000</f>
        <v/>
      </c>
      <c r="D37" s="339">
        <f>Historiek!D170/1000</f>
        <v/>
      </c>
      <c r="E37" s="339">
        <f>Historiek!E170/1000</f>
        <v/>
      </c>
      <c r="F37" s="339">
        <f>Historiek!F170/1000</f>
        <v/>
      </c>
      <c r="G37" s="339">
        <f>Historiek!G170/1000</f>
        <v/>
      </c>
      <c r="H37" s="339">
        <f>Historiek!H170/1000</f>
        <v/>
      </c>
      <c r="I37" s="339">
        <f>Historiek!I170/1000</f>
        <v/>
      </c>
      <c r="J37" s="339">
        <f>Historiek!J170/1000</f>
        <v/>
      </c>
      <c r="K37" s="339">
        <f>Historiek!K170/1000</f>
        <v/>
      </c>
      <c r="L37" s="322" t="n"/>
    </row>
    <row r="38">
      <c r="A38" s="345" t="n"/>
      <c r="B38" s="339" t="n"/>
      <c r="C38" s="339" t="n"/>
      <c r="D38" s="339" t="n"/>
      <c r="E38" s="339" t="n"/>
      <c r="F38" s="339" t="n"/>
      <c r="G38" s="339" t="n"/>
      <c r="H38" s="339" t="n"/>
      <c r="I38" s="339" t="n"/>
      <c r="J38" s="339" t="n"/>
      <c r="K38" s="339" t="n"/>
      <c r="L38" s="323" t="n"/>
    </row>
    <row r="39">
      <c r="A39" s="722" t="inlineStr">
        <is>
          <t>= Courant resultaat</t>
        </is>
      </c>
      <c r="B39" s="704">
        <f>B31-B34-B35+B36+B37</f>
        <v/>
      </c>
      <c r="C39" s="704">
        <f>C31-C34-C35+C36+C37</f>
        <v/>
      </c>
      <c r="D39" s="704">
        <f>D31-D34-D35+D36+D37</f>
        <v/>
      </c>
      <c r="E39" s="704">
        <f>E31-E34-E35+E36+E37</f>
        <v/>
      </c>
      <c r="F39" s="704">
        <f>F31-F34-F35+F36+F37</f>
        <v/>
      </c>
      <c r="G39" s="704">
        <f>G31-G34-G35+G36+G37</f>
        <v/>
      </c>
      <c r="H39" s="704">
        <f>H31-H34-H35+H36+H37</f>
        <v/>
      </c>
      <c r="I39" s="704">
        <f>I31-I34-I35+I36+I37</f>
        <v/>
      </c>
      <c r="J39" s="704">
        <f>J31-J34-J35+J36+J37</f>
        <v/>
      </c>
      <c r="K39" s="704">
        <f>K31-K34-K35+K36+K37</f>
        <v/>
      </c>
      <c r="L39" s="705" t="n"/>
    </row>
    <row r="40">
      <c r="A40" s="345" t="n"/>
      <c r="B40" s="339" t="n"/>
      <c r="C40" s="339" t="n"/>
      <c r="D40" s="339" t="n"/>
      <c r="E40" s="339" t="n"/>
      <c r="F40" s="339" t="n"/>
      <c r="G40" s="339" t="n"/>
      <c r="H40" s="339" t="n"/>
      <c r="I40" s="339" t="n"/>
      <c r="J40" s="339" t="n"/>
      <c r="K40" s="339" t="n"/>
      <c r="L40" s="323" t="n"/>
    </row>
    <row r="41">
      <c r="A41" s="391" t="inlineStr">
        <is>
          <t>+/- Uitzonderlijke kasresultaten</t>
        </is>
      </c>
      <c r="B41" s="339">
        <f>(Historiek!B185+Historiek!B186-Historiek!B192-Historiek!B193)/1000</f>
        <v/>
      </c>
      <c r="C41" s="339">
        <f>(Historiek!C185+Historiek!C186-Historiek!C192-Historiek!C193)/1000</f>
        <v/>
      </c>
      <c r="D41" s="339">
        <f>(Historiek!D185+Historiek!D186-Historiek!D192-Historiek!D193)/1000</f>
        <v/>
      </c>
      <c r="E41" s="339">
        <f>(Historiek!E185+Historiek!E186-Historiek!E192-Historiek!E193)/1000</f>
        <v/>
      </c>
      <c r="F41" s="339">
        <f>(Historiek!F185+Historiek!F186-Historiek!F192-Historiek!F193)/1000</f>
        <v/>
      </c>
      <c r="G41" s="339">
        <f>(Historiek!G185+Historiek!G186-Historiek!G192-Historiek!G193)/1000</f>
        <v/>
      </c>
      <c r="H41" s="339">
        <f>(Historiek!H185+Historiek!H186-Historiek!H192-Historiek!H193)/1000</f>
        <v/>
      </c>
      <c r="I41" s="339">
        <f>(Historiek!I185+Historiek!I186-Historiek!I192-Historiek!I193)/1000</f>
        <v/>
      </c>
      <c r="J41" s="339">
        <f>(Historiek!J185+Historiek!J186-Historiek!J192-Historiek!J193)/1000</f>
        <v/>
      </c>
      <c r="K41" s="339">
        <f>(Historiek!K185+Historiek!K186-Historiek!K192-Historiek!K193)/1000</f>
        <v/>
      </c>
      <c r="L41" s="322" t="n"/>
    </row>
    <row r="42">
      <c r="A42" s="391" t="inlineStr">
        <is>
          <t>-/+ Uitz. afschr., waardevermind.  en voorz.</t>
        </is>
      </c>
      <c r="B42" s="339">
        <f>SUM(Historiek!B182:'Historiek'!B184)/1000-SUM(Historiek!B189:'Historiek'!B191)/1000</f>
        <v/>
      </c>
      <c r="C42" s="339">
        <f>SUM(Historiek!C182:'Historiek'!C184)/1000-SUM(Historiek!C189:'Historiek'!C191)/1000</f>
        <v/>
      </c>
      <c r="D42" s="339">
        <f>SUM(Historiek!D182:'Historiek'!D184)/1000-SUM(Historiek!D189:'Historiek'!D191)/1000</f>
        <v/>
      </c>
      <c r="E42" s="339">
        <f>SUM(Historiek!E182:'Historiek'!E184)/1000-SUM(Historiek!E189:'Historiek'!E191)/1000</f>
        <v/>
      </c>
      <c r="F42" s="339">
        <f>SUM(Historiek!F182:'Historiek'!F184)/1000-SUM(Historiek!F189:'Historiek'!F191)/1000</f>
        <v/>
      </c>
      <c r="G42" s="339">
        <f>SUM(Historiek!G182:'Historiek'!G184)/1000-SUM(Historiek!G189:'Historiek'!G191)/1000</f>
        <v/>
      </c>
      <c r="H42" s="339">
        <f>SUM(Historiek!H182:'Historiek'!H184)/1000-SUM(Historiek!H189:'Historiek'!H191)/1000</f>
        <v/>
      </c>
      <c r="I42" s="339">
        <f>SUM(Historiek!I182:'Historiek'!I184)/1000-SUM(Historiek!I189:'Historiek'!I191)/1000</f>
        <v/>
      </c>
      <c r="J42" s="339">
        <f>SUM(Historiek!J182:'Historiek'!J184)/1000-SUM(Historiek!J189:'Historiek'!J191)/1000</f>
        <v/>
      </c>
      <c r="K42" s="339">
        <f>SUM(Historiek!K182:'Historiek'!K184)/1000-SUM(Historiek!K189:'Historiek'!K191)/1000</f>
        <v/>
      </c>
      <c r="L42" s="322" t="n"/>
    </row>
    <row r="43">
      <c r="A43" s="391" t="n"/>
      <c r="B43" s="339" t="n"/>
      <c r="C43" s="339" t="n"/>
      <c r="D43" s="339" t="n"/>
      <c r="E43" s="339" t="n"/>
      <c r="F43" s="339" t="n"/>
      <c r="G43" s="339" t="n"/>
      <c r="H43" s="339" t="n"/>
      <c r="I43" s="339" t="n"/>
      <c r="J43" s="339" t="n"/>
      <c r="K43" s="339" t="n"/>
      <c r="L43" s="322" t="n"/>
    </row>
    <row r="44">
      <c r="A44" s="722" t="inlineStr">
        <is>
          <t>= Resultaat voor belasting</t>
        </is>
      </c>
      <c r="B44" s="704">
        <f>B39+B41+B42</f>
        <v/>
      </c>
      <c r="C44" s="704">
        <f>C39+C41+C42</f>
        <v/>
      </c>
      <c r="D44" s="704">
        <f>D39+D41+D42</f>
        <v/>
      </c>
      <c r="E44" s="704">
        <f>E39+E41+E42</f>
        <v/>
      </c>
      <c r="F44" s="704">
        <f>F39+F41+F42</f>
        <v/>
      </c>
      <c r="G44" s="704">
        <f>G39+G41+G42</f>
        <v/>
      </c>
      <c r="H44" s="704">
        <f>H39+H41+H42</f>
        <v/>
      </c>
      <c r="I44" s="704">
        <f>I39+I41+I42</f>
        <v/>
      </c>
      <c r="J44" s="704">
        <f>J39+J41+J42</f>
        <v/>
      </c>
      <c r="K44" s="704">
        <f>K39+K41+K42</f>
        <v/>
      </c>
      <c r="L44" s="705" t="n"/>
    </row>
    <row r="45">
      <c r="A45" s="391" t="n"/>
      <c r="B45" s="339" t="n"/>
      <c r="C45" s="339" t="n"/>
      <c r="D45" s="339" t="n"/>
      <c r="E45" s="339" t="n"/>
      <c r="F45" s="339" t="n"/>
      <c r="G45" s="339" t="n"/>
      <c r="H45" s="339" t="n"/>
      <c r="I45" s="339" t="n"/>
      <c r="J45" s="339" t="n"/>
      <c r="K45" s="339" t="n"/>
      <c r="L45" s="322" t="n"/>
    </row>
    <row r="46">
      <c r="A46" s="391" t="inlineStr">
        <is>
          <t>- Belastingen</t>
        </is>
      </c>
      <c r="B46" s="339">
        <f>(Historiek!B207+Historiek!B204+Historiek!B205)/1000</f>
        <v/>
      </c>
      <c r="C46" s="339">
        <f>(Historiek!C207+Historiek!C204+Historiek!C205)/1000</f>
        <v/>
      </c>
      <c r="D46" s="339">
        <f>(Historiek!D207+Historiek!D204+Historiek!D205)/1000</f>
        <v/>
      </c>
      <c r="E46" s="339">
        <f>(Historiek!E207+Historiek!E204+Historiek!E205)/1000</f>
        <v/>
      </c>
      <c r="F46" s="339">
        <f>(Historiek!F207+Historiek!F204+Historiek!F205)/1000</f>
        <v/>
      </c>
      <c r="G46" s="339">
        <f>(Historiek!G207+Historiek!G204+Historiek!G205)/1000</f>
        <v/>
      </c>
      <c r="H46" s="339">
        <f>(Historiek!H207+Historiek!H204+Historiek!H205)/1000</f>
        <v/>
      </c>
      <c r="I46" s="339">
        <f>(Historiek!I207+Historiek!I204+Historiek!I205)/1000</f>
        <v/>
      </c>
      <c r="J46" s="339">
        <f>(Historiek!J207+Historiek!J204+Historiek!J205)/1000</f>
        <v/>
      </c>
      <c r="K46" s="339">
        <f>(Historiek!K207+Historiek!K204+Historiek!K205)/1000</f>
        <v/>
      </c>
      <c r="L46" s="322" t="n"/>
    </row>
    <row r="47">
      <c r="A47" s="345" t="n"/>
      <c r="B47" s="339" t="n"/>
      <c r="C47" s="339" t="n"/>
      <c r="D47" s="339" t="n"/>
      <c r="E47" s="339" t="n"/>
      <c r="F47" s="339" t="n"/>
      <c r="G47" s="339" t="n"/>
      <c r="H47" s="339" t="n"/>
      <c r="I47" s="339" t="n"/>
      <c r="J47" s="339" t="n"/>
      <c r="K47" s="339" t="n"/>
      <c r="L47" s="323" t="n"/>
    </row>
    <row r="48">
      <c r="A48" s="722" t="inlineStr">
        <is>
          <t>= Nettoresultaat</t>
        </is>
      </c>
      <c r="B48" s="704">
        <f>B44+B46</f>
        <v/>
      </c>
      <c r="C48" s="704">
        <f>C44+C46</f>
        <v/>
      </c>
      <c r="D48" s="704">
        <f>D44+D46</f>
        <v/>
      </c>
      <c r="E48" s="704">
        <f>E44+E46</f>
        <v/>
      </c>
      <c r="F48" s="704">
        <f>F44+F46</f>
        <v/>
      </c>
      <c r="G48" s="704">
        <f>G44+G46</f>
        <v/>
      </c>
      <c r="H48" s="704">
        <f>H44+H46</f>
        <v/>
      </c>
      <c r="I48" s="704">
        <f>I44+I46</f>
        <v/>
      </c>
      <c r="J48" s="704">
        <f>J44+J46</f>
        <v/>
      </c>
      <c r="K48" s="704">
        <f>K44+K46</f>
        <v/>
      </c>
      <c r="L48" s="705" t="n"/>
    </row>
    <row r="49">
      <c r="A49" s="723" t="inlineStr">
        <is>
          <t>= Cashflow (boekhoudkundig)</t>
        </is>
      </c>
      <c r="B49" s="724">
        <f>B48+B29+B35-B42</f>
        <v/>
      </c>
      <c r="C49" s="724">
        <f>C48+C29+C35-C42</f>
        <v/>
      </c>
      <c r="D49" s="724">
        <f>D48+D29+D35-D42</f>
        <v/>
      </c>
      <c r="E49" s="724">
        <f>E48+E29+E35-E42</f>
        <v/>
      </c>
      <c r="F49" s="724">
        <f>F48+F29+F35-F42</f>
        <v/>
      </c>
      <c r="G49" s="724">
        <f>G48+G29+G35-G42</f>
        <v/>
      </c>
      <c r="H49" s="724">
        <f>H48+H29+H35-H42</f>
        <v/>
      </c>
      <c r="I49" s="724">
        <f>I48+I29+I35-I42</f>
        <v/>
      </c>
      <c r="J49" s="724">
        <f>J48+J29+J35-J42</f>
        <v/>
      </c>
      <c r="K49" s="724">
        <f>K48+K29+K35-K42</f>
        <v/>
      </c>
      <c r="L49" s="725" t="n"/>
    </row>
    <row r="50">
      <c r="A50" s="718" t="inlineStr">
        <is>
          <t>(in % vd bedrijfsopbrengsten)</t>
        </is>
      </c>
      <c r="B50" s="719">
        <f>IF(B7+B16=0,0,B49/(B7+B16))</f>
        <v/>
      </c>
      <c r="C50" s="719">
        <f>IF(C7+C16=0,0,C49/(C7+C16))</f>
        <v/>
      </c>
      <c r="D50" s="719">
        <f>IF(D7+D16=0,0,D49/(D7+D16))</f>
        <v/>
      </c>
      <c r="E50" s="719">
        <f>IF(E7+E16=0,0,E49/(E7+E16))</f>
        <v/>
      </c>
      <c r="F50" s="719">
        <f>IF(F7+F16=0,0,F49/(F7+F16))</f>
        <v/>
      </c>
      <c r="G50" s="719">
        <f>IF(G7+G16=0,0,G49/(G7+G16))</f>
        <v/>
      </c>
      <c r="H50" s="719">
        <f>IF(H7+H16=0,0,H49/(H7+H16))</f>
        <v/>
      </c>
      <c r="I50" s="719">
        <f>IF(I7+I16=0,0,I49/(I7+I16))</f>
        <v/>
      </c>
      <c r="J50" s="719">
        <f>IF(J7+J16=0,0,J49/(J7+J16))</f>
        <v/>
      </c>
      <c r="K50" s="719">
        <f>IF(K7+K16=0,0,K49/(K7+K16))</f>
        <v/>
      </c>
      <c r="L50" s="720" t="n"/>
    </row>
    <row r="51">
      <c r="J51" s="392" t="n"/>
      <c r="K51" s="392" t="n"/>
    </row>
    <row r="52">
      <c r="J52" s="393" t="n"/>
      <c r="K52" s="393" t="n"/>
    </row>
    <row r="53" customFormat="1" s="377">
      <c r="A53" s="394" t="inlineStr">
        <is>
          <t>Jaarlijkse GROEI</t>
        </is>
      </c>
      <c r="B53" s="395">
        <f>B4</f>
        <v/>
      </c>
      <c r="C53" s="395">
        <f>C4</f>
        <v/>
      </c>
      <c r="D53" s="395">
        <f>D4</f>
        <v/>
      </c>
      <c r="E53" s="395">
        <f>E4</f>
        <v/>
      </c>
      <c r="F53" s="395">
        <f>F4</f>
        <v/>
      </c>
      <c r="G53" s="395">
        <f>G4</f>
        <v/>
      </c>
      <c r="H53" s="395">
        <f>H4</f>
        <v/>
      </c>
      <c r="I53" s="395">
        <f>I4</f>
        <v/>
      </c>
      <c r="J53" s="395">
        <f>J4</f>
        <v/>
      </c>
      <c r="K53" s="395">
        <f>K4</f>
        <v/>
      </c>
      <c r="L53" s="396" t="n"/>
    </row>
    <row r="54">
      <c r="A54" s="397" t="inlineStr">
        <is>
          <t>- Omzet</t>
        </is>
      </c>
      <c r="B54" s="398">
        <f>IF(B7=0,"",B7/A7-1)</f>
        <v/>
      </c>
      <c r="C54" s="398">
        <f>IF(C7=0,"",C7/B7-1)</f>
        <v/>
      </c>
      <c r="D54" s="398">
        <f>IF(D7=0,"",D7/C7-1)</f>
        <v/>
      </c>
      <c r="E54" s="398">
        <f>IF(E7=0,"",E7/D7-1)</f>
        <v/>
      </c>
      <c r="F54" s="398">
        <f>IF(F7=0,"",F7/E7-1)</f>
        <v/>
      </c>
      <c r="G54" s="398">
        <f>IF(G7=0,"",G7/F7-1)</f>
        <v/>
      </c>
      <c r="H54" s="398">
        <f>IF(H7=0,"",H7/G7-1)</f>
        <v/>
      </c>
      <c r="I54" s="398">
        <f>IF(I7=0,"",I7/H7-1)</f>
        <v/>
      </c>
      <c r="J54" s="398">
        <f>IF(J7=0,"",J7/I7-1)</f>
        <v/>
      </c>
      <c r="K54" s="398">
        <f>IF(K7=0,"",K7/J7-1)</f>
        <v/>
      </c>
      <c r="L54" s="399" t="n"/>
    </row>
    <row r="55">
      <c r="A55" s="321" t="inlineStr">
        <is>
          <t>- TW</t>
        </is>
      </c>
      <c r="B55" s="400">
        <f>IF(B18=0,"",B18/A18-1)</f>
        <v/>
      </c>
      <c r="C55" s="400">
        <f>IF(C18=0,"",C18/B18-1)</f>
        <v/>
      </c>
      <c r="D55" s="400">
        <f>IF(D18=0,"",D18/C18-1)</f>
        <v/>
      </c>
      <c r="E55" s="400">
        <f>IF(E18=0,"",E18/D18-1)</f>
        <v/>
      </c>
      <c r="F55" s="400">
        <f>IF(F18=0,"",F18/E18-1)</f>
        <v/>
      </c>
      <c r="G55" s="400">
        <f>IF(G18=0,"",G18/F18-1)</f>
        <v/>
      </c>
      <c r="H55" s="400">
        <f>IF(H18=0,"",H18/G18-1)</f>
        <v/>
      </c>
      <c r="I55" s="400">
        <f>IF(I18=0,"",I18/H18-1)</f>
        <v/>
      </c>
      <c r="J55" s="400">
        <f>IF(J18=0,"",J18/I18-1)</f>
        <v/>
      </c>
      <c r="K55" s="400">
        <f>IF(K18=0,"",K18/J18-1)</f>
        <v/>
      </c>
      <c r="L55" s="401" t="n"/>
    </row>
    <row r="56">
      <c r="A56" s="321" t="inlineStr">
        <is>
          <t>- EBITDA</t>
        </is>
      </c>
      <c r="B56" s="400">
        <f>IF(B26=0,"",B26/A26-1)</f>
        <v/>
      </c>
      <c r="C56" s="400">
        <f>IF(C26=0,"",C26/B26-1)</f>
        <v/>
      </c>
      <c r="D56" s="400">
        <f>IF(D26=0,"",D26/C26-1)</f>
        <v/>
      </c>
      <c r="E56" s="400">
        <f>IF(E26=0,"",E26/D26-1)</f>
        <v/>
      </c>
      <c r="F56" s="400">
        <f>IF(F26=0,"",F26/E26-1)</f>
        <v/>
      </c>
      <c r="G56" s="400">
        <f>IF(G26=0,"",G26/F26-1)</f>
        <v/>
      </c>
      <c r="H56" s="400">
        <f>IF(H26=0,"",H26/G26-1)</f>
        <v/>
      </c>
      <c r="I56" s="400">
        <f>IF(I26=0,"",I26/H26-1)</f>
        <v/>
      </c>
      <c r="J56" s="400">
        <f>IF(J26=0,"",J26/I26-1)</f>
        <v/>
      </c>
      <c r="K56" s="400">
        <f>IF(K26=0,"",K26/J26-1)</f>
        <v/>
      </c>
      <c r="L56" s="401" t="n"/>
    </row>
    <row r="57">
      <c r="A57" s="402" t="inlineStr">
        <is>
          <t>- EBIT</t>
        </is>
      </c>
      <c r="B57" s="403">
        <f>IF(B31=0,"",B31/A31-1)</f>
        <v/>
      </c>
      <c r="C57" s="403">
        <f>IF(C31=0,"",C31/B31-1)</f>
        <v/>
      </c>
      <c r="D57" s="403">
        <f>IF(D31=0,"",D31/C31-1)</f>
        <v/>
      </c>
      <c r="E57" s="403">
        <f>IF(E31=0,"",E31/D31-1)</f>
        <v/>
      </c>
      <c r="F57" s="403">
        <f>IF(F31=0,"",F31/E31-1)</f>
        <v/>
      </c>
      <c r="G57" s="403">
        <f>IF(G31=0,"",G31/F31-1)</f>
        <v/>
      </c>
      <c r="H57" s="403">
        <f>IF(H31=0,"",H31/G31-1)</f>
        <v/>
      </c>
      <c r="I57" s="403">
        <f>IF(I31=0,"",I31/H31-1)</f>
        <v/>
      </c>
      <c r="J57" s="403">
        <f>IF(J31=0,"",J31/I31-1)</f>
        <v/>
      </c>
      <c r="K57" s="403">
        <f>IF(K31=0,"",K31/J31-1)</f>
        <v/>
      </c>
      <c r="L57" s="404" t="n"/>
    </row>
  </sheetData>
  <mergeCells count="1">
    <mergeCell ref="C1:K1"/>
  </mergeCells>
  <pageMargins left="0.5600000000000001" right="0.31" top="0.86" bottom="0.87" header="0.5118110236220472" footer="0.5118110236220472"/>
  <pageSetup orientation="portrait" paperSize="9" scale="99" horizontalDpi="300" verticalDpi="300"/>
  <headerFooter alignWithMargins="0">
    <oddHeader/>
    <oddFooter>&amp;LSES - &amp;D&amp;C&amp;F&amp;R&amp;A -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tabColor theme="4" tint="0.5999938962981048"/>
    <outlinePr summaryBelow="1" summaryRight="1"/>
    <pageSetUpPr/>
  </sheetPr>
  <dimension ref="A1:Y47"/>
  <sheetViews>
    <sheetView showGridLines="0" workbookViewId="0">
      <selection activeCell="N32" sqref="N32"/>
    </sheetView>
  </sheetViews>
  <sheetFormatPr baseColWidth="8" defaultColWidth="9.109375" defaultRowHeight="13.2"/>
  <cols>
    <col width="28.6640625" bestFit="1" customWidth="1" style="141" min="1" max="1"/>
    <col outlineLevel="1" width="7.5546875" customWidth="1" style="141" min="2" max="3"/>
    <col width="7.5546875" customWidth="1" style="141" min="4" max="5"/>
    <col width="8" customWidth="1" style="141" min="6" max="6"/>
    <col outlineLevel="1" width="8" customWidth="1" style="141" min="7" max="11"/>
    <col width="1.109375" customWidth="1" style="141" min="12" max="12"/>
    <col width="9.109375" customWidth="1" style="141" min="13" max="14"/>
    <col width="24.109375" bestFit="1" customWidth="1" style="141" min="15" max="15"/>
    <col width="8.33203125" customWidth="1" style="141" min="16" max="24"/>
    <col width="8" customWidth="1" style="141" min="25" max="25"/>
    <col width="9.109375" customWidth="1" style="141" min="26" max="16384"/>
  </cols>
  <sheetData>
    <row r="1">
      <c r="A1" s="324">
        <f>Historiek!A2</f>
        <v/>
      </c>
    </row>
    <row r="3">
      <c r="A3" s="728" t="inlineStr">
        <is>
          <t>RESULTATEN</t>
        </is>
      </c>
      <c r="B3" s="729">
        <f>Resultaten!B4</f>
        <v/>
      </c>
      <c r="C3" s="729">
        <f>Resultaten!C4</f>
        <v/>
      </c>
      <c r="D3" s="729">
        <f>Resultaten!D4</f>
        <v/>
      </c>
      <c r="E3" s="729">
        <f>Resultaten!E4</f>
        <v/>
      </c>
      <c r="F3" s="729">
        <f>Resultaten!F4</f>
        <v/>
      </c>
      <c r="G3" s="729">
        <f>Resultaten!G4</f>
        <v/>
      </c>
      <c r="H3" s="729">
        <f>Resultaten!H4</f>
        <v/>
      </c>
      <c r="I3" s="729">
        <f>Resultaten!I4</f>
        <v/>
      </c>
      <c r="J3" s="729">
        <f>Resultaten!J4</f>
        <v/>
      </c>
      <c r="K3" s="729">
        <f>Resultaten!K4</f>
        <v/>
      </c>
      <c r="L3" s="730" t="n"/>
    </row>
    <row r="4">
      <c r="A4" s="731" t="inlineStr">
        <is>
          <t>in k€</t>
        </is>
      </c>
      <c r="B4" s="732">
        <f>Resultaten!B5</f>
        <v/>
      </c>
      <c r="C4" s="732">
        <f>Resultaten!C5</f>
        <v/>
      </c>
      <c r="D4" s="732">
        <f>Resultaten!D5</f>
        <v/>
      </c>
      <c r="E4" s="732">
        <f>Resultaten!E5</f>
        <v/>
      </c>
      <c r="F4" s="732">
        <f>Resultaten!F5</f>
        <v/>
      </c>
      <c r="G4" s="732">
        <f>Resultaten!G5</f>
        <v/>
      </c>
      <c r="H4" s="732">
        <f>Resultaten!H5</f>
        <v/>
      </c>
      <c r="I4" s="732">
        <f>Resultaten!I5</f>
        <v/>
      </c>
      <c r="J4" s="732">
        <f>Resultaten!J5</f>
        <v/>
      </c>
      <c r="K4" s="732">
        <f>Resultaten!K5</f>
        <v/>
      </c>
      <c r="L4" s="733" t="n"/>
    </row>
    <row r="5">
      <c r="A5" s="325" t="inlineStr">
        <is>
          <t>Omzet</t>
        </is>
      </c>
      <c r="B5" s="326">
        <f>Resultaten!B7</f>
        <v/>
      </c>
      <c r="C5" s="326">
        <f>Resultaten!C7</f>
        <v/>
      </c>
      <c r="D5" s="326">
        <f>Resultaten!D7</f>
        <v/>
      </c>
      <c r="E5" s="326">
        <f>Resultaten!E7</f>
        <v/>
      </c>
      <c r="F5" s="326">
        <f>Resultaten!F7</f>
        <v/>
      </c>
      <c r="G5" s="326">
        <f>Resultaten!G7</f>
        <v/>
      </c>
      <c r="H5" s="326">
        <f>Resultaten!H7</f>
        <v/>
      </c>
      <c r="I5" s="326">
        <f>Resultaten!I7</f>
        <v/>
      </c>
      <c r="J5" s="326">
        <f>Resultaten!J7</f>
        <v/>
      </c>
      <c r="K5" s="326">
        <f>Resultaten!K7</f>
        <v/>
      </c>
      <c r="L5" s="327" t="n"/>
    </row>
    <row r="6">
      <c r="A6" s="328" t="inlineStr">
        <is>
          <t>Brutowinstmarge</t>
        </is>
      </c>
      <c r="B6" s="329">
        <f>Resultaten!B11</f>
        <v/>
      </c>
      <c r="C6" s="329">
        <f>Resultaten!C11</f>
        <v/>
      </c>
      <c r="D6" s="329">
        <f>Resultaten!D11</f>
        <v/>
      </c>
      <c r="E6" s="329">
        <f>Resultaten!E11</f>
        <v/>
      </c>
      <c r="F6" s="329">
        <f>Resultaten!F11</f>
        <v/>
      </c>
      <c r="G6" s="329">
        <f>Resultaten!G11</f>
        <v/>
      </c>
      <c r="H6" s="329">
        <f>Resultaten!H11</f>
        <v/>
      </c>
      <c r="I6" s="329">
        <f>Resultaten!I11</f>
        <v/>
      </c>
      <c r="J6" s="329">
        <f>Resultaten!J11</f>
        <v/>
      </c>
      <c r="K6" s="329">
        <f>Resultaten!K11</f>
        <v/>
      </c>
      <c r="L6" s="330" t="n"/>
    </row>
    <row r="7" hidden="1">
      <c r="A7" s="328" t="inlineStr">
        <is>
          <t>% tov omzet</t>
        </is>
      </c>
      <c r="B7" s="331">
        <f>Resultaten!B12</f>
        <v/>
      </c>
      <c r="C7" s="331">
        <f>Resultaten!C12</f>
        <v/>
      </c>
      <c r="D7" s="331">
        <f>Resultaten!D12</f>
        <v/>
      </c>
      <c r="E7" s="331">
        <f>Resultaten!E12</f>
        <v/>
      </c>
      <c r="F7" s="331">
        <f>Resultaten!F12</f>
        <v/>
      </c>
      <c r="G7" s="331">
        <f>Resultaten!G12</f>
        <v/>
      </c>
      <c r="H7" s="331">
        <f>Resultaten!H12</f>
        <v/>
      </c>
      <c r="I7" s="331">
        <f>Resultaten!I12</f>
        <v/>
      </c>
      <c r="J7" s="331">
        <f>Resultaten!J12</f>
        <v/>
      </c>
      <c r="K7" s="331">
        <f>Resultaten!K12</f>
        <v/>
      </c>
      <c r="L7" s="330" t="n"/>
    </row>
    <row r="8">
      <c r="A8" s="328" t="inlineStr">
        <is>
          <t>Ebitda</t>
        </is>
      </c>
      <c r="B8" s="329">
        <f>Resultaten!B26</f>
        <v/>
      </c>
      <c r="C8" s="329">
        <f>Resultaten!C26</f>
        <v/>
      </c>
      <c r="D8" s="329">
        <f>Resultaten!D26</f>
        <v/>
      </c>
      <c r="E8" s="329">
        <f>Resultaten!E26</f>
        <v/>
      </c>
      <c r="F8" s="329">
        <f>Resultaten!F26</f>
        <v/>
      </c>
      <c r="G8" s="329">
        <f>Resultaten!G26</f>
        <v/>
      </c>
      <c r="H8" s="329">
        <f>Resultaten!H26</f>
        <v/>
      </c>
      <c r="I8" s="329">
        <f>Resultaten!I26</f>
        <v/>
      </c>
      <c r="J8" s="329">
        <f>Resultaten!J26</f>
        <v/>
      </c>
      <c r="K8" s="329">
        <f>Resultaten!K26</f>
        <v/>
      </c>
      <c r="L8" s="330" t="n"/>
    </row>
    <row r="9" hidden="1">
      <c r="A9" s="328" t="inlineStr">
        <is>
          <t>% tov opbrengsten</t>
        </is>
      </c>
      <c r="B9" s="331">
        <f>Resultaten!B27</f>
        <v/>
      </c>
      <c r="C9" s="331">
        <f>Resultaten!C27</f>
        <v/>
      </c>
      <c r="D9" s="331">
        <f>Resultaten!D27</f>
        <v/>
      </c>
      <c r="E9" s="331">
        <f>Resultaten!E27</f>
        <v/>
      </c>
      <c r="F9" s="331">
        <f>Resultaten!F27</f>
        <v/>
      </c>
      <c r="G9" s="331">
        <f>Resultaten!G27</f>
        <v/>
      </c>
      <c r="H9" s="331">
        <f>Resultaten!H27</f>
        <v/>
      </c>
      <c r="I9" s="331">
        <f>Resultaten!I27</f>
        <v/>
      </c>
      <c r="J9" s="331">
        <f>Resultaten!J27</f>
        <v/>
      </c>
      <c r="K9" s="331">
        <f>Resultaten!K27</f>
        <v/>
      </c>
      <c r="L9" s="330" t="n"/>
    </row>
    <row r="10">
      <c r="A10" s="328" t="inlineStr">
        <is>
          <t>Bedrijfsresultaat (Ebit)</t>
        </is>
      </c>
      <c r="B10" s="329">
        <f>Resultaten!B31</f>
        <v/>
      </c>
      <c r="C10" s="329">
        <f>Resultaten!C31</f>
        <v/>
      </c>
      <c r="D10" s="329">
        <f>Resultaten!D31</f>
        <v/>
      </c>
      <c r="E10" s="329">
        <f>Resultaten!E31</f>
        <v/>
      </c>
      <c r="F10" s="329">
        <f>Resultaten!F31</f>
        <v/>
      </c>
      <c r="G10" s="329">
        <f>Resultaten!G31</f>
        <v/>
      </c>
      <c r="H10" s="329">
        <f>Resultaten!H31</f>
        <v/>
      </c>
      <c r="I10" s="329">
        <f>Resultaten!I31</f>
        <v/>
      </c>
      <c r="J10" s="329">
        <f>Resultaten!J31</f>
        <v/>
      </c>
      <c r="K10" s="329">
        <f>Resultaten!K31</f>
        <v/>
      </c>
      <c r="L10" s="330" t="n"/>
    </row>
    <row r="11" hidden="1">
      <c r="A11" s="328" t="inlineStr">
        <is>
          <t>% tov opbrengsten</t>
        </is>
      </c>
      <c r="B11" s="331">
        <f>Resultaten!B32</f>
        <v/>
      </c>
      <c r="C11" s="331">
        <f>Resultaten!C32</f>
        <v/>
      </c>
      <c r="D11" s="331">
        <f>Resultaten!D32</f>
        <v/>
      </c>
      <c r="E11" s="331">
        <f>Resultaten!E32</f>
        <v/>
      </c>
      <c r="F11" s="331">
        <f>Resultaten!F32</f>
        <v/>
      </c>
      <c r="G11" s="331">
        <f>Resultaten!G32</f>
        <v/>
      </c>
      <c r="H11" s="331">
        <f>Resultaten!H32</f>
        <v/>
      </c>
      <c r="I11" s="331">
        <f>Resultaten!I32</f>
        <v/>
      </c>
      <c r="J11" s="331">
        <f>Resultaten!J32</f>
        <v/>
      </c>
      <c r="K11" s="331">
        <f>Resultaten!K32</f>
        <v/>
      </c>
      <c r="L11" s="330" t="n"/>
    </row>
    <row r="12">
      <c r="A12" s="328" t="inlineStr">
        <is>
          <t>Netto Resultaat</t>
        </is>
      </c>
      <c r="B12" s="329">
        <f>Resultaten!B48</f>
        <v/>
      </c>
      <c r="C12" s="329">
        <f>Resultaten!C48</f>
        <v/>
      </c>
      <c r="D12" s="329">
        <f>Resultaten!D48</f>
        <v/>
      </c>
      <c r="E12" s="329">
        <f>Resultaten!E48</f>
        <v/>
      </c>
      <c r="F12" s="329">
        <f>Resultaten!F48</f>
        <v/>
      </c>
      <c r="G12" s="329">
        <f>Resultaten!G48</f>
        <v/>
      </c>
      <c r="H12" s="329">
        <f>Resultaten!H48</f>
        <v/>
      </c>
      <c r="I12" s="329">
        <f>Resultaten!I48</f>
        <v/>
      </c>
      <c r="J12" s="329">
        <f>Resultaten!J48</f>
        <v/>
      </c>
      <c r="K12" s="329">
        <f>Resultaten!K48</f>
        <v/>
      </c>
      <c r="L12" s="330" t="n"/>
    </row>
    <row r="13">
      <c r="A13" s="332" t="inlineStr">
        <is>
          <t>Cashflow (boekhoudkundig)</t>
        </is>
      </c>
      <c r="B13" s="333">
        <f>Resultaten!B49</f>
        <v/>
      </c>
      <c r="C13" s="333">
        <f>Resultaten!C49</f>
        <v/>
      </c>
      <c r="D13" s="333">
        <f>Resultaten!D49</f>
        <v/>
      </c>
      <c r="E13" s="333">
        <f>Resultaten!E49</f>
        <v/>
      </c>
      <c r="F13" s="333">
        <f>Resultaten!F49</f>
        <v/>
      </c>
      <c r="G13" s="333">
        <f>Resultaten!G49</f>
        <v/>
      </c>
      <c r="H13" s="333">
        <f>Resultaten!H49</f>
        <v/>
      </c>
      <c r="I13" s="333">
        <f>Resultaten!I49</f>
        <v/>
      </c>
      <c r="J13" s="333">
        <f>Resultaten!J49</f>
        <v/>
      </c>
      <c r="K13" s="333">
        <f>Resultaten!K49</f>
        <v/>
      </c>
      <c r="L13" s="334" t="n"/>
    </row>
    <row r="14" hidden="1">
      <c r="A14" s="332" t="inlineStr">
        <is>
          <t>Omzetgroei</t>
        </is>
      </c>
      <c r="B14" s="335" t="n"/>
      <c r="C14" s="335">
        <f>IF(B5=0,"",C5/B5-1)</f>
        <v/>
      </c>
      <c r="D14" s="335">
        <f>IF(C5=0,"",D5/C5-1)</f>
        <v/>
      </c>
      <c r="E14" s="335">
        <f>IF(#REF!=0,"",E5/#REF!-1)</f>
        <v/>
      </c>
      <c r="F14" s="335">
        <f>IF(E5=0,"",F5/E5-1)</f>
        <v/>
      </c>
      <c r="G14" s="335">
        <f>IF(F5=0,"",G5/F5-1)</f>
        <v/>
      </c>
      <c r="H14" s="335">
        <f>IF(G5=0,"",H5/G5-1)</f>
        <v/>
      </c>
      <c r="I14" s="335">
        <f>IF(H5=0,"",I5/H5-1)</f>
        <v/>
      </c>
      <c r="J14" s="335">
        <f>IF(I5=0,"",J5/I5-1)</f>
        <v/>
      </c>
      <c r="K14" s="335">
        <f>IF(J5=0,"",K5/J5-1)</f>
        <v/>
      </c>
      <c r="L14" s="334" t="n"/>
    </row>
    <row r="15">
      <c r="A15" s="336" t="n"/>
      <c r="B15" s="336" t="n"/>
      <c r="C15" s="336" t="n"/>
      <c r="D15" s="336" t="n"/>
      <c r="E15" s="336" t="n"/>
      <c r="F15" s="336" t="n"/>
      <c r="G15" s="336" t="n"/>
      <c r="H15" s="336" t="n"/>
      <c r="I15" s="336" t="n"/>
      <c r="J15" s="336" t="n"/>
      <c r="K15" s="336" t="n"/>
      <c r="L15" s="336" t="n"/>
    </row>
    <row r="16">
      <c r="A16" s="734" t="inlineStr">
        <is>
          <t>BALANS</t>
        </is>
      </c>
      <c r="B16" s="735">
        <f>B3</f>
        <v/>
      </c>
      <c r="C16" s="735">
        <f>C3</f>
        <v/>
      </c>
      <c r="D16" s="735">
        <f>D3</f>
        <v/>
      </c>
      <c r="E16" s="735">
        <f>E3</f>
        <v/>
      </c>
      <c r="F16" s="735">
        <f>F3</f>
        <v/>
      </c>
      <c r="G16" s="736">
        <f>G3</f>
        <v/>
      </c>
      <c r="H16" s="736">
        <f>H3</f>
        <v/>
      </c>
      <c r="I16" s="736">
        <f>I3</f>
        <v/>
      </c>
      <c r="J16" s="736">
        <f>J3</f>
        <v/>
      </c>
      <c r="K16" s="736">
        <f>K3</f>
        <v/>
      </c>
      <c r="L16" s="737" t="n"/>
    </row>
    <row r="17">
      <c r="A17" s="325" t="inlineStr">
        <is>
          <t>Immaterieel vast actief</t>
        </is>
      </c>
      <c r="B17" s="326">
        <f>Balans!B7</f>
        <v/>
      </c>
      <c r="C17" s="326">
        <f>Balans!C7</f>
        <v/>
      </c>
      <c r="D17" s="326">
        <f>Balans!D7</f>
        <v/>
      </c>
      <c r="E17" s="326">
        <f>Balans!E7</f>
        <v/>
      </c>
      <c r="F17" s="326">
        <f>Balans!F7</f>
        <v/>
      </c>
      <c r="G17" s="326">
        <f>Balans!G7</f>
        <v/>
      </c>
      <c r="H17" s="326">
        <f>Balans!H7</f>
        <v/>
      </c>
      <c r="I17" s="326">
        <f>Balans!I7</f>
        <v/>
      </c>
      <c r="J17" s="326">
        <f>Balans!J7</f>
        <v/>
      </c>
      <c r="K17" s="326">
        <f>Balans!K7</f>
        <v/>
      </c>
      <c r="L17" s="330" t="n"/>
    </row>
    <row r="18">
      <c r="A18" s="328" t="inlineStr">
        <is>
          <t>Materieel vast actief</t>
        </is>
      </c>
      <c r="B18" s="329">
        <f>Balans!B8</f>
        <v/>
      </c>
      <c r="C18" s="329">
        <f>Balans!C8</f>
        <v/>
      </c>
      <c r="D18" s="329">
        <f>Balans!D8</f>
        <v/>
      </c>
      <c r="E18" s="329">
        <f>Balans!E8</f>
        <v/>
      </c>
      <c r="F18" s="329">
        <f>Balans!F8</f>
        <v/>
      </c>
      <c r="G18" s="329">
        <f>Balans!G8</f>
        <v/>
      </c>
      <c r="H18" s="329">
        <f>Balans!H8</f>
        <v/>
      </c>
      <c r="I18" s="329">
        <f>Balans!I8</f>
        <v/>
      </c>
      <c r="J18" s="329">
        <f>Balans!J8</f>
        <v/>
      </c>
      <c r="K18" s="329">
        <f>Balans!K8</f>
        <v/>
      </c>
      <c r="L18" s="330" t="n"/>
    </row>
    <row r="19">
      <c r="A19" s="328" t="inlineStr">
        <is>
          <t>Financieel vast actief</t>
        </is>
      </c>
      <c r="B19" s="329">
        <f>Balans!B12</f>
        <v/>
      </c>
      <c r="C19" s="329">
        <f>Balans!C12</f>
        <v/>
      </c>
      <c r="D19" s="329">
        <f>Balans!D12</f>
        <v/>
      </c>
      <c r="E19" s="329">
        <f>Balans!E12</f>
        <v/>
      </c>
      <c r="F19" s="329">
        <f>Balans!F12</f>
        <v/>
      </c>
      <c r="G19" s="329">
        <f>Balans!G12</f>
        <v/>
      </c>
      <c r="H19" s="329">
        <f>Balans!H12</f>
        <v/>
      </c>
      <c r="I19" s="329">
        <f>Balans!I12</f>
        <v/>
      </c>
      <c r="J19" s="329">
        <f>Balans!J12</f>
        <v/>
      </c>
      <c r="K19" s="329">
        <f>Balans!K12</f>
        <v/>
      </c>
      <c r="L19" s="330" t="n"/>
    </row>
    <row r="20">
      <c r="A20" s="328" t="inlineStr">
        <is>
          <t>Behoefte bedrijfskapitaal</t>
        </is>
      </c>
      <c r="B20" s="329">
        <f>Balans!B76</f>
        <v/>
      </c>
      <c r="C20" s="329">
        <f>Balans!C76</f>
        <v/>
      </c>
      <c r="D20" s="329">
        <f>Balans!D76</f>
        <v/>
      </c>
      <c r="E20" s="329">
        <f>Balans!E76</f>
        <v/>
      </c>
      <c r="F20" s="329">
        <f>Balans!F76</f>
        <v/>
      </c>
      <c r="G20" s="329">
        <f>Balans!G76</f>
        <v/>
      </c>
      <c r="H20" s="329">
        <f>Balans!H76</f>
        <v/>
      </c>
      <c r="I20" s="329">
        <f>Balans!I76</f>
        <v/>
      </c>
      <c r="J20" s="329">
        <f>Balans!J76</f>
        <v/>
      </c>
      <c r="K20" s="329">
        <f>Balans!K76</f>
        <v/>
      </c>
      <c r="L20" s="330" t="n"/>
    </row>
    <row r="21">
      <c r="A21" s="328" t="inlineStr">
        <is>
          <t>Eigen vermogen</t>
        </is>
      </c>
      <c r="B21" s="329">
        <f>Balans!B38</f>
        <v/>
      </c>
      <c r="C21" s="329">
        <f>Balans!C38</f>
        <v/>
      </c>
      <c r="D21" s="329">
        <f>Balans!D38</f>
        <v/>
      </c>
      <c r="E21" s="329">
        <f>Balans!E38</f>
        <v/>
      </c>
      <c r="F21" s="329">
        <f>Balans!F38</f>
        <v/>
      </c>
      <c r="G21" s="329">
        <f>Balans!G38</f>
        <v/>
      </c>
      <c r="H21" s="329">
        <f>Balans!H38</f>
        <v/>
      </c>
      <c r="I21" s="329">
        <f>Balans!I38</f>
        <v/>
      </c>
      <c r="J21" s="329">
        <f>Balans!J38</f>
        <v/>
      </c>
      <c r="K21" s="329">
        <f>Balans!K38</f>
        <v/>
      </c>
      <c r="L21" s="330" t="n"/>
    </row>
    <row r="22">
      <c r="A22" s="328" t="inlineStr">
        <is>
          <t>Netto financiële schuldpositie (NFD)</t>
        </is>
      </c>
      <c r="B22" s="329">
        <f>Balans!B63</f>
        <v/>
      </c>
      <c r="C22" s="329">
        <f>Balans!C63</f>
        <v/>
      </c>
      <c r="D22" s="329">
        <f>Balans!D63</f>
        <v/>
      </c>
      <c r="E22" s="329">
        <f>Balans!E63</f>
        <v/>
      </c>
      <c r="F22" s="329">
        <f>Balans!F63</f>
        <v/>
      </c>
      <c r="G22" s="329">
        <f>Balans!G63</f>
        <v/>
      </c>
      <c r="H22" s="329">
        <f>Balans!H63</f>
        <v/>
      </c>
      <c r="I22" s="329">
        <f>Balans!I63</f>
        <v/>
      </c>
      <c r="J22" s="329">
        <f>Balans!J63</f>
        <v/>
      </c>
      <c r="K22" s="329">
        <f>Balans!K63</f>
        <v/>
      </c>
      <c r="L22" s="330" t="n"/>
    </row>
    <row r="23">
      <c r="A23" s="332" t="inlineStr">
        <is>
          <t>Geïnvesteerd vermogen (CE)</t>
        </is>
      </c>
      <c r="B23" s="333">
        <f>Balans!B7+Balans!B8+Balans!B12+Balans!B76</f>
        <v/>
      </c>
      <c r="C23" s="333">
        <f>Balans!C7+Balans!C8+Balans!C12+Balans!C76</f>
        <v/>
      </c>
      <c r="D23" s="333">
        <f>Balans!D7+Balans!D8+Balans!D12+Balans!D76</f>
        <v/>
      </c>
      <c r="E23" s="333">
        <f>Balans!E7+Balans!E8+Balans!E12+Balans!E76</f>
        <v/>
      </c>
      <c r="F23" s="333">
        <f>Balans!F7+Balans!F8+Balans!F12+Balans!F76</f>
        <v/>
      </c>
      <c r="G23" s="333">
        <f>Balans!G7+Balans!G8+Balans!G12+Balans!G76</f>
        <v/>
      </c>
      <c r="H23" s="333">
        <f>Balans!H7+Balans!H8+Balans!H12+Balans!H76</f>
        <v/>
      </c>
      <c r="I23" s="333">
        <f>Balans!I7+Balans!I8+Balans!I12+Balans!I76</f>
        <v/>
      </c>
      <c r="J23" s="333">
        <f>Balans!J7+Balans!J8+Balans!J12+Balans!J76</f>
        <v/>
      </c>
      <c r="K23" s="333">
        <f>Balans!K7+Balans!K8+Balans!K12+Balans!K76</f>
        <v/>
      </c>
      <c r="L23" s="334" t="n"/>
    </row>
    <row r="24">
      <c r="A24" s="336" t="n"/>
      <c r="B24" s="336" t="n"/>
      <c r="C24" s="336" t="n"/>
      <c r="D24" s="336" t="n"/>
      <c r="E24" s="336" t="n"/>
      <c r="F24" s="336" t="n"/>
      <c r="G24" s="336" t="n"/>
      <c r="H24" s="336" t="n"/>
      <c r="I24" s="336" t="n"/>
      <c r="J24" s="336" t="n"/>
      <c r="K24" s="336" t="n"/>
      <c r="L24" s="336" t="n"/>
    </row>
    <row r="25">
      <c r="A25" s="734" t="inlineStr">
        <is>
          <t>CASH FLOW</t>
        </is>
      </c>
      <c r="B25" s="735">
        <f>B3</f>
        <v/>
      </c>
      <c r="C25" s="735">
        <f>C3</f>
        <v/>
      </c>
      <c r="D25" s="735">
        <f>D3</f>
        <v/>
      </c>
      <c r="E25" s="735">
        <f>E3</f>
        <v/>
      </c>
      <c r="F25" s="735">
        <f>F3</f>
        <v/>
      </c>
      <c r="G25" s="736">
        <f>G16</f>
        <v/>
      </c>
      <c r="H25" s="736">
        <f>H16</f>
        <v/>
      </c>
      <c r="I25" s="736">
        <f>I16</f>
        <v/>
      </c>
      <c r="J25" s="736">
        <f>J16</f>
        <v/>
      </c>
      <c r="K25" s="736">
        <f>K16</f>
        <v/>
      </c>
      <c r="L25" s="737" t="n"/>
    </row>
    <row r="26">
      <c r="A26" s="325" t="inlineStr">
        <is>
          <t>Operationeel result na bel. (25%)</t>
        </is>
      </c>
      <c r="B26" s="326">
        <f>B10*(1-0.25)</f>
        <v/>
      </c>
      <c r="C26" s="326">
        <f>C10*(1-0.25)</f>
        <v/>
      </c>
      <c r="D26" s="326">
        <f>D10*(1-0.25)</f>
        <v/>
      </c>
      <c r="E26" s="326">
        <f>E10*(1-0.25)</f>
        <v/>
      </c>
      <c r="F26" s="326">
        <f>F10*(1-0.25)</f>
        <v/>
      </c>
      <c r="G26" s="326">
        <f>G10*(1-0.3399)</f>
        <v/>
      </c>
      <c r="H26" s="326">
        <f>H10*(1-0.3399)</f>
        <v/>
      </c>
      <c r="I26" s="326">
        <f>I10*(1-0.3399)</f>
        <v/>
      </c>
      <c r="J26" s="326">
        <f>J10*(1-0.3399)</f>
        <v/>
      </c>
      <c r="K26" s="326">
        <f>K10*(1-0.3399)</f>
        <v/>
      </c>
      <c r="L26" s="330" t="n"/>
    </row>
    <row r="27">
      <c r="A27" s="328" t="inlineStr">
        <is>
          <t>Operationele CF</t>
        </is>
      </c>
      <c r="B27" s="329">
        <f>B26+Resultaten!B29</f>
        <v/>
      </c>
      <c r="C27" s="329">
        <f>C26+Resultaten!C29</f>
        <v/>
      </c>
      <c r="D27" s="329">
        <f>D26+Resultaten!D29</f>
        <v/>
      </c>
      <c r="E27" s="329">
        <f>E26+Resultaten!E29</f>
        <v/>
      </c>
      <c r="F27" s="329">
        <f>F26+Resultaten!F29</f>
        <v/>
      </c>
      <c r="G27" s="329">
        <f>G26+Resultaten!G29</f>
        <v/>
      </c>
      <c r="H27" s="329">
        <f>H26+Resultaten!H29</f>
        <v/>
      </c>
      <c r="I27" s="329">
        <f>I26+Resultaten!I29</f>
        <v/>
      </c>
      <c r="J27" s="329">
        <f>J26+Resultaten!J29</f>
        <v/>
      </c>
      <c r="K27" s="329">
        <f>K26+Resultaten!K29</f>
        <v/>
      </c>
      <c r="L27" s="330" t="n"/>
    </row>
    <row r="28">
      <c r="A28" s="328" t="inlineStr">
        <is>
          <t>Netto-Investeringen</t>
        </is>
      </c>
      <c r="B28" s="329">
        <f>(-Historiek!B370+-Historiek!B371)/1000</f>
        <v/>
      </c>
      <c r="C28" s="329">
        <f>(-Historiek!C370+-Historiek!C371)/1000</f>
        <v/>
      </c>
      <c r="D28" s="329">
        <f>(-Historiek!D370+-Historiek!D371)/1000</f>
        <v/>
      </c>
      <c r="E28" s="329">
        <f>(-Historiek!E370+-Historiek!E371)/1000</f>
        <v/>
      </c>
      <c r="F28" s="329">
        <f>(-Historiek!F370+-Historiek!F371)/1000</f>
        <v/>
      </c>
      <c r="G28" s="329">
        <f>(-Historiek!G370+-Historiek!G371)/1000</f>
        <v/>
      </c>
      <c r="H28" s="329">
        <f>(-Historiek!H370+-Historiek!H371)/1000</f>
        <v/>
      </c>
      <c r="I28" s="329">
        <f>(-Historiek!I370+-Historiek!I371)/1000</f>
        <v/>
      </c>
      <c r="J28" s="329">
        <f>(-Historiek!J370+-Historiek!J371)/1000</f>
        <v/>
      </c>
      <c r="K28" s="329">
        <f>(-Historiek!K370+-Historiek!K371)/1000</f>
        <v/>
      </c>
      <c r="L28" s="330">
        <f>(-Historiek!K370+-Historiek!K371)/1000</f>
        <v/>
      </c>
    </row>
    <row r="29">
      <c r="A29" s="328" t="inlineStr">
        <is>
          <t>Wijziging bedrijfskapitaal</t>
        </is>
      </c>
      <c r="B29" s="329" t="n"/>
      <c r="C29" s="329">
        <f>B20-C20</f>
        <v/>
      </c>
      <c r="D29" s="329">
        <f>C20-D20</f>
        <v/>
      </c>
      <c r="E29" s="329">
        <f>D20-E20</f>
        <v/>
      </c>
      <c r="F29" s="329">
        <f>E20-F20</f>
        <v/>
      </c>
      <c r="G29" s="329">
        <f>F20-G20</f>
        <v/>
      </c>
      <c r="H29" s="329">
        <f>G20-H20</f>
        <v/>
      </c>
      <c r="I29" s="329">
        <f>H20-I20</f>
        <v/>
      </c>
      <c r="J29" s="329">
        <f>I20-J20</f>
        <v/>
      </c>
      <c r="K29" s="329">
        <f>J20-K20</f>
        <v/>
      </c>
      <c r="L29" s="330" t="n"/>
    </row>
    <row r="30">
      <c r="A30" s="328" t="inlineStr">
        <is>
          <t>Vrije operationele cashflow</t>
        </is>
      </c>
      <c r="B30" s="329" t="n"/>
      <c r="C30" s="329">
        <f>C27+C28+C29</f>
        <v/>
      </c>
      <c r="D30" s="329">
        <f>D27+D28+D29</f>
        <v/>
      </c>
      <c r="E30" s="329">
        <f>E27+E28+E29</f>
        <v/>
      </c>
      <c r="F30" s="329">
        <f>F27+F28+F29</f>
        <v/>
      </c>
      <c r="G30" s="329">
        <f>G27+G28+G29</f>
        <v/>
      </c>
      <c r="H30" s="329">
        <f>H27+H28+H29</f>
        <v/>
      </c>
      <c r="I30" s="329">
        <f>I27+I28+I29</f>
        <v/>
      </c>
      <c r="J30" s="329">
        <f>J27+J28+J29</f>
        <v/>
      </c>
      <c r="K30" s="329">
        <f>K27+K28+K29</f>
        <v/>
      </c>
      <c r="L30" s="330" t="n"/>
    </row>
    <row r="31">
      <c r="A31" s="328" t="inlineStr">
        <is>
          <t>Opname (+) LT leningen</t>
        </is>
      </c>
      <c r="B31" s="329">
        <f>Historiek!B359/1000</f>
        <v/>
      </c>
      <c r="C31" s="329">
        <f>Historiek!C359/1000</f>
        <v/>
      </c>
      <c r="D31" s="329">
        <f>Historiek!D359/1000</f>
        <v/>
      </c>
      <c r="E31" s="329">
        <f>Historiek!E359/1000</f>
        <v/>
      </c>
      <c r="F31" s="329">
        <f>Historiek!F359/1000</f>
        <v/>
      </c>
      <c r="G31" s="329">
        <f>Historiek!G359/1000</f>
        <v/>
      </c>
      <c r="H31" s="329">
        <f>Historiek!H359/1000</f>
        <v/>
      </c>
      <c r="I31" s="329">
        <f>Historiek!I359/1000</f>
        <v/>
      </c>
      <c r="J31" s="329">
        <f>Historiek!J359/1000</f>
        <v/>
      </c>
      <c r="K31" s="329">
        <f>Historiek!K359/1000</f>
        <v/>
      </c>
      <c r="L31" s="330" t="n"/>
    </row>
    <row r="32">
      <c r="A32" s="332" t="inlineStr">
        <is>
          <t>Aflossing (-) LT leningen</t>
        </is>
      </c>
      <c r="B32" s="333">
        <f>-Historiek!B373/1000</f>
        <v/>
      </c>
      <c r="C32" s="333">
        <f>-Historiek!C373/1000</f>
        <v/>
      </c>
      <c r="D32" s="333">
        <f>-Historiek!D373/1000</f>
        <v/>
      </c>
      <c r="E32" s="333">
        <f>-Historiek!E373/1000</f>
        <v/>
      </c>
      <c r="F32" s="333">
        <f>-Historiek!F373/1000</f>
        <v/>
      </c>
      <c r="G32" s="333">
        <f>-Historiek!G373/1000</f>
        <v/>
      </c>
      <c r="H32" s="333">
        <f>-Historiek!H373/1000</f>
        <v/>
      </c>
      <c r="I32" s="333">
        <f>-Historiek!I373/1000</f>
        <v/>
      </c>
      <c r="J32" s="333">
        <f>-Historiek!J373/1000</f>
        <v/>
      </c>
      <c r="K32" s="333">
        <f>-Historiek!K373/1000</f>
        <v/>
      </c>
      <c r="L32" s="334" t="n"/>
    </row>
    <row r="33">
      <c r="A33" s="336" t="n"/>
      <c r="B33" s="336" t="n"/>
      <c r="C33" s="336" t="n"/>
      <c r="D33" s="336" t="n"/>
      <c r="E33" s="336" t="n"/>
      <c r="F33" s="336" t="n"/>
      <c r="G33" s="336" t="n"/>
      <c r="H33" s="336" t="n"/>
      <c r="I33" s="336" t="n"/>
      <c r="J33" s="336" t="n"/>
      <c r="K33" s="336" t="n"/>
      <c r="L33" s="336" t="n"/>
    </row>
    <row r="34">
      <c r="A34" s="734" t="inlineStr">
        <is>
          <t>PRESTATIES / SCHULDPOSITIE</t>
        </is>
      </c>
      <c r="B34" s="735">
        <f>B3</f>
        <v/>
      </c>
      <c r="C34" s="735">
        <f>C3</f>
        <v/>
      </c>
      <c r="D34" s="735">
        <f>D3</f>
        <v/>
      </c>
      <c r="E34" s="735">
        <f>E3</f>
        <v/>
      </c>
      <c r="F34" s="735">
        <f>F3</f>
        <v/>
      </c>
      <c r="G34" s="736">
        <f>G25</f>
        <v/>
      </c>
      <c r="H34" s="736">
        <f>H25</f>
        <v/>
      </c>
      <c r="I34" s="736">
        <f>I25</f>
        <v/>
      </c>
      <c r="J34" s="736">
        <f>J25</f>
        <v/>
      </c>
      <c r="K34" s="736">
        <f>K25</f>
        <v/>
      </c>
      <c r="L34" s="737" t="n"/>
    </row>
    <row r="35">
      <c r="A35" s="328" t="inlineStr">
        <is>
          <t>Rendement EV (ROE)</t>
        </is>
      </c>
      <c r="B35" s="331">
        <f>IF(B21=0,"",B12/B21)</f>
        <v/>
      </c>
      <c r="C35" s="331">
        <f>IF(C21=0,"",C12/C21)</f>
        <v/>
      </c>
      <c r="D35" s="331">
        <f>IF(D21=0,"",D12/D21)</f>
        <v/>
      </c>
      <c r="E35" s="331">
        <f>IF(E21=0,"",E12/E21)</f>
        <v/>
      </c>
      <c r="F35" s="331">
        <f>IF(F21=0,"",F12/F21)</f>
        <v/>
      </c>
      <c r="G35" s="331">
        <f>IF(G21=0,"",G12/G21)</f>
        <v/>
      </c>
      <c r="H35" s="331">
        <f>IF(H21=0,"",H12/H21)</f>
        <v/>
      </c>
      <c r="I35" s="331">
        <f>IF(I21=0,"",I12/I21)</f>
        <v/>
      </c>
      <c r="J35" s="331">
        <f>IF(J21=0,"",J12/J21)</f>
        <v/>
      </c>
      <c r="K35" s="331">
        <f>IF(K21=0,"",K12/K21)</f>
        <v/>
      </c>
      <c r="L35" s="337" t="n"/>
    </row>
    <row r="36">
      <c r="A36" s="328" t="inlineStr">
        <is>
          <t>Rendement CE (ROCE)</t>
        </is>
      </c>
      <c r="B36" s="338">
        <f>IF(B23=0,"",B26/B23)</f>
        <v/>
      </c>
      <c r="C36" s="338">
        <f>IF(C23=0,"",C26/C23)</f>
        <v/>
      </c>
      <c r="D36" s="338">
        <f>IF(D23=0,"",D26/D23)</f>
        <v/>
      </c>
      <c r="E36" s="338">
        <f>IF(E23=0,"",E26/E23)</f>
        <v/>
      </c>
      <c r="F36" s="338">
        <f>IF(F23=0,"",F26/F23)</f>
        <v/>
      </c>
      <c r="G36" s="338">
        <f>IF(G23=0,"",G26/G23)</f>
        <v/>
      </c>
      <c r="H36" s="338">
        <f>IF(H23=0,"",H26/H23)</f>
        <v/>
      </c>
      <c r="I36" s="338">
        <f>IF(I23=0,"",I26/I23)</f>
        <v/>
      </c>
      <c r="J36" s="338">
        <f>IF(J23=0,"",J26/J23)</f>
        <v/>
      </c>
      <c r="K36" s="338">
        <f>IF(K23=0,"",K26/K23)</f>
        <v/>
      </c>
      <c r="L36" s="330" t="n"/>
      <c r="O36" s="320" t="n"/>
      <c r="P36" s="339" t="n"/>
      <c r="Q36" s="339" t="n"/>
      <c r="R36" s="339" t="n"/>
      <c r="S36" s="339" t="n"/>
      <c r="T36" s="339" t="n"/>
      <c r="U36" s="339" t="n"/>
      <c r="V36" s="339" t="n"/>
      <c r="W36" s="339" t="n"/>
      <c r="X36" s="339" t="n"/>
      <c r="Y36" s="339" t="n"/>
    </row>
    <row r="37">
      <c r="A37" s="328" t="inlineStr">
        <is>
          <t>NFD / Ebitda</t>
        </is>
      </c>
      <c r="B37" s="902">
        <f>Balans!B64</f>
        <v/>
      </c>
      <c r="C37" s="902">
        <f>Balans!C64</f>
        <v/>
      </c>
      <c r="D37" s="902">
        <f>Balans!D64</f>
        <v/>
      </c>
      <c r="E37" s="902">
        <f>Balans!E64</f>
        <v/>
      </c>
      <c r="F37" s="902">
        <f>Balans!F64</f>
        <v/>
      </c>
      <c r="G37" s="902">
        <f>Balans!G64</f>
        <v/>
      </c>
      <c r="H37" s="902">
        <f>Balans!H64</f>
        <v/>
      </c>
      <c r="I37" s="902">
        <f>Balans!I64</f>
        <v/>
      </c>
      <c r="J37" s="902">
        <f>Balans!J64</f>
        <v/>
      </c>
      <c r="K37" s="902">
        <f>Balans!K64</f>
        <v/>
      </c>
      <c r="L37" s="330" t="n"/>
      <c r="O37" s="320" t="n"/>
      <c r="P37" s="339" t="n"/>
      <c r="Q37" s="339" t="n"/>
      <c r="R37" s="339" t="n"/>
      <c r="S37" s="339" t="n"/>
      <c r="T37" s="339" t="n"/>
      <c r="U37" s="339" t="n"/>
      <c r="V37" s="339" t="n"/>
      <c r="W37" s="339" t="n"/>
      <c r="X37" s="339" t="n"/>
      <c r="Y37" s="339" t="n"/>
    </row>
    <row r="38">
      <c r="A38" s="328" t="inlineStr">
        <is>
          <t>ICR (Ebit/ intrest)</t>
        </is>
      </c>
      <c r="B38" s="903">
        <f>IF(B22&lt;0,"",IF(Resultaten!B34=0,"",B10/Resultaten!B34))</f>
        <v/>
      </c>
      <c r="C38" s="903">
        <f>IF(C22&lt;0,"",IF(Resultaten!C34=0,"",C10/Resultaten!C34))</f>
        <v/>
      </c>
      <c r="D38" s="903">
        <f>IF(D22&lt;0,"",IF(Resultaten!D34=0,"",D10/Resultaten!D34))</f>
        <v/>
      </c>
      <c r="E38" s="903">
        <f>IF(E22&lt;0,"",IF(Resultaten!E34=0,"",E10/Resultaten!E34))</f>
        <v/>
      </c>
      <c r="F38" s="903">
        <f>IF(F22&lt;0,"",IF(Resultaten!F34=0,"",F10/Resultaten!F34))</f>
        <v/>
      </c>
      <c r="G38" s="903">
        <f>IF(G22&lt;0,"",IF(Resultaten!G34=0,"",G10/Resultaten!G34))</f>
        <v/>
      </c>
      <c r="H38" s="903">
        <f>IF(H22&lt;0,"",IF(Resultaten!H34=0,"",H10/Resultaten!H34))</f>
        <v/>
      </c>
      <c r="I38" s="903">
        <f>IF(I22&lt;0,"",IF(Resultaten!I34=0,"",I10/Resultaten!I34))</f>
        <v/>
      </c>
      <c r="J38" s="903">
        <f>IF(J22&lt;0,"",IF(Resultaten!J34=0,"",J10/Resultaten!J34))</f>
        <v/>
      </c>
      <c r="K38" s="903">
        <f>IF(K22&lt;0,"",IF(Resultaten!K34=0,"",K10/Resultaten!K34))</f>
        <v/>
      </c>
      <c r="L38" s="330" t="n"/>
    </row>
    <row r="39">
      <c r="A39" s="336" t="inlineStr">
        <is>
          <t>DSCR (Ebitda / Intresten + Aflossingen)</t>
        </is>
      </c>
      <c r="B39" s="904">
        <f>IF(B22&lt;0,"",Balans!B65)</f>
        <v/>
      </c>
      <c r="C39" s="904">
        <f>IF(C22&lt;0,"",Balans!C65)</f>
        <v/>
      </c>
      <c r="D39" s="904">
        <f>IF(D22&lt;0,"",Balans!D65)</f>
        <v/>
      </c>
      <c r="E39" s="904">
        <f>IF(E22&lt;0,"",Balans!E65)</f>
        <v/>
      </c>
      <c r="F39" s="904">
        <f>IF(F22&lt;0,"",Balans!F65)</f>
        <v/>
      </c>
      <c r="G39" s="904">
        <f>IF(G22&lt;0,"",Balans!G65)</f>
        <v/>
      </c>
      <c r="H39" s="904">
        <f>IF(H22&lt;0,"",Balans!H65)</f>
        <v/>
      </c>
      <c r="I39" s="904">
        <f>IF(I22&lt;0,"",Balans!I65)</f>
        <v/>
      </c>
      <c r="J39" s="904">
        <f>IF(J22&lt;0,"",Balans!J65)</f>
        <v/>
      </c>
      <c r="K39" s="904">
        <f>IF(K22&lt;0,"",Balans!K65)</f>
        <v/>
      </c>
      <c r="L39" s="330" t="n"/>
    </row>
    <row r="40">
      <c r="A40" s="328" t="inlineStr">
        <is>
          <t>Netto bedrijfskapitaal</t>
        </is>
      </c>
      <c r="B40" s="329">
        <f>Balans!B75</f>
        <v/>
      </c>
      <c r="C40" s="329">
        <f>Balans!C75</f>
        <v/>
      </c>
      <c r="D40" s="329">
        <f>Balans!D75</f>
        <v/>
      </c>
      <c r="E40" s="329">
        <f>Balans!E75</f>
        <v/>
      </c>
      <c r="F40" s="329">
        <f>Balans!F75</f>
        <v/>
      </c>
      <c r="G40" s="329">
        <f>Balans!G75</f>
        <v/>
      </c>
      <c r="H40" s="329">
        <f>Balans!H75</f>
        <v/>
      </c>
      <c r="I40" s="329">
        <f>Balans!I75</f>
        <v/>
      </c>
      <c r="J40" s="329">
        <f>Balans!J75</f>
        <v/>
      </c>
      <c r="K40" s="329">
        <f>Balans!K75</f>
        <v/>
      </c>
      <c r="L40" s="330" t="n"/>
    </row>
    <row r="41">
      <c r="A41" s="332" t="inlineStr">
        <is>
          <t>Solvabiliteit (corr)</t>
        </is>
      </c>
      <c r="B41" s="343">
        <f>IF(Balans!B28=0,"",(Balans!B38+Balans!B44-Balans!B7-Balans!B6)/(Balans!B28-Balans!B7-Balans!B6))</f>
        <v/>
      </c>
      <c r="C41" s="343">
        <f>IF(Balans!C28=0,"",(Balans!C38+Balans!C43-Balans!C7-Balans!C6)/(Balans!C28-Balans!C7-Balans!C6))</f>
        <v/>
      </c>
      <c r="D41" s="343">
        <f>IF(Balans!D28=0,"",(Balans!D38+Balans!D43-Balans!D7-Balans!D6)/(Balans!D28-Balans!D7-Balans!D6))</f>
        <v/>
      </c>
      <c r="E41" s="343">
        <f>IF(Balans!E28=0,"",(Balans!E38+Balans!E43-Balans!E7-Balans!E6)/(Balans!E28-Balans!E7-Balans!E6))</f>
        <v/>
      </c>
      <c r="F41" s="343">
        <f>IF(Balans!F28=0,"",(Balans!F38+Balans!F43-Balans!F7-Balans!F6)/(Balans!F28-Balans!F7-Balans!F6))</f>
        <v/>
      </c>
      <c r="G41" s="343">
        <f>IF(Balans!G28=0,"",(Balans!G38+Balans!G43-Balans!G7-Balans!G6)/(Balans!G28-Balans!G7-Balans!G6))</f>
        <v/>
      </c>
      <c r="H41" s="343">
        <f>IF(Balans!H28=0,"",(Balans!H38+Balans!H43-Balans!H7-Balans!H6)/(Balans!H28-Balans!H7-Balans!H6))</f>
        <v/>
      </c>
      <c r="I41" s="343">
        <f>IF(Balans!I28=0,"",(Balans!I38+Balans!I43-Balans!I7-Balans!I6)/(Balans!I28-Balans!I7-Balans!I6))</f>
        <v/>
      </c>
      <c r="J41" s="343">
        <f>IF(Balans!J28=0,"",(Balans!J38+Balans!J43-Balans!J7-Balans!J6)/(Balans!J28-Balans!J7-Balans!J6))</f>
        <v/>
      </c>
      <c r="K41" s="343">
        <f>IF(Balans!K28=0,"",(Balans!K38+Balans!K43-Balans!K7-Balans!K6)/(Balans!K28-Balans!K7-Balans!K6))</f>
        <v/>
      </c>
      <c r="L41" s="334" t="n"/>
    </row>
    <row r="42">
      <c r="A42" s="336" t="n"/>
      <c r="B42" s="336" t="n"/>
      <c r="C42" s="336" t="n"/>
      <c r="D42" s="336" t="n"/>
      <c r="E42" s="336" t="n"/>
      <c r="F42" s="336" t="n"/>
      <c r="G42" s="336" t="n"/>
      <c r="H42" s="336" t="n"/>
      <c r="I42" s="336" t="n"/>
      <c r="J42" s="336" t="n"/>
      <c r="K42" s="336" t="n"/>
      <c r="L42" s="336" t="n"/>
    </row>
    <row r="43">
      <c r="A43" s="734" t="inlineStr">
        <is>
          <t>BIJZONDERE AANDACHTSPUNTEN</t>
        </is>
      </c>
      <c r="B43" s="735">
        <f>B3</f>
        <v/>
      </c>
      <c r="C43" s="735">
        <f>C3</f>
        <v/>
      </c>
      <c r="D43" s="735">
        <f>D3</f>
        <v/>
      </c>
      <c r="E43" s="735">
        <f>E3</f>
        <v/>
      </c>
      <c r="F43" s="735">
        <f>F3</f>
        <v/>
      </c>
      <c r="G43" s="736">
        <f>G34</f>
        <v/>
      </c>
      <c r="H43" s="736">
        <f>H34</f>
        <v/>
      </c>
      <c r="I43" s="736">
        <f>I34</f>
        <v/>
      </c>
      <c r="J43" s="736">
        <f>J34</f>
        <v/>
      </c>
      <c r="K43" s="736">
        <f>K34</f>
        <v/>
      </c>
      <c r="L43" s="737" t="n"/>
    </row>
    <row r="44">
      <c r="A44" s="328" t="inlineStr">
        <is>
          <t>Voorraad</t>
        </is>
      </c>
      <c r="B44" s="329">
        <f>Balans!B19</f>
        <v/>
      </c>
      <c r="C44" s="329">
        <f>Balans!C19</f>
        <v/>
      </c>
      <c r="D44" s="329">
        <f>Balans!D19</f>
        <v/>
      </c>
      <c r="E44" s="329">
        <f>Balans!E19</f>
        <v/>
      </c>
      <c r="F44" s="329">
        <f>Balans!F19</f>
        <v/>
      </c>
      <c r="G44" s="329">
        <f>Balans!G19</f>
        <v/>
      </c>
      <c r="H44" s="329">
        <f>Balans!H19</f>
        <v/>
      </c>
      <c r="I44" s="329">
        <f>Balans!I19</f>
        <v/>
      </c>
      <c r="J44" s="329">
        <f>Balans!J19</f>
        <v/>
      </c>
      <c r="K44" s="329">
        <f>Balans!K19</f>
        <v/>
      </c>
      <c r="L44" s="330" t="n"/>
    </row>
    <row r="45">
      <c r="A45" s="328" t="inlineStr">
        <is>
          <t>Beschikbare Cash</t>
        </is>
      </c>
      <c r="B45" s="329">
        <f>Balans!B23</f>
        <v/>
      </c>
      <c r="C45" s="329">
        <f>Balans!C23</f>
        <v/>
      </c>
      <c r="D45" s="329">
        <f>Balans!D23</f>
        <v/>
      </c>
      <c r="E45" s="329">
        <f>Balans!E23</f>
        <v/>
      </c>
      <c r="F45" s="329">
        <f>Balans!F23</f>
        <v/>
      </c>
      <c r="G45" s="329">
        <f>Balans!G23</f>
        <v/>
      </c>
      <c r="H45" s="329">
        <f>Balans!H23</f>
        <v/>
      </c>
      <c r="I45" s="329">
        <f>Balans!I23</f>
        <v/>
      </c>
      <c r="J45" s="329">
        <f>Balans!J23</f>
        <v/>
      </c>
      <c r="K45" s="329">
        <f>Balans!K23</f>
        <v/>
      </c>
      <c r="L45" s="330" t="n"/>
    </row>
    <row r="46">
      <c r="A46" s="328" t="inlineStr">
        <is>
          <t>Operationele kaskost per maand</t>
        </is>
      </c>
      <c r="B46" s="329">
        <f>(Resultaten!B14+Resultaten!B21+Resultaten!B22)/12</f>
        <v/>
      </c>
      <c r="C46" s="329">
        <f>(Resultaten!C14+Resultaten!C21+Resultaten!C22)/12</f>
        <v/>
      </c>
      <c r="D46" s="329">
        <f>(Resultaten!D14+Resultaten!D21+Resultaten!D22)/12</f>
        <v/>
      </c>
      <c r="E46" s="329">
        <f>(Resultaten!E14+Resultaten!E21+Resultaten!E22)/12</f>
        <v/>
      </c>
      <c r="F46" s="329">
        <f>(Resultaten!F14+Resultaten!F21+Resultaten!F22)/12</f>
        <v/>
      </c>
      <c r="G46" s="329">
        <f>(Resultaten!G14+Resultaten!G21+Resultaten!G22)/12</f>
        <v/>
      </c>
      <c r="H46" s="329">
        <f>(Resultaten!H14+Resultaten!H21+Resultaten!H22)/12</f>
        <v/>
      </c>
      <c r="I46" s="329">
        <f>(Resultaten!I14+Resultaten!I21+Resultaten!I22)/12</f>
        <v/>
      </c>
      <c r="J46" s="329">
        <f>(Resultaten!J14+Resultaten!J21+Resultaten!J22)/12</f>
        <v/>
      </c>
      <c r="K46" s="329">
        <f>(Resultaten!K14+Resultaten!K21+Resultaten!K22)/12</f>
        <v/>
      </c>
      <c r="L46" s="330" t="n"/>
    </row>
    <row r="47">
      <c r="A47" s="332" t="inlineStr">
        <is>
          <t>Personeel</t>
        </is>
      </c>
      <c r="B47" s="333">
        <f>Historiek!B302/1000</f>
        <v/>
      </c>
      <c r="C47" s="333">
        <f>Historiek!C302/1000</f>
        <v/>
      </c>
      <c r="D47" s="333">
        <f>Historiek!D302/1000</f>
        <v/>
      </c>
      <c r="E47" s="333">
        <f>Historiek!E302/1000</f>
        <v/>
      </c>
      <c r="F47" s="333">
        <f>Historiek!F302/1000</f>
        <v/>
      </c>
      <c r="G47" s="333">
        <f>Historiek!G302/1000</f>
        <v/>
      </c>
      <c r="H47" s="333">
        <f>Historiek!H302/1000</f>
        <v/>
      </c>
      <c r="I47" s="333">
        <f>Historiek!I302/1000</f>
        <v/>
      </c>
      <c r="J47" s="333">
        <f>Historiek!J302/1000</f>
        <v/>
      </c>
      <c r="K47" s="333">
        <f>Historiek!K302/1000</f>
        <v/>
      </c>
      <c r="L47" s="334" t="n"/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tabColor theme="1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0.5999938962981048"/>
    <outlinePr summaryBelow="1" summaryRight="1"/>
    <pageSetUpPr autoPageBreaks="0"/>
  </sheetPr>
  <dimension ref="A1:CJ145"/>
  <sheetViews>
    <sheetView showGridLines="0" workbookViewId="0">
      <selection activeCell="A1" sqref="A1"/>
    </sheetView>
  </sheetViews>
  <sheetFormatPr baseColWidth="8" defaultColWidth="0" defaultRowHeight="13.2" outlineLevelRow="1"/>
  <cols>
    <col width="9.109375" customWidth="1" style="405" min="1" max="1"/>
    <col width="9.109375" customWidth="1" style="2" min="2" max="2"/>
    <col width="38.44140625" customWidth="1" style="2" min="3" max="3"/>
    <col collapsed="1" width="9.33203125" customWidth="1" style="2" min="4" max="5"/>
    <col width="9.33203125" customWidth="1" style="12" min="6" max="6"/>
    <col width="9.33203125" customWidth="1" style="2" min="7" max="67"/>
    <col hidden="1" style="2" min="68" max="88"/>
    <col hidden="1" width="9.109375" customWidth="1" style="2" min="89" max="16384"/>
  </cols>
  <sheetData>
    <row r="1">
      <c r="A1" s="1">
        <f>SUM(A2:A204)</f>
        <v/>
      </c>
    </row>
    <row r="3" outlineLevel="1">
      <c r="C3" s="24" t="inlineStr">
        <is>
          <t>Timeline input - P&amp;L</t>
        </is>
      </c>
    </row>
    <row r="4" outlineLevel="1">
      <c r="C4" s="738" t="inlineStr">
        <is>
          <t>k€</t>
        </is>
      </c>
      <c r="D4" s="739">
        <f>"FY"&amp;RIGHT(YEAR(Historiek!D7),2)</f>
        <v/>
      </c>
      <c r="E4" s="739">
        <f>"FY"&amp;RIGHT(YEAR(Historiek!E7),2)</f>
        <v/>
      </c>
      <c r="F4" s="740">
        <f>"FY"&amp;RIGHT(YEAR(Historiek!F7),2)</f>
        <v/>
      </c>
      <c r="G4" s="741">
        <f>"Jan'"&amp;(RIGHT($F$6,2)+1)</f>
        <v/>
      </c>
      <c r="H4" s="741">
        <f>"Feb'"&amp;(RIGHT($F$6,2)+1)</f>
        <v/>
      </c>
      <c r="I4" s="741">
        <f>"Mrt'"&amp;(RIGHT($F$6,2)+1)</f>
        <v/>
      </c>
      <c r="J4" s="741">
        <f>"Apr'"&amp;(RIGHT($F$6,2)+1)</f>
        <v/>
      </c>
      <c r="K4" s="741">
        <f>"Mei'"&amp;(RIGHT($F$6,2)+1)</f>
        <v/>
      </c>
      <c r="L4" s="741">
        <f>"Jun'"&amp;(RIGHT($F$6,2)+1)</f>
        <v/>
      </c>
      <c r="M4" s="741">
        <f>"Jul'"&amp;(RIGHT($F$6,2)+1)</f>
        <v/>
      </c>
      <c r="N4" s="741">
        <f>"Aug'"&amp;(RIGHT($F$6,2)+1)</f>
        <v/>
      </c>
      <c r="O4" s="741">
        <f>"Sep'"&amp;(RIGHT($F$6,2)+1)</f>
        <v/>
      </c>
      <c r="P4" s="741">
        <f>"Okt'"&amp;(RIGHT($F$6,2)+1)</f>
        <v/>
      </c>
      <c r="Q4" s="741">
        <f>"Nov'"&amp;(RIGHT($F$6,2)+1)</f>
        <v/>
      </c>
      <c r="R4" s="741">
        <f>"Dec'"&amp;(RIGHT($F$6,2)+1)</f>
        <v/>
      </c>
      <c r="S4" s="741">
        <f>"Jan'"&amp;(RIGHT($F$6,2)+2)</f>
        <v/>
      </c>
      <c r="T4" s="741">
        <f>"Feb'"&amp;(RIGHT($F$6,2)+2)</f>
        <v/>
      </c>
      <c r="U4" s="741">
        <f>"Mrt'"&amp;(RIGHT($F$6,2)+2)</f>
        <v/>
      </c>
      <c r="V4" s="741">
        <f>"Apr'"&amp;(RIGHT($F$6,2)+2)</f>
        <v/>
      </c>
      <c r="W4" s="741">
        <f>"Mei'"&amp;(RIGHT($F$6,2)+2)</f>
        <v/>
      </c>
      <c r="X4" s="741">
        <f>"Jun'"&amp;(RIGHT($F$6,2)+2)</f>
        <v/>
      </c>
      <c r="Y4" s="741">
        <f>"Jul'"&amp;(RIGHT($F$6,2)+2)</f>
        <v/>
      </c>
      <c r="Z4" s="741">
        <f>"Aug'"&amp;(RIGHT($F$6,2)+2)</f>
        <v/>
      </c>
      <c r="AA4" s="741">
        <f>"Sep'"&amp;(RIGHT($F$6,2)+2)</f>
        <v/>
      </c>
      <c r="AB4" s="741">
        <f>"Okt'"&amp;(RIGHT($F$6,2)+2)</f>
        <v/>
      </c>
      <c r="AC4" s="741">
        <f>"Nov'"&amp;(RIGHT($F$6,2)+2)</f>
        <v/>
      </c>
      <c r="AD4" s="741">
        <f>"Dec'"&amp;(RIGHT($F$6,2)+2)</f>
        <v/>
      </c>
      <c r="AE4" s="741">
        <f>"Jan'"&amp;(RIGHT($F$6,2)+3)</f>
        <v/>
      </c>
      <c r="AF4" s="741">
        <f>"Feb'"&amp;(RIGHT($F$6,2)+3)</f>
        <v/>
      </c>
      <c r="AG4" s="741">
        <f>"Mrt'"&amp;(RIGHT($F$6,2)+3)</f>
        <v/>
      </c>
      <c r="AH4" s="741">
        <f>"Apr'"&amp;(RIGHT($F$6,2)+3)</f>
        <v/>
      </c>
      <c r="AI4" s="741">
        <f>"Mei'"&amp;(RIGHT($F$6,2)+3)</f>
        <v/>
      </c>
      <c r="AJ4" s="741">
        <f>"Jun'"&amp;(RIGHT($F$6,2)+3)</f>
        <v/>
      </c>
      <c r="AK4" s="741">
        <f>"Jul'"&amp;(RIGHT($F$6,2)+3)</f>
        <v/>
      </c>
      <c r="AL4" s="741">
        <f>"Aug'"&amp;(RIGHT($F$6,2)+3)</f>
        <v/>
      </c>
      <c r="AM4" s="741">
        <f>"Sep'"&amp;(RIGHT($F$6,2)+3)</f>
        <v/>
      </c>
      <c r="AN4" s="741">
        <f>"Okt'"&amp;(RIGHT($F$6,2)+3)</f>
        <v/>
      </c>
      <c r="AO4" s="741">
        <f>"Nov'"&amp;(RIGHT($F$6,2)+3)</f>
        <v/>
      </c>
      <c r="AP4" s="741">
        <f>"Dec'"&amp;(RIGHT($F$6,2)+3)</f>
        <v/>
      </c>
      <c r="AQ4" s="741">
        <f>"Jan'"&amp;(RIGHT($F$6,2)+4)</f>
        <v/>
      </c>
      <c r="AR4" s="741">
        <f>"Feb'"&amp;(RIGHT($F$6,2)+4)</f>
        <v/>
      </c>
      <c r="AS4" s="741">
        <f>"Mrt'"&amp;(RIGHT($F$6,2)+4)</f>
        <v/>
      </c>
      <c r="AT4" s="741">
        <f>"Apr'"&amp;(RIGHT($F$6,2)+4)</f>
        <v/>
      </c>
      <c r="AU4" s="741">
        <f>"Mei'"&amp;(RIGHT($F$6,2)+4)</f>
        <v/>
      </c>
      <c r="AV4" s="741">
        <f>"Jun'"&amp;(RIGHT($F$6,2)+4)</f>
        <v/>
      </c>
      <c r="AW4" s="741">
        <f>"Jul'"&amp;(RIGHT($F$6,2)+4)</f>
        <v/>
      </c>
      <c r="AX4" s="741">
        <f>"Aug'"&amp;(RIGHT($F$6,2)+4)</f>
        <v/>
      </c>
      <c r="AY4" s="741">
        <f>"Sep'"&amp;(RIGHT($F$6,2)+4)</f>
        <v/>
      </c>
      <c r="AZ4" s="741">
        <f>"Okt'"&amp;(RIGHT($F$6,2)+4)</f>
        <v/>
      </c>
      <c r="BA4" s="741">
        <f>"Nov'"&amp;(RIGHT($F$6,2)+4)</f>
        <v/>
      </c>
      <c r="BB4" s="741">
        <f>"Dec'"&amp;(RIGHT($F$6,2)+4)</f>
        <v/>
      </c>
      <c r="BC4" s="741">
        <f>"Jan'"&amp;(RIGHT($F$6,2)+5)</f>
        <v/>
      </c>
      <c r="BD4" s="741">
        <f>"Feb'"&amp;(RIGHT($F$6,2)+5)</f>
        <v/>
      </c>
      <c r="BE4" s="741">
        <f>"Mrt'"&amp;(RIGHT($F$6,2)+5)</f>
        <v/>
      </c>
      <c r="BF4" s="741">
        <f>"Apr'"&amp;(RIGHT($F$6,2)+5)</f>
        <v/>
      </c>
      <c r="BG4" s="741">
        <f>"Mei'"&amp;(RIGHT($F$6,2)+5)</f>
        <v/>
      </c>
      <c r="BH4" s="741">
        <f>"Jun'"&amp;(RIGHT($F$6,2)+5)</f>
        <v/>
      </c>
      <c r="BI4" s="741">
        <f>"Jul'"&amp;(RIGHT($F$6,2)+5)</f>
        <v/>
      </c>
      <c r="BJ4" s="741">
        <f>"Aug'"&amp;(RIGHT($F$6,2)+5)</f>
        <v/>
      </c>
      <c r="BK4" s="741">
        <f>"Sep'"&amp;(RIGHT($F$6,2)+5)</f>
        <v/>
      </c>
      <c r="BL4" s="741">
        <f>"Okt'"&amp;(RIGHT($F$6,2)+5)</f>
        <v/>
      </c>
      <c r="BM4" s="741">
        <f>"Nov'"&amp;(RIGHT($F$6,2)+5)</f>
        <v/>
      </c>
      <c r="BN4" s="741">
        <f>"Dec'"&amp;(RIGHT($F$6,2)+5)</f>
        <v/>
      </c>
    </row>
    <row r="5" outlineLevel="1">
      <c r="C5" s="24" t="inlineStr">
        <is>
          <t>Timeline input - BS</t>
        </is>
      </c>
    </row>
    <row r="6" outlineLevel="1">
      <c r="C6" s="738" t="inlineStr">
        <is>
          <t>k€</t>
        </is>
      </c>
      <c r="D6" s="739">
        <f>"Dec'"&amp;RIGHT(YEAR(Historiek!D7),2)</f>
        <v/>
      </c>
      <c r="E6" s="739">
        <f>"Dec'"&amp;RIGHT(YEAR(Historiek!E7),2)</f>
        <v/>
      </c>
      <c r="F6" s="740">
        <f>"Dec'"&amp;RIGHT(YEAR(Historiek!F7),2)</f>
        <v/>
      </c>
      <c r="G6" s="741">
        <f>"Jan'"&amp;(RIGHT($F$6,2)+1)</f>
        <v/>
      </c>
      <c r="H6" s="741">
        <f>"Feb'"&amp;(RIGHT($F$6,2)+1)</f>
        <v/>
      </c>
      <c r="I6" s="741">
        <f>"Mrt'"&amp;(RIGHT($F$6,2)+1)</f>
        <v/>
      </c>
      <c r="J6" s="741">
        <f>"Apr'"&amp;(RIGHT($F$6,2)+1)</f>
        <v/>
      </c>
      <c r="K6" s="741">
        <f>"Mei'"&amp;(RIGHT($F$6,2)+1)</f>
        <v/>
      </c>
      <c r="L6" s="741">
        <f>"Jun'"&amp;(RIGHT($F$6,2)+1)</f>
        <v/>
      </c>
      <c r="M6" s="741">
        <f>"Jul'"&amp;(RIGHT($F$6,2)+1)</f>
        <v/>
      </c>
      <c r="N6" s="741">
        <f>"Aug'"&amp;(RIGHT($F$6,2)+1)</f>
        <v/>
      </c>
      <c r="O6" s="741">
        <f>"Sep'"&amp;(RIGHT($F$6,2)+1)</f>
        <v/>
      </c>
      <c r="P6" s="741">
        <f>"Okt'"&amp;(RIGHT($F$6,2)+1)</f>
        <v/>
      </c>
      <c r="Q6" s="741">
        <f>"Nov'"&amp;(RIGHT($F$6,2)+1)</f>
        <v/>
      </c>
      <c r="R6" s="741">
        <f>"Dec'"&amp;(RIGHT($F$6,2)+1)</f>
        <v/>
      </c>
      <c r="S6" s="741">
        <f>"Jan'"&amp;(RIGHT($F$6,2)+2)</f>
        <v/>
      </c>
      <c r="T6" s="741">
        <f>"Feb'"&amp;(RIGHT($F$6,2)+2)</f>
        <v/>
      </c>
      <c r="U6" s="741">
        <f>"Mrt'"&amp;(RIGHT($F$6,2)+2)</f>
        <v/>
      </c>
      <c r="V6" s="741">
        <f>"Apr'"&amp;(RIGHT($F$6,2)+2)</f>
        <v/>
      </c>
      <c r="W6" s="741">
        <f>"Mei'"&amp;(RIGHT($F$6,2)+2)</f>
        <v/>
      </c>
      <c r="X6" s="741">
        <f>"Jun'"&amp;(RIGHT($F$6,2)+2)</f>
        <v/>
      </c>
      <c r="Y6" s="741">
        <f>"Jul'"&amp;(RIGHT($F$6,2)+2)</f>
        <v/>
      </c>
      <c r="Z6" s="741">
        <f>"Aug'"&amp;(RIGHT($F$6,2)+2)</f>
        <v/>
      </c>
      <c r="AA6" s="741">
        <f>"Sep'"&amp;(RIGHT($F$6,2)+2)</f>
        <v/>
      </c>
      <c r="AB6" s="741">
        <f>"Okt'"&amp;(RIGHT($F$6,2)+2)</f>
        <v/>
      </c>
      <c r="AC6" s="741">
        <f>"Nov'"&amp;(RIGHT($F$6,2)+2)</f>
        <v/>
      </c>
      <c r="AD6" s="741">
        <f>"Dec'"&amp;(RIGHT($F$6,2)+2)</f>
        <v/>
      </c>
      <c r="AE6" s="741">
        <f>"Jan'"&amp;(RIGHT($F$6,2)+3)</f>
        <v/>
      </c>
      <c r="AF6" s="741">
        <f>"Feb'"&amp;(RIGHT($F$6,2)+3)</f>
        <v/>
      </c>
      <c r="AG6" s="741">
        <f>"Mrt'"&amp;(RIGHT($F$6,2)+3)</f>
        <v/>
      </c>
      <c r="AH6" s="741">
        <f>"Apr'"&amp;(RIGHT($F$6,2)+3)</f>
        <v/>
      </c>
      <c r="AI6" s="741">
        <f>"Mei'"&amp;(RIGHT($F$6,2)+3)</f>
        <v/>
      </c>
      <c r="AJ6" s="741">
        <f>"Jun'"&amp;(RIGHT($F$6,2)+3)</f>
        <v/>
      </c>
      <c r="AK6" s="741">
        <f>"Jul'"&amp;(RIGHT($F$6,2)+3)</f>
        <v/>
      </c>
      <c r="AL6" s="741">
        <f>"Aug'"&amp;(RIGHT($F$6,2)+3)</f>
        <v/>
      </c>
      <c r="AM6" s="741">
        <f>"Sep'"&amp;(RIGHT($F$6,2)+3)</f>
        <v/>
      </c>
      <c r="AN6" s="741">
        <f>"Okt'"&amp;(RIGHT($F$6,2)+3)</f>
        <v/>
      </c>
      <c r="AO6" s="741">
        <f>"Nov'"&amp;(RIGHT($F$6,2)+3)</f>
        <v/>
      </c>
      <c r="AP6" s="741">
        <f>"Dec'"&amp;(RIGHT($F$6,2)+3)</f>
        <v/>
      </c>
      <c r="AQ6" s="741">
        <f>"Jan'"&amp;(RIGHT($F$6,2)+4)</f>
        <v/>
      </c>
      <c r="AR6" s="741">
        <f>"Feb'"&amp;(RIGHT($F$6,2)+4)</f>
        <v/>
      </c>
      <c r="AS6" s="741">
        <f>"Mrt'"&amp;(RIGHT($F$6,2)+4)</f>
        <v/>
      </c>
      <c r="AT6" s="741">
        <f>"Apr'"&amp;(RIGHT($F$6,2)+4)</f>
        <v/>
      </c>
      <c r="AU6" s="741">
        <f>"Mei'"&amp;(RIGHT($F$6,2)+4)</f>
        <v/>
      </c>
      <c r="AV6" s="741">
        <f>"Jun'"&amp;(RIGHT($F$6,2)+4)</f>
        <v/>
      </c>
      <c r="AW6" s="741">
        <f>"Jul'"&amp;(RIGHT($F$6,2)+4)</f>
        <v/>
      </c>
      <c r="AX6" s="741">
        <f>"Aug'"&amp;(RIGHT($F$6,2)+4)</f>
        <v/>
      </c>
      <c r="AY6" s="741">
        <f>"Sep'"&amp;(RIGHT($F$6,2)+4)</f>
        <v/>
      </c>
      <c r="AZ6" s="741">
        <f>"Okt'"&amp;(RIGHT($F$6,2)+4)</f>
        <v/>
      </c>
      <c r="BA6" s="741">
        <f>"Nov'"&amp;(RIGHT($F$6,2)+4)</f>
        <v/>
      </c>
      <c r="BB6" s="741">
        <f>"Dec'"&amp;(RIGHT($F$6,2)+4)</f>
        <v/>
      </c>
      <c r="BC6" s="741">
        <f>"Jan'"&amp;(RIGHT($F$6,2)+5)</f>
        <v/>
      </c>
      <c r="BD6" s="741">
        <f>"Feb'"&amp;(RIGHT($F$6,2)+5)</f>
        <v/>
      </c>
      <c r="BE6" s="741">
        <f>"Mrt'"&amp;(RIGHT($F$6,2)+5)</f>
        <v/>
      </c>
      <c r="BF6" s="741">
        <f>"Apr'"&amp;(RIGHT($F$6,2)+5)</f>
        <v/>
      </c>
      <c r="BG6" s="741">
        <f>"Mei'"&amp;(RIGHT($F$6,2)+5)</f>
        <v/>
      </c>
      <c r="BH6" s="741">
        <f>"Jun'"&amp;(RIGHT($F$6,2)+5)</f>
        <v/>
      </c>
      <c r="BI6" s="741">
        <f>"Jul'"&amp;(RIGHT($F$6,2)+5)</f>
        <v/>
      </c>
      <c r="BJ6" s="741">
        <f>"Aug'"&amp;(RIGHT($F$6,2)+5)</f>
        <v/>
      </c>
      <c r="BK6" s="741">
        <f>"Sep'"&amp;(RIGHT($F$6,2)+5)</f>
        <v/>
      </c>
      <c r="BL6" s="741">
        <f>"Okt'"&amp;(RIGHT($F$6,2)+5)</f>
        <v/>
      </c>
      <c r="BM6" s="741">
        <f>"Nov'"&amp;(RIGHT($F$6,2)+5)</f>
        <v/>
      </c>
      <c r="BN6" s="741">
        <f>"Dec'"&amp;(RIGHT($F$6,2)+5)</f>
        <v/>
      </c>
    </row>
    <row r="8">
      <c r="C8" s="406">
        <f>"Balans - "&amp;Historiek!$A$2&amp;" - Activa"</f>
        <v/>
      </c>
      <c r="D8" s="407" t="n"/>
      <c r="E8" s="407" t="n"/>
      <c r="F8" s="13" t="n"/>
    </row>
    <row r="9" ht="14.1" customFormat="1" customHeight="1" s="409">
      <c r="A9" s="408" t="n"/>
      <c r="C9" s="738">
        <f>C$6</f>
        <v/>
      </c>
      <c r="D9" s="742">
        <f>D$6</f>
        <v/>
      </c>
      <c r="E9" s="742">
        <f>E$6</f>
        <v/>
      </c>
      <c r="F9" s="740">
        <f>F$6</f>
        <v/>
      </c>
      <c r="G9" s="741">
        <f>G$6</f>
        <v/>
      </c>
      <c r="H9" s="741">
        <f>H$6</f>
        <v/>
      </c>
      <c r="I9" s="741">
        <f>I$6</f>
        <v/>
      </c>
      <c r="J9" s="741">
        <f>J$6</f>
        <v/>
      </c>
      <c r="K9" s="741">
        <f>K$6</f>
        <v/>
      </c>
      <c r="L9" s="741">
        <f>L$6</f>
        <v/>
      </c>
      <c r="M9" s="741">
        <f>M$6</f>
        <v/>
      </c>
      <c r="N9" s="741">
        <f>N$6</f>
        <v/>
      </c>
      <c r="O9" s="741">
        <f>O$6</f>
        <v/>
      </c>
      <c r="P9" s="741">
        <f>P$6</f>
        <v/>
      </c>
      <c r="Q9" s="741">
        <f>Q$6</f>
        <v/>
      </c>
      <c r="R9" s="741">
        <f>R$6</f>
        <v/>
      </c>
      <c r="S9" s="741">
        <f>S$6</f>
        <v/>
      </c>
      <c r="T9" s="741">
        <f>T$6</f>
        <v/>
      </c>
      <c r="U9" s="741">
        <f>U$6</f>
        <v/>
      </c>
      <c r="V9" s="741">
        <f>V$6</f>
        <v/>
      </c>
      <c r="W9" s="741">
        <f>W$6</f>
        <v/>
      </c>
      <c r="X9" s="741">
        <f>X$6</f>
        <v/>
      </c>
      <c r="Y9" s="741">
        <f>Y$6</f>
        <v/>
      </c>
      <c r="Z9" s="741">
        <f>Z$6</f>
        <v/>
      </c>
      <c r="AA9" s="741">
        <f>AA$6</f>
        <v/>
      </c>
      <c r="AB9" s="741">
        <f>AB$6</f>
        <v/>
      </c>
      <c r="AC9" s="741">
        <f>AC$6</f>
        <v/>
      </c>
      <c r="AD9" s="741">
        <f>AD$6</f>
        <v/>
      </c>
      <c r="AE9" s="741">
        <f>AE$6</f>
        <v/>
      </c>
      <c r="AF9" s="741">
        <f>AF$6</f>
        <v/>
      </c>
      <c r="AG9" s="741">
        <f>AG$6</f>
        <v/>
      </c>
      <c r="AH9" s="741">
        <f>AH$6</f>
        <v/>
      </c>
      <c r="AI9" s="741">
        <f>AI$6</f>
        <v/>
      </c>
      <c r="AJ9" s="741">
        <f>AJ$6</f>
        <v/>
      </c>
      <c r="AK9" s="741">
        <f>AK$6</f>
        <v/>
      </c>
      <c r="AL9" s="741">
        <f>AL$6</f>
        <v/>
      </c>
      <c r="AM9" s="741">
        <f>AM$6</f>
        <v/>
      </c>
      <c r="AN9" s="741">
        <f>AN$6</f>
        <v/>
      </c>
      <c r="AO9" s="741">
        <f>AO$6</f>
        <v/>
      </c>
      <c r="AP9" s="741">
        <f>AP$6</f>
        <v/>
      </c>
      <c r="AQ9" s="741">
        <f>AQ$6</f>
        <v/>
      </c>
      <c r="AR9" s="741">
        <f>AR$6</f>
        <v/>
      </c>
      <c r="AS9" s="741">
        <f>AS$6</f>
        <v/>
      </c>
      <c r="AT9" s="741">
        <f>AT$6</f>
        <v/>
      </c>
      <c r="AU9" s="741">
        <f>AU$6</f>
        <v/>
      </c>
      <c r="AV9" s="741">
        <f>AV$6</f>
        <v/>
      </c>
      <c r="AW9" s="741">
        <f>AW$6</f>
        <v/>
      </c>
      <c r="AX9" s="741">
        <f>AX$6</f>
        <v/>
      </c>
      <c r="AY9" s="741">
        <f>AY$6</f>
        <v/>
      </c>
      <c r="AZ9" s="741">
        <f>AZ$6</f>
        <v/>
      </c>
      <c r="BA9" s="741">
        <f>BA$6</f>
        <v/>
      </c>
      <c r="BB9" s="741">
        <f>BB$6</f>
        <v/>
      </c>
      <c r="BC9" s="741">
        <f>BC$6</f>
        <v/>
      </c>
      <c r="BD9" s="741">
        <f>BD$6</f>
        <v/>
      </c>
      <c r="BE9" s="741">
        <f>BE$6</f>
        <v/>
      </c>
      <c r="BF9" s="741">
        <f>BF$6</f>
        <v/>
      </c>
      <c r="BG9" s="741">
        <f>BG$6</f>
        <v/>
      </c>
      <c r="BH9" s="741">
        <f>BH$6</f>
        <v/>
      </c>
      <c r="BI9" s="741">
        <f>BI$6</f>
        <v/>
      </c>
      <c r="BJ9" s="741">
        <f>BJ$6</f>
        <v/>
      </c>
      <c r="BK9" s="741">
        <f>BK$6</f>
        <v/>
      </c>
      <c r="BL9" s="741">
        <f>BL$6</f>
        <v/>
      </c>
      <c r="BM9" s="741">
        <f>BM$6</f>
        <v/>
      </c>
      <c r="BN9" s="741">
        <f>BN$6</f>
        <v/>
      </c>
    </row>
    <row r="10" ht="14.1" customHeight="1">
      <c r="C10" s="4" t="inlineStr">
        <is>
          <t>Immaterieel vast actief</t>
        </is>
      </c>
      <c r="D10" s="4">
        <f>SUM(Balans!D6:D7)</f>
        <v/>
      </c>
      <c r="E10" s="4">
        <f>SUM(Balans!E6:E7)</f>
        <v/>
      </c>
      <c r="F10" s="14">
        <f>SUM(Balans!F6:F7)</f>
        <v/>
      </c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  <c r="AH10" s="4" t="n"/>
      <c r="AI10" s="4" t="n"/>
      <c r="AJ10" s="4" t="n"/>
      <c r="AK10" s="4" t="n"/>
      <c r="AL10" s="4" t="n"/>
      <c r="AM10" s="4" t="n"/>
      <c r="AN10" s="4" t="n"/>
      <c r="AO10" s="4" t="n"/>
      <c r="AP10" s="4" t="n"/>
      <c r="AQ10" s="4" t="n"/>
      <c r="AR10" s="4" t="n"/>
      <c r="AS10" s="4" t="n"/>
      <c r="AT10" s="4" t="n"/>
      <c r="AU10" s="4" t="n"/>
      <c r="AV10" s="4" t="n"/>
      <c r="AW10" s="4" t="n"/>
      <c r="AX10" s="4" t="n"/>
      <c r="AY10" s="4" t="n"/>
      <c r="AZ10" s="4" t="n"/>
      <c r="BA10" s="4" t="n"/>
      <c r="BB10" s="4" t="n"/>
      <c r="BC10" s="4" t="n"/>
      <c r="BD10" s="4" t="n"/>
      <c r="BE10" s="4" t="n"/>
      <c r="BF10" s="4" t="n"/>
      <c r="BG10" s="4" t="n"/>
      <c r="BH10" s="4" t="n"/>
      <c r="BI10" s="4" t="n"/>
      <c r="BJ10" s="4" t="n"/>
      <c r="BK10" s="4" t="n"/>
      <c r="BL10" s="4" t="n"/>
      <c r="BM10" s="4" t="n"/>
      <c r="BN10" s="4" t="n"/>
    </row>
    <row r="11" ht="14.1" customHeight="1">
      <c r="C11" s="4" t="inlineStr">
        <is>
          <t>Materieel vast actief</t>
        </is>
      </c>
      <c r="D11" s="4">
        <f>SUM(Balans!D8)</f>
        <v/>
      </c>
      <c r="E11" s="4">
        <f>SUM(Balans!E8)</f>
        <v/>
      </c>
      <c r="F11" s="14">
        <f>SUM(Balans!F8)</f>
        <v/>
      </c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  <c r="AH11" s="4" t="n"/>
      <c r="AI11" s="4" t="n"/>
      <c r="AJ11" s="4" t="n"/>
      <c r="AK11" s="4" t="n"/>
      <c r="AL11" s="4" t="n"/>
      <c r="AM11" s="4" t="n"/>
      <c r="AN11" s="4" t="n"/>
      <c r="AO11" s="4" t="n"/>
      <c r="AP11" s="4" t="n"/>
      <c r="AQ11" s="4" t="n"/>
      <c r="AR11" s="4" t="n"/>
      <c r="AS11" s="4" t="n"/>
      <c r="AT11" s="4" t="n"/>
      <c r="AU11" s="4" t="n"/>
      <c r="AV11" s="4" t="n"/>
      <c r="AW11" s="4" t="n"/>
      <c r="AX11" s="4" t="n"/>
      <c r="AY11" s="4" t="n"/>
      <c r="AZ11" s="4" t="n"/>
      <c r="BA11" s="4" t="n"/>
      <c r="BB11" s="4" t="n"/>
      <c r="BC11" s="4" t="n"/>
      <c r="BD11" s="4" t="n"/>
      <c r="BE11" s="4" t="n"/>
      <c r="BF11" s="4" t="n"/>
      <c r="BG11" s="4" t="n"/>
      <c r="BH11" s="4" t="n"/>
      <c r="BI11" s="4" t="n"/>
      <c r="BJ11" s="4" t="n"/>
      <c r="BK11" s="4" t="n"/>
      <c r="BL11" s="4" t="n"/>
      <c r="BM11" s="4" t="n"/>
      <c r="BN11" s="4" t="n"/>
    </row>
    <row r="12" ht="14.1" customHeight="1">
      <c r="C12" s="4" t="inlineStr">
        <is>
          <t>Financieel vast actief</t>
        </is>
      </c>
      <c r="D12" s="4">
        <f>Balans!D12</f>
        <v/>
      </c>
      <c r="E12" s="4">
        <f>Balans!E12</f>
        <v/>
      </c>
      <c r="F12" s="14">
        <f>Balans!F12</f>
        <v/>
      </c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  <c r="AH12" s="4" t="n"/>
      <c r="AI12" s="4" t="n"/>
      <c r="AJ12" s="4" t="n"/>
      <c r="AK12" s="4" t="n"/>
      <c r="AL12" s="4" t="n"/>
      <c r="AM12" s="4" t="n"/>
      <c r="AN12" s="4" t="n"/>
      <c r="AO12" s="4" t="n"/>
      <c r="AP12" s="4" t="n"/>
      <c r="AQ12" s="4" t="n"/>
      <c r="AR12" s="4" t="n"/>
      <c r="AS12" s="4" t="n"/>
      <c r="AT12" s="4" t="n"/>
      <c r="AU12" s="4" t="n"/>
      <c r="AV12" s="4" t="n"/>
      <c r="AW12" s="4" t="n"/>
      <c r="AX12" s="4" t="n"/>
      <c r="AY12" s="4" t="n"/>
      <c r="AZ12" s="4" t="n"/>
      <c r="BA12" s="4" t="n"/>
      <c r="BB12" s="4" t="n"/>
      <c r="BC12" s="4" t="n"/>
      <c r="BD12" s="4" t="n"/>
      <c r="BE12" s="4" t="n"/>
      <c r="BF12" s="4" t="n"/>
      <c r="BG12" s="4" t="n"/>
      <c r="BH12" s="4" t="n"/>
      <c r="BI12" s="4" t="n"/>
      <c r="BJ12" s="4" t="n"/>
      <c r="BK12" s="4" t="n"/>
      <c r="BL12" s="4" t="n"/>
      <c r="BM12" s="4" t="n"/>
      <c r="BN12" s="4" t="n"/>
    </row>
    <row r="13" ht="14.1" customHeight="1">
      <c r="C13" s="410" t="inlineStr">
        <is>
          <t>Vast actief</t>
        </is>
      </c>
      <c r="D13" s="410">
        <f>SUM(D10:D12)</f>
        <v/>
      </c>
      <c r="E13" s="410">
        <f>SUM(E10:E12)</f>
        <v/>
      </c>
      <c r="F13" s="15">
        <f>SUM(F10:F12)</f>
        <v/>
      </c>
      <c r="G13" s="410">
        <f>SUM(G10:G12)</f>
        <v/>
      </c>
      <c r="H13" s="410">
        <f>SUM(H10:H12)</f>
        <v/>
      </c>
      <c r="I13" s="410">
        <f>SUM(I10:I12)</f>
        <v/>
      </c>
      <c r="J13" s="410">
        <f>SUM(J10:J12)</f>
        <v/>
      </c>
      <c r="K13" s="410">
        <f>SUM(K10:K12)</f>
        <v/>
      </c>
      <c r="L13" s="410">
        <f>SUM(L10:L12)</f>
        <v/>
      </c>
      <c r="M13" s="410">
        <f>SUM(M10:M12)</f>
        <v/>
      </c>
      <c r="N13" s="410">
        <f>SUM(N10:N12)</f>
        <v/>
      </c>
      <c r="O13" s="410">
        <f>SUM(O10:O12)</f>
        <v/>
      </c>
      <c r="P13" s="410">
        <f>SUM(P10:P12)</f>
        <v/>
      </c>
      <c r="Q13" s="410">
        <f>SUM(Q10:Q12)</f>
        <v/>
      </c>
      <c r="R13" s="410">
        <f>SUM(R10:R12)</f>
        <v/>
      </c>
      <c r="S13" s="410">
        <f>SUM(S10:S12)</f>
        <v/>
      </c>
      <c r="T13" s="410">
        <f>SUM(T10:T12)</f>
        <v/>
      </c>
      <c r="U13" s="410">
        <f>SUM(U10:U12)</f>
        <v/>
      </c>
      <c r="V13" s="410">
        <f>SUM(V10:V12)</f>
        <v/>
      </c>
      <c r="W13" s="410">
        <f>SUM(W10:W12)</f>
        <v/>
      </c>
      <c r="X13" s="410">
        <f>SUM(X10:X12)</f>
        <v/>
      </c>
      <c r="Y13" s="410">
        <f>SUM(Y10:Y12)</f>
        <v/>
      </c>
      <c r="Z13" s="410">
        <f>SUM(Z10:Z12)</f>
        <v/>
      </c>
      <c r="AA13" s="410">
        <f>SUM(AA10:AA12)</f>
        <v/>
      </c>
      <c r="AB13" s="410">
        <f>SUM(AB10:AB12)</f>
        <v/>
      </c>
      <c r="AC13" s="410">
        <f>SUM(AC10:AC12)</f>
        <v/>
      </c>
      <c r="AD13" s="410">
        <f>SUM(AD10:AD12)</f>
        <v/>
      </c>
      <c r="AE13" s="410">
        <f>SUM(AE10:AE12)</f>
        <v/>
      </c>
      <c r="AF13" s="410">
        <f>SUM(AF10:AF12)</f>
        <v/>
      </c>
      <c r="AG13" s="410">
        <f>SUM(AG10:AG12)</f>
        <v/>
      </c>
      <c r="AH13" s="410">
        <f>SUM(AH10:AH12)</f>
        <v/>
      </c>
      <c r="AI13" s="410">
        <f>SUM(AI10:AI12)</f>
        <v/>
      </c>
      <c r="AJ13" s="410">
        <f>SUM(AJ10:AJ12)</f>
        <v/>
      </c>
      <c r="AK13" s="410">
        <f>SUM(AK10:AK12)</f>
        <v/>
      </c>
      <c r="AL13" s="410">
        <f>SUM(AL10:AL12)</f>
        <v/>
      </c>
      <c r="AM13" s="410">
        <f>SUM(AM10:AM12)</f>
        <v/>
      </c>
      <c r="AN13" s="410">
        <f>SUM(AN10:AN12)</f>
        <v/>
      </c>
      <c r="AO13" s="410">
        <f>SUM(AO10:AO12)</f>
        <v/>
      </c>
      <c r="AP13" s="410">
        <f>SUM(AP10:AP12)</f>
        <v/>
      </c>
      <c r="AQ13" s="410">
        <f>SUM(AQ10:AQ12)</f>
        <v/>
      </c>
      <c r="AR13" s="410">
        <f>SUM(AR10:AR12)</f>
        <v/>
      </c>
      <c r="AS13" s="410">
        <f>SUM(AS10:AS12)</f>
        <v/>
      </c>
      <c r="AT13" s="410">
        <f>SUM(AT10:AT12)</f>
        <v/>
      </c>
      <c r="AU13" s="410">
        <f>SUM(AU10:AU12)</f>
        <v/>
      </c>
      <c r="AV13" s="410">
        <f>SUM(AV10:AV12)</f>
        <v/>
      </c>
      <c r="AW13" s="410">
        <f>SUM(AW10:AW12)</f>
        <v/>
      </c>
      <c r="AX13" s="410">
        <f>SUM(AX10:AX12)</f>
        <v/>
      </c>
      <c r="AY13" s="410">
        <f>SUM(AY10:AY12)</f>
        <v/>
      </c>
      <c r="AZ13" s="410">
        <f>SUM(AZ10:AZ12)</f>
        <v/>
      </c>
      <c r="BA13" s="410">
        <f>SUM(BA10:BA12)</f>
        <v/>
      </c>
      <c r="BB13" s="410">
        <f>SUM(BB10:BB12)</f>
        <v/>
      </c>
      <c r="BC13" s="410">
        <f>SUM(BC10:BC12)</f>
        <v/>
      </c>
      <c r="BD13" s="410">
        <f>SUM(BD10:BD12)</f>
        <v/>
      </c>
      <c r="BE13" s="410">
        <f>SUM(BE10:BE12)</f>
        <v/>
      </c>
      <c r="BF13" s="410">
        <f>SUM(BF10:BF12)</f>
        <v/>
      </c>
      <c r="BG13" s="410">
        <f>SUM(BG10:BG12)</f>
        <v/>
      </c>
      <c r="BH13" s="410">
        <f>SUM(BH10:BH12)</f>
        <v/>
      </c>
      <c r="BI13" s="410">
        <f>SUM(BI10:BI12)</f>
        <v/>
      </c>
      <c r="BJ13" s="410">
        <f>SUM(BJ10:BJ12)</f>
        <v/>
      </c>
      <c r="BK13" s="410">
        <f>SUM(BK10:BK12)</f>
        <v/>
      </c>
      <c r="BL13" s="410">
        <f>SUM(BL10:BL12)</f>
        <v/>
      </c>
      <c r="BM13" s="410">
        <f>SUM(BM10:BM12)</f>
        <v/>
      </c>
      <c r="BN13" s="410">
        <f>SUM(BN10:BN12)</f>
        <v/>
      </c>
    </row>
    <row r="14" ht="14.1" customHeight="1">
      <c r="C14" s="4" t="inlineStr">
        <is>
          <t>Handelsvorderingen</t>
        </is>
      </c>
      <c r="D14" s="4">
        <f>Balans!D21</f>
        <v/>
      </c>
      <c r="E14" s="4">
        <f>Balans!E21</f>
        <v/>
      </c>
      <c r="F14" s="14">
        <f>Balans!F21</f>
        <v/>
      </c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  <c r="AH14" s="4" t="n"/>
      <c r="AI14" s="4" t="n"/>
      <c r="AJ14" s="4" t="n"/>
      <c r="AK14" s="4" t="n"/>
      <c r="AL14" s="4" t="n"/>
      <c r="AM14" s="4" t="n"/>
      <c r="AN14" s="4" t="n"/>
      <c r="AO14" s="4" t="n"/>
      <c r="AP14" s="4" t="n"/>
      <c r="AQ14" s="4" t="n"/>
      <c r="AR14" s="4" t="n"/>
      <c r="AS14" s="4" t="n"/>
      <c r="AT14" s="4" t="n"/>
      <c r="AU14" s="4" t="n"/>
      <c r="AV14" s="4" t="n"/>
      <c r="AW14" s="4" t="n"/>
      <c r="AX14" s="4" t="n"/>
      <c r="AY14" s="4" t="n"/>
      <c r="AZ14" s="4" t="n"/>
      <c r="BA14" s="4" t="n"/>
      <c r="BB14" s="4" t="n"/>
      <c r="BC14" s="4" t="n"/>
      <c r="BD14" s="4" t="n"/>
      <c r="BE14" s="4" t="n"/>
      <c r="BF14" s="4" t="n"/>
      <c r="BG14" s="4" t="n"/>
      <c r="BH14" s="4" t="n"/>
      <c r="BI14" s="4" t="n"/>
      <c r="BJ14" s="4" t="n"/>
      <c r="BK14" s="4" t="n"/>
      <c r="BL14" s="4" t="n"/>
      <c r="BM14" s="4" t="n"/>
      <c r="BN14" s="4" t="n"/>
    </row>
    <row r="15" ht="14.1" customHeight="1">
      <c r="C15" s="4" t="inlineStr">
        <is>
          <t>Voorraad</t>
        </is>
      </c>
      <c r="D15" s="4">
        <f>Balans!D19</f>
        <v/>
      </c>
      <c r="E15" s="4">
        <f>Balans!E19</f>
        <v/>
      </c>
      <c r="F15" s="14">
        <f>Balans!F19</f>
        <v/>
      </c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  <c r="AH15" s="4" t="n"/>
      <c r="AI15" s="4" t="n"/>
      <c r="AJ15" s="4" t="n"/>
      <c r="AK15" s="4" t="n"/>
      <c r="AL15" s="4" t="n"/>
      <c r="AM15" s="4" t="n"/>
      <c r="AN15" s="4" t="n"/>
      <c r="AO15" s="4" t="n"/>
      <c r="AP15" s="4" t="n"/>
      <c r="AQ15" s="4" t="n"/>
      <c r="AR15" s="4" t="n"/>
      <c r="AS15" s="4" t="n"/>
      <c r="AT15" s="4" t="n"/>
      <c r="AU15" s="4" t="n"/>
      <c r="AV15" s="4" t="n"/>
      <c r="AW15" s="4" t="n"/>
      <c r="AX15" s="4" t="n"/>
      <c r="AY15" s="4" t="n"/>
      <c r="AZ15" s="4" t="n"/>
      <c r="BA15" s="4" t="n"/>
      <c r="BB15" s="4" t="n"/>
      <c r="BC15" s="4" t="n"/>
      <c r="BD15" s="4" t="n"/>
      <c r="BE15" s="4" t="n"/>
      <c r="BF15" s="4" t="n"/>
      <c r="BG15" s="4" t="n"/>
      <c r="BH15" s="4" t="n"/>
      <c r="BI15" s="4" t="n"/>
      <c r="BJ15" s="4" t="n"/>
      <c r="BK15" s="4" t="n"/>
      <c r="BL15" s="4" t="n"/>
      <c r="BM15" s="4" t="n"/>
      <c r="BN15" s="4" t="n"/>
    </row>
    <row r="16" ht="14.1" customHeight="1">
      <c r="C16" s="4" t="inlineStr">
        <is>
          <t>Overige vorderingen</t>
        </is>
      </c>
      <c r="D16" s="4">
        <f>Balans!D22</f>
        <v/>
      </c>
      <c r="E16" s="4">
        <f>Balans!E22</f>
        <v/>
      </c>
      <c r="F16" s="14">
        <f>Balans!F22</f>
        <v/>
      </c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  <c r="AH16" s="4" t="n"/>
      <c r="AI16" s="4" t="n"/>
      <c r="AJ16" s="4" t="n"/>
      <c r="AK16" s="4" t="n"/>
      <c r="AL16" s="4" t="n"/>
      <c r="AM16" s="4" t="n"/>
      <c r="AN16" s="4" t="n"/>
      <c r="AO16" s="4" t="n"/>
      <c r="AP16" s="4" t="n"/>
      <c r="AQ16" s="4" t="n"/>
      <c r="AR16" s="4" t="n"/>
      <c r="AS16" s="4" t="n"/>
      <c r="AT16" s="4" t="n"/>
      <c r="AU16" s="4" t="n"/>
      <c r="AV16" s="4" t="n"/>
      <c r="AW16" s="4" t="n"/>
      <c r="AX16" s="4" t="n"/>
      <c r="AY16" s="4" t="n"/>
      <c r="AZ16" s="4" t="n"/>
      <c r="BA16" s="4" t="n"/>
      <c r="BB16" s="4" t="n"/>
      <c r="BC16" s="4" t="n"/>
      <c r="BD16" s="4" t="n"/>
      <c r="BE16" s="4" t="n"/>
      <c r="BF16" s="4" t="n"/>
      <c r="BG16" s="4" t="n"/>
      <c r="BH16" s="4" t="n"/>
      <c r="BI16" s="4" t="n"/>
      <c r="BJ16" s="4" t="n"/>
      <c r="BK16" s="4" t="n"/>
      <c r="BL16" s="4" t="n"/>
      <c r="BM16" s="4" t="n"/>
      <c r="BN16" s="4" t="n"/>
    </row>
    <row r="17" ht="14.1" customHeight="1">
      <c r="C17" s="4" t="inlineStr">
        <is>
          <t>Liquide middelen</t>
        </is>
      </c>
      <c r="D17" s="4">
        <f>Balans!D23</f>
        <v/>
      </c>
      <c r="E17" s="4">
        <f>Balans!E23</f>
        <v/>
      </c>
      <c r="F17" s="14">
        <f>Balans!F23</f>
        <v/>
      </c>
      <c r="G17" s="4">
        <f>G98</f>
        <v/>
      </c>
      <c r="H17" s="4">
        <f>H98</f>
        <v/>
      </c>
      <c r="I17" s="4">
        <f>I98</f>
        <v/>
      </c>
      <c r="J17" s="433">
        <f>J98</f>
        <v/>
      </c>
      <c r="K17" s="4">
        <f>K98</f>
        <v/>
      </c>
      <c r="L17" s="4">
        <f>L98</f>
        <v/>
      </c>
      <c r="M17" s="4">
        <f>M98</f>
        <v/>
      </c>
      <c r="N17" s="4">
        <f>N98</f>
        <v/>
      </c>
      <c r="O17" s="4">
        <f>O98</f>
        <v/>
      </c>
      <c r="P17" s="4">
        <f>P98</f>
        <v/>
      </c>
      <c r="Q17" s="4">
        <f>Q98</f>
        <v/>
      </c>
      <c r="R17" s="4">
        <f>R98</f>
        <v/>
      </c>
      <c r="S17" s="4">
        <f>S98</f>
        <v/>
      </c>
      <c r="T17" s="4">
        <f>T98</f>
        <v/>
      </c>
      <c r="U17" s="4">
        <f>U98</f>
        <v/>
      </c>
      <c r="V17" s="4">
        <f>V98</f>
        <v/>
      </c>
      <c r="W17" s="4">
        <f>W98</f>
        <v/>
      </c>
      <c r="X17" s="4">
        <f>X98</f>
        <v/>
      </c>
      <c r="Y17" s="4">
        <f>Y98</f>
        <v/>
      </c>
      <c r="Z17" s="4">
        <f>Z98</f>
        <v/>
      </c>
      <c r="AA17" s="4">
        <f>AA98</f>
        <v/>
      </c>
      <c r="AB17" s="4">
        <f>AB98</f>
        <v/>
      </c>
      <c r="AC17" s="4">
        <f>AC98</f>
        <v/>
      </c>
      <c r="AD17" s="4">
        <f>AD98</f>
        <v/>
      </c>
      <c r="AE17" s="4">
        <f>AE98</f>
        <v/>
      </c>
      <c r="AF17" s="4">
        <f>AF98</f>
        <v/>
      </c>
      <c r="AG17" s="4">
        <f>AG98</f>
        <v/>
      </c>
      <c r="AH17" s="4">
        <f>AH98</f>
        <v/>
      </c>
      <c r="AI17" s="4">
        <f>AI98</f>
        <v/>
      </c>
      <c r="AJ17" s="4">
        <f>AJ98</f>
        <v/>
      </c>
      <c r="AK17" s="4">
        <f>AK98</f>
        <v/>
      </c>
      <c r="AL17" s="4">
        <f>AL98</f>
        <v/>
      </c>
      <c r="AM17" s="4">
        <f>AM98</f>
        <v/>
      </c>
      <c r="AN17" s="4">
        <f>AN98</f>
        <v/>
      </c>
      <c r="AO17" s="4">
        <f>AO98</f>
        <v/>
      </c>
      <c r="AP17" s="4">
        <f>AP98</f>
        <v/>
      </c>
      <c r="AQ17" s="4">
        <f>AQ98</f>
        <v/>
      </c>
      <c r="AR17" s="4">
        <f>AR98</f>
        <v/>
      </c>
      <c r="AS17" s="4">
        <f>AS98</f>
        <v/>
      </c>
      <c r="AT17" s="4">
        <f>AT98</f>
        <v/>
      </c>
      <c r="AU17" s="4">
        <f>AU98</f>
        <v/>
      </c>
      <c r="AV17" s="4">
        <f>AV98</f>
        <v/>
      </c>
      <c r="AW17" s="4">
        <f>AW98</f>
        <v/>
      </c>
      <c r="AX17" s="4">
        <f>AX98</f>
        <v/>
      </c>
      <c r="AY17" s="4">
        <f>AY98</f>
        <v/>
      </c>
      <c r="AZ17" s="4">
        <f>AZ98</f>
        <v/>
      </c>
      <c r="BA17" s="4">
        <f>BA98</f>
        <v/>
      </c>
      <c r="BB17" s="4">
        <f>BB98</f>
        <v/>
      </c>
      <c r="BC17" s="4">
        <f>BC98</f>
        <v/>
      </c>
      <c r="BD17" s="4">
        <f>BD98</f>
        <v/>
      </c>
      <c r="BE17" s="4">
        <f>BE98</f>
        <v/>
      </c>
      <c r="BF17" s="4">
        <f>BF98</f>
        <v/>
      </c>
      <c r="BG17" s="4">
        <f>BG98</f>
        <v/>
      </c>
      <c r="BH17" s="4">
        <f>BH98</f>
        <v/>
      </c>
      <c r="BI17" s="4">
        <f>BI98</f>
        <v/>
      </c>
      <c r="BJ17" s="4">
        <f>BJ98</f>
        <v/>
      </c>
      <c r="BK17" s="4">
        <f>BK98</f>
        <v/>
      </c>
      <c r="BL17" s="4">
        <f>BL98</f>
        <v/>
      </c>
      <c r="BM17" s="4">
        <f>BM98</f>
        <v/>
      </c>
      <c r="BN17" s="4">
        <f>BN98</f>
        <v/>
      </c>
    </row>
    <row r="18" ht="14.1" customHeight="1">
      <c r="C18" s="4" t="inlineStr">
        <is>
          <t>Overlopende rekeningen (activa)</t>
        </is>
      </c>
      <c r="D18" s="4">
        <f>Balans!D24</f>
        <v/>
      </c>
      <c r="E18" s="4">
        <f>Balans!E24</f>
        <v/>
      </c>
      <c r="F18" s="14">
        <f>Balans!F24</f>
        <v/>
      </c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  <c r="AH18" s="4" t="n"/>
      <c r="AI18" s="4" t="n"/>
      <c r="AJ18" s="4" t="n"/>
      <c r="AK18" s="4" t="n"/>
      <c r="AL18" s="4" t="n"/>
      <c r="AM18" s="4" t="n"/>
      <c r="AN18" s="4" t="n"/>
      <c r="AO18" s="4" t="n"/>
      <c r="AP18" s="4" t="n"/>
      <c r="AQ18" s="4" t="n"/>
      <c r="AR18" s="4" t="n"/>
      <c r="AS18" s="4" t="n"/>
      <c r="AT18" s="4" t="n"/>
      <c r="AU18" s="4" t="n"/>
      <c r="AV18" s="4" t="n"/>
      <c r="AW18" s="4" t="n"/>
      <c r="AX18" s="4" t="n"/>
      <c r="AY18" s="4" t="n"/>
      <c r="AZ18" s="4" t="n"/>
      <c r="BA18" s="4" t="n"/>
      <c r="BB18" s="4" t="n"/>
      <c r="BC18" s="4" t="n"/>
      <c r="BD18" s="4" t="n"/>
      <c r="BE18" s="4" t="n"/>
      <c r="BF18" s="4" t="n"/>
      <c r="BG18" s="4" t="n"/>
      <c r="BH18" s="4" t="n"/>
      <c r="BI18" s="4" t="n"/>
      <c r="BJ18" s="4" t="n"/>
      <c r="BK18" s="4" t="n"/>
      <c r="BL18" s="4" t="n"/>
      <c r="BM18" s="4" t="n"/>
      <c r="BN18" s="4" t="n"/>
    </row>
    <row r="19" ht="14.1" customHeight="1">
      <c r="C19" s="410" t="inlineStr">
        <is>
          <t>Vlottend actief</t>
        </is>
      </c>
      <c r="D19" s="16">
        <f>SUM(D14:D18)</f>
        <v/>
      </c>
      <c r="E19" s="16">
        <f>SUM(E14:E18)</f>
        <v/>
      </c>
      <c r="F19" s="17">
        <f>SUM(F14:F18)</f>
        <v/>
      </c>
      <c r="G19" s="16">
        <f>SUM(G14:G18)</f>
        <v/>
      </c>
      <c r="H19" s="16">
        <f>SUM(H14:H18)</f>
        <v/>
      </c>
      <c r="I19" s="16">
        <f>SUM(I14:I18)</f>
        <v/>
      </c>
      <c r="J19" s="16">
        <f>SUM(J14:J18)</f>
        <v/>
      </c>
      <c r="K19" s="16">
        <f>SUM(K14:K18)</f>
        <v/>
      </c>
      <c r="L19" s="16">
        <f>SUM(L14:L18)</f>
        <v/>
      </c>
      <c r="M19" s="16">
        <f>SUM(M14:M18)</f>
        <v/>
      </c>
      <c r="N19" s="16">
        <f>SUM(N14:N18)</f>
        <v/>
      </c>
      <c r="O19" s="16">
        <f>SUM(O14:O18)</f>
        <v/>
      </c>
      <c r="P19" s="16">
        <f>SUM(P14:P18)</f>
        <v/>
      </c>
      <c r="Q19" s="16">
        <f>SUM(Q14:Q18)</f>
        <v/>
      </c>
      <c r="R19" s="16">
        <f>SUM(R14:R18)</f>
        <v/>
      </c>
      <c r="S19" s="16">
        <f>SUM(S14:S18)</f>
        <v/>
      </c>
      <c r="T19" s="16">
        <f>SUM(T14:T18)</f>
        <v/>
      </c>
      <c r="U19" s="16">
        <f>SUM(U14:U18)</f>
        <v/>
      </c>
      <c r="V19" s="16">
        <f>SUM(V14:V18)</f>
        <v/>
      </c>
      <c r="W19" s="16">
        <f>SUM(W14:W18)</f>
        <v/>
      </c>
      <c r="X19" s="16">
        <f>SUM(X14:X18)</f>
        <v/>
      </c>
      <c r="Y19" s="16">
        <f>SUM(Y14:Y18)</f>
        <v/>
      </c>
      <c r="Z19" s="16">
        <f>SUM(Z14:Z18)</f>
        <v/>
      </c>
      <c r="AA19" s="16">
        <f>SUM(AA14:AA18)</f>
        <v/>
      </c>
      <c r="AB19" s="16">
        <f>SUM(AB14:AB18)</f>
        <v/>
      </c>
      <c r="AC19" s="16">
        <f>SUM(AC14:AC18)</f>
        <v/>
      </c>
      <c r="AD19" s="16">
        <f>SUM(AD14:AD18)</f>
        <v/>
      </c>
      <c r="AE19" s="16">
        <f>SUM(AE14:AE18)</f>
        <v/>
      </c>
      <c r="AF19" s="16">
        <f>SUM(AF14:AF18)</f>
        <v/>
      </c>
      <c r="AG19" s="16">
        <f>SUM(AG14:AG18)</f>
        <v/>
      </c>
      <c r="AH19" s="16">
        <f>SUM(AH14:AH18)</f>
        <v/>
      </c>
      <c r="AI19" s="16">
        <f>SUM(AI14:AI18)</f>
        <v/>
      </c>
      <c r="AJ19" s="16">
        <f>SUM(AJ14:AJ18)</f>
        <v/>
      </c>
      <c r="AK19" s="16">
        <f>SUM(AK14:AK18)</f>
        <v/>
      </c>
      <c r="AL19" s="16">
        <f>SUM(AL14:AL18)</f>
        <v/>
      </c>
      <c r="AM19" s="16">
        <f>SUM(AM14:AM18)</f>
        <v/>
      </c>
      <c r="AN19" s="16">
        <f>SUM(AN14:AN18)</f>
        <v/>
      </c>
      <c r="AO19" s="16">
        <f>SUM(AO14:AO18)</f>
        <v/>
      </c>
      <c r="AP19" s="16">
        <f>SUM(AP14:AP18)</f>
        <v/>
      </c>
      <c r="AQ19" s="16">
        <f>SUM(AQ14:AQ18)</f>
        <v/>
      </c>
      <c r="AR19" s="16">
        <f>SUM(AR14:AR18)</f>
        <v/>
      </c>
      <c r="AS19" s="16">
        <f>SUM(AS14:AS18)</f>
        <v/>
      </c>
      <c r="AT19" s="16">
        <f>SUM(AT14:AT18)</f>
        <v/>
      </c>
      <c r="AU19" s="16">
        <f>SUM(AU14:AU18)</f>
        <v/>
      </c>
      <c r="AV19" s="16">
        <f>SUM(AV14:AV18)</f>
        <v/>
      </c>
      <c r="AW19" s="16">
        <f>SUM(AW14:AW18)</f>
        <v/>
      </c>
      <c r="AX19" s="16">
        <f>SUM(AX14:AX18)</f>
        <v/>
      </c>
      <c r="AY19" s="16">
        <f>SUM(AY14:AY18)</f>
        <v/>
      </c>
      <c r="AZ19" s="16">
        <f>SUM(AZ14:AZ18)</f>
        <v/>
      </c>
      <c r="BA19" s="16">
        <f>SUM(BA14:BA18)</f>
        <v/>
      </c>
      <c r="BB19" s="16">
        <f>SUM(BB14:BB18)</f>
        <v/>
      </c>
      <c r="BC19" s="16">
        <f>SUM(BC14:BC18)</f>
        <v/>
      </c>
      <c r="BD19" s="16">
        <f>SUM(BD14:BD18)</f>
        <v/>
      </c>
      <c r="BE19" s="16">
        <f>SUM(BE14:BE18)</f>
        <v/>
      </c>
      <c r="BF19" s="16">
        <f>SUM(BF14:BF18)</f>
        <v/>
      </c>
      <c r="BG19" s="16">
        <f>SUM(BG14:BG18)</f>
        <v/>
      </c>
      <c r="BH19" s="16">
        <f>SUM(BH14:BH18)</f>
        <v/>
      </c>
      <c r="BI19" s="16">
        <f>SUM(BI14:BI18)</f>
        <v/>
      </c>
      <c r="BJ19" s="16">
        <f>SUM(BJ14:BJ18)</f>
        <v/>
      </c>
      <c r="BK19" s="16">
        <f>SUM(BK14:BK18)</f>
        <v/>
      </c>
      <c r="BL19" s="16">
        <f>SUM(BL14:BL18)</f>
        <v/>
      </c>
      <c r="BM19" s="16">
        <f>SUM(BM14:BM18)</f>
        <v/>
      </c>
      <c r="BN19" s="16">
        <f>SUM(BN14:BN18)</f>
        <v/>
      </c>
    </row>
    <row r="20" ht="14.1" customHeight="1">
      <c r="C20" s="16" t="inlineStr">
        <is>
          <t>Totale activa</t>
        </is>
      </c>
      <c r="D20" s="16">
        <f>SUM(D13,D19)</f>
        <v/>
      </c>
      <c r="E20" s="16">
        <f>SUM(E13,E19)</f>
        <v/>
      </c>
      <c r="F20" s="17">
        <f>SUM(F13,F19)</f>
        <v/>
      </c>
      <c r="G20" s="16">
        <f>SUM(G13,G19)</f>
        <v/>
      </c>
      <c r="H20" s="16">
        <f>SUM(H13,H19)</f>
        <v/>
      </c>
      <c r="I20" s="16">
        <f>SUM(I13,I19)</f>
        <v/>
      </c>
      <c r="J20" s="16">
        <f>SUM(J13,J19)</f>
        <v/>
      </c>
      <c r="K20" s="16">
        <f>SUM(K13,K19)</f>
        <v/>
      </c>
      <c r="L20" s="16">
        <f>SUM(L13,L19)</f>
        <v/>
      </c>
      <c r="M20" s="16">
        <f>SUM(M13,M19)</f>
        <v/>
      </c>
      <c r="N20" s="16">
        <f>SUM(N13,N19)</f>
        <v/>
      </c>
      <c r="O20" s="16">
        <f>SUM(O13,O19)</f>
        <v/>
      </c>
      <c r="P20" s="16">
        <f>SUM(P13,P19)</f>
        <v/>
      </c>
      <c r="Q20" s="16">
        <f>SUM(Q13,Q19)</f>
        <v/>
      </c>
      <c r="R20" s="16">
        <f>SUM(R13,R19)</f>
        <v/>
      </c>
      <c r="S20" s="16">
        <f>SUM(S13,S19)</f>
        <v/>
      </c>
      <c r="T20" s="16">
        <f>SUM(T13,T19)</f>
        <v/>
      </c>
      <c r="U20" s="16">
        <f>SUM(U13,U19)</f>
        <v/>
      </c>
      <c r="V20" s="16">
        <f>SUM(V13,V19)</f>
        <v/>
      </c>
      <c r="W20" s="16">
        <f>SUM(W13,W19)</f>
        <v/>
      </c>
      <c r="X20" s="16">
        <f>SUM(X13,X19)</f>
        <v/>
      </c>
      <c r="Y20" s="16">
        <f>SUM(Y13,Y19)</f>
        <v/>
      </c>
      <c r="Z20" s="16">
        <f>SUM(Z13,Z19)</f>
        <v/>
      </c>
      <c r="AA20" s="16">
        <f>SUM(AA13,AA19)</f>
        <v/>
      </c>
      <c r="AB20" s="16">
        <f>SUM(AB13,AB19)</f>
        <v/>
      </c>
      <c r="AC20" s="16">
        <f>SUM(AC13,AC19)</f>
        <v/>
      </c>
      <c r="AD20" s="16">
        <f>SUM(AD13,AD19)</f>
        <v/>
      </c>
      <c r="AE20" s="16">
        <f>SUM(AE13,AE19)</f>
        <v/>
      </c>
      <c r="AF20" s="16">
        <f>SUM(AF13,AF19)</f>
        <v/>
      </c>
      <c r="AG20" s="16">
        <f>SUM(AG13,AG19)</f>
        <v/>
      </c>
      <c r="AH20" s="16">
        <f>SUM(AH13,AH19)</f>
        <v/>
      </c>
      <c r="AI20" s="16">
        <f>SUM(AI13,AI19)</f>
        <v/>
      </c>
      <c r="AJ20" s="16">
        <f>SUM(AJ13,AJ19)</f>
        <v/>
      </c>
      <c r="AK20" s="16">
        <f>SUM(AK13,AK19)</f>
        <v/>
      </c>
      <c r="AL20" s="16">
        <f>SUM(AL13,AL19)</f>
        <v/>
      </c>
      <c r="AM20" s="16">
        <f>SUM(AM13,AM19)</f>
        <v/>
      </c>
      <c r="AN20" s="16">
        <f>SUM(AN13,AN19)</f>
        <v/>
      </c>
      <c r="AO20" s="16">
        <f>SUM(AO13,AO19)</f>
        <v/>
      </c>
      <c r="AP20" s="16">
        <f>SUM(AP13,AP19)</f>
        <v/>
      </c>
      <c r="AQ20" s="16">
        <f>SUM(AQ13,AQ19)</f>
        <v/>
      </c>
      <c r="AR20" s="16">
        <f>SUM(AR13,AR19)</f>
        <v/>
      </c>
      <c r="AS20" s="16">
        <f>SUM(AS13,AS19)</f>
        <v/>
      </c>
      <c r="AT20" s="16">
        <f>SUM(AT13,AT19)</f>
        <v/>
      </c>
      <c r="AU20" s="16">
        <f>SUM(AU13,AU19)</f>
        <v/>
      </c>
      <c r="AV20" s="16">
        <f>SUM(AV13,AV19)</f>
        <v/>
      </c>
      <c r="AW20" s="16">
        <f>SUM(AW13,AW19)</f>
        <v/>
      </c>
      <c r="AX20" s="16">
        <f>SUM(AX13,AX19)</f>
        <v/>
      </c>
      <c r="AY20" s="16">
        <f>SUM(AY13,AY19)</f>
        <v/>
      </c>
      <c r="AZ20" s="16">
        <f>SUM(AZ13,AZ19)</f>
        <v/>
      </c>
      <c r="BA20" s="16">
        <f>SUM(BA13,BA19)</f>
        <v/>
      </c>
      <c r="BB20" s="16">
        <f>SUM(BB13,BB19)</f>
        <v/>
      </c>
      <c r="BC20" s="16">
        <f>SUM(BC13,BC19)</f>
        <v/>
      </c>
      <c r="BD20" s="16">
        <f>SUM(BD13,BD19)</f>
        <v/>
      </c>
      <c r="BE20" s="16">
        <f>SUM(BE13,BE19)</f>
        <v/>
      </c>
      <c r="BF20" s="16">
        <f>SUM(BF13,BF19)</f>
        <v/>
      </c>
      <c r="BG20" s="16">
        <f>SUM(BG13,BG19)</f>
        <v/>
      </c>
      <c r="BH20" s="16">
        <f>SUM(BH13,BH19)</f>
        <v/>
      </c>
      <c r="BI20" s="16">
        <f>SUM(BI13,BI19)</f>
        <v/>
      </c>
      <c r="BJ20" s="16">
        <f>SUM(BJ13,BJ19)</f>
        <v/>
      </c>
      <c r="BK20" s="16">
        <f>SUM(BK13,BK19)</f>
        <v/>
      </c>
      <c r="BL20" s="16">
        <f>SUM(BL13,BL19)</f>
        <v/>
      </c>
      <c r="BM20" s="16">
        <f>SUM(BM13,BM19)</f>
        <v/>
      </c>
      <c r="BN20" s="16">
        <f>SUM(BN13,BN19)</f>
        <v/>
      </c>
    </row>
    <row r="21" ht="14.1" customHeight="1">
      <c r="C21" s="4" t="n"/>
      <c r="D21" s="4" t="n"/>
      <c r="E21" s="4" t="n"/>
      <c r="F21" s="14" t="n"/>
      <c r="G21" s="4" t="n"/>
      <c r="H21" s="4" t="n"/>
      <c r="I21" s="4" t="n"/>
      <c r="Q21" s="411" t="n"/>
    </row>
    <row r="22" ht="14.1" customHeight="1">
      <c r="C22" s="406">
        <f>"Balans - "&amp;Historiek!$A$2&amp;" - Passiva"</f>
        <v/>
      </c>
      <c r="D22" s="407" t="n"/>
      <c r="E22" s="407" t="n"/>
      <c r="F22" s="13" t="n"/>
      <c r="G22" s="407" t="n"/>
      <c r="H22" s="407" t="n"/>
      <c r="I22" s="407" t="n"/>
    </row>
    <row r="23" ht="14.1" customHeight="1">
      <c r="C23" s="738">
        <f>C$6</f>
        <v/>
      </c>
      <c r="D23" s="742">
        <f>D$6</f>
        <v/>
      </c>
      <c r="E23" s="742">
        <f>E$6</f>
        <v/>
      </c>
      <c r="F23" s="740">
        <f>F$6</f>
        <v/>
      </c>
      <c r="G23" s="741">
        <f>G$6</f>
        <v/>
      </c>
      <c r="H23" s="741">
        <f>H$6</f>
        <v/>
      </c>
      <c r="I23" s="741">
        <f>I$6</f>
        <v/>
      </c>
      <c r="J23" s="741">
        <f>J$6</f>
        <v/>
      </c>
      <c r="K23" s="741">
        <f>K$6</f>
        <v/>
      </c>
      <c r="L23" s="741">
        <f>L$6</f>
        <v/>
      </c>
      <c r="M23" s="741">
        <f>M$6</f>
        <v/>
      </c>
      <c r="N23" s="741">
        <f>N$6</f>
        <v/>
      </c>
      <c r="O23" s="741">
        <f>O$6</f>
        <v/>
      </c>
      <c r="P23" s="741">
        <f>P$6</f>
        <v/>
      </c>
      <c r="Q23" s="741">
        <f>Q$6</f>
        <v/>
      </c>
      <c r="R23" s="741">
        <f>R$6</f>
        <v/>
      </c>
      <c r="S23" s="741">
        <f>S$6</f>
        <v/>
      </c>
      <c r="T23" s="741">
        <f>T$6</f>
        <v/>
      </c>
      <c r="U23" s="741">
        <f>U$6</f>
        <v/>
      </c>
      <c r="V23" s="741">
        <f>V$6</f>
        <v/>
      </c>
      <c r="W23" s="741">
        <f>W$6</f>
        <v/>
      </c>
      <c r="X23" s="741">
        <f>X$6</f>
        <v/>
      </c>
      <c r="Y23" s="741">
        <f>Y$6</f>
        <v/>
      </c>
      <c r="Z23" s="741">
        <f>Z$6</f>
        <v/>
      </c>
      <c r="AA23" s="741">
        <f>AA$6</f>
        <v/>
      </c>
      <c r="AB23" s="741">
        <f>AB$6</f>
        <v/>
      </c>
      <c r="AC23" s="741">
        <f>AC$6</f>
        <v/>
      </c>
      <c r="AD23" s="741">
        <f>AD$6</f>
        <v/>
      </c>
      <c r="AE23" s="741">
        <f>AE$6</f>
        <v/>
      </c>
      <c r="AF23" s="741">
        <f>AF$6</f>
        <v/>
      </c>
      <c r="AG23" s="741">
        <f>AG$6</f>
        <v/>
      </c>
      <c r="AH23" s="741">
        <f>AH$6</f>
        <v/>
      </c>
      <c r="AI23" s="741">
        <f>AI$6</f>
        <v/>
      </c>
      <c r="AJ23" s="741">
        <f>AJ$6</f>
        <v/>
      </c>
      <c r="AK23" s="741">
        <f>AK$6</f>
        <v/>
      </c>
      <c r="AL23" s="741">
        <f>AL$6</f>
        <v/>
      </c>
      <c r="AM23" s="741">
        <f>AM$6</f>
        <v/>
      </c>
      <c r="AN23" s="741">
        <f>AN$6</f>
        <v/>
      </c>
      <c r="AO23" s="741">
        <f>AO$6</f>
        <v/>
      </c>
      <c r="AP23" s="741">
        <f>AP$6</f>
        <v/>
      </c>
      <c r="AQ23" s="741">
        <f>AQ$6</f>
        <v/>
      </c>
      <c r="AR23" s="741">
        <f>AR$6</f>
        <v/>
      </c>
      <c r="AS23" s="741">
        <f>AS$6</f>
        <v/>
      </c>
      <c r="AT23" s="741">
        <f>AT$6</f>
        <v/>
      </c>
      <c r="AU23" s="741">
        <f>AU$6</f>
        <v/>
      </c>
      <c r="AV23" s="741">
        <f>AV$6</f>
        <v/>
      </c>
      <c r="AW23" s="741">
        <f>AW$6</f>
        <v/>
      </c>
      <c r="AX23" s="741">
        <f>AX$6</f>
        <v/>
      </c>
      <c r="AY23" s="741">
        <f>AY$6</f>
        <v/>
      </c>
      <c r="AZ23" s="741">
        <f>AZ$6</f>
        <v/>
      </c>
      <c r="BA23" s="741">
        <f>BA$6</f>
        <v/>
      </c>
      <c r="BB23" s="741">
        <f>BB$6</f>
        <v/>
      </c>
      <c r="BC23" s="741">
        <f>BC$6</f>
        <v/>
      </c>
      <c r="BD23" s="741">
        <f>BD$6</f>
        <v/>
      </c>
      <c r="BE23" s="741">
        <f>BE$6</f>
        <v/>
      </c>
      <c r="BF23" s="741">
        <f>BF$6</f>
        <v/>
      </c>
      <c r="BG23" s="741">
        <f>BG$6</f>
        <v/>
      </c>
      <c r="BH23" s="741">
        <f>BH$6</f>
        <v/>
      </c>
      <c r="BI23" s="741">
        <f>BI$6</f>
        <v/>
      </c>
      <c r="BJ23" s="741">
        <f>BJ$6</f>
        <v/>
      </c>
      <c r="BK23" s="741">
        <f>BK$6</f>
        <v/>
      </c>
      <c r="BL23" s="741">
        <f>BL$6</f>
        <v/>
      </c>
      <c r="BM23" s="741">
        <f>BM$6</f>
        <v/>
      </c>
      <c r="BN23" s="741">
        <f>BN$6</f>
        <v/>
      </c>
    </row>
    <row r="24" ht="14.1" customHeight="1">
      <c r="C24" s="4" t="inlineStr">
        <is>
          <t>Kapitaal</t>
        </is>
      </c>
      <c r="D24" s="5">
        <f>Balans!D33</f>
        <v/>
      </c>
      <c r="E24" s="5">
        <f>Balans!E33</f>
        <v/>
      </c>
      <c r="F24" s="21">
        <f>Balans!F33</f>
        <v/>
      </c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  <c r="AH24" s="4" t="n"/>
      <c r="AI24" s="4" t="n"/>
      <c r="AJ24" s="4" t="n"/>
      <c r="AK24" s="4" t="n"/>
      <c r="AL24" s="4" t="n"/>
      <c r="AM24" s="4" t="n"/>
      <c r="AN24" s="4" t="n"/>
      <c r="AO24" s="4" t="n"/>
      <c r="AP24" s="4" t="n"/>
      <c r="AQ24" s="4" t="n"/>
      <c r="AR24" s="4" t="n"/>
      <c r="AS24" s="4" t="n"/>
      <c r="AT24" s="4" t="n"/>
      <c r="AU24" s="4" t="n"/>
      <c r="AV24" s="4" t="n"/>
      <c r="AW24" s="4" t="n"/>
      <c r="AX24" s="4" t="n"/>
      <c r="AY24" s="4" t="n"/>
      <c r="AZ24" s="4" t="n"/>
      <c r="BA24" s="4" t="n"/>
      <c r="BB24" s="4" t="n"/>
      <c r="BC24" s="4" t="n"/>
      <c r="BD24" s="4" t="n"/>
      <c r="BE24" s="4" t="n"/>
      <c r="BF24" s="4" t="n"/>
      <c r="BG24" s="4" t="n"/>
      <c r="BH24" s="4" t="n"/>
      <c r="BI24" s="4" t="n"/>
      <c r="BJ24" s="4" t="n"/>
      <c r="BK24" s="4" t="n"/>
      <c r="BL24" s="4" t="n"/>
      <c r="BM24" s="4" t="n"/>
      <c r="BN24" s="4" t="n"/>
    </row>
    <row r="25" ht="14.1" customHeight="1">
      <c r="C25" s="4" t="inlineStr">
        <is>
          <t>Reserves</t>
        </is>
      </c>
      <c r="D25" s="4">
        <f>Historiek!D85/1000</f>
        <v/>
      </c>
      <c r="E25" s="4">
        <f>Historiek!E85/1000</f>
        <v/>
      </c>
      <c r="F25" s="4">
        <f>Historiek!F85/1000</f>
        <v/>
      </c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4" t="n"/>
      <c r="AN25" s="4" t="n"/>
      <c r="AO25" s="4" t="n"/>
      <c r="AP25" s="4" t="n"/>
      <c r="AQ25" s="4" t="n"/>
      <c r="AR25" s="4" t="n"/>
      <c r="AS25" s="4" t="n"/>
      <c r="AT25" s="4" t="n"/>
      <c r="AU25" s="4" t="n"/>
      <c r="AV25" s="4" t="n"/>
      <c r="AW25" s="4" t="n"/>
      <c r="AX25" s="4" t="n"/>
      <c r="AY25" s="4" t="n"/>
      <c r="AZ25" s="4" t="n"/>
      <c r="BA25" s="4" t="n"/>
      <c r="BB25" s="4" t="n"/>
      <c r="BC25" s="4" t="n"/>
      <c r="BD25" s="4" t="n"/>
      <c r="BE25" s="4" t="n"/>
      <c r="BF25" s="4" t="n"/>
      <c r="BG25" s="4" t="n"/>
      <c r="BH25" s="4" t="n"/>
      <c r="BI25" s="4" t="n"/>
      <c r="BJ25" s="4" t="n"/>
      <c r="BK25" s="4" t="n"/>
      <c r="BL25" s="4" t="n"/>
      <c r="BM25" s="4" t="n"/>
      <c r="BN25" s="4" t="n"/>
    </row>
    <row r="26" ht="14.1" customHeight="1">
      <c r="C26" s="4" t="inlineStr">
        <is>
          <t>Kapitaalsubsidies</t>
        </is>
      </c>
      <c r="D26" s="4">
        <f>Balans!D36</f>
        <v/>
      </c>
      <c r="E26" s="4">
        <f>Balans!E36</f>
        <v/>
      </c>
      <c r="F26" s="14">
        <f>Balans!F36</f>
        <v/>
      </c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  <c r="AH26" s="4" t="n"/>
      <c r="AI26" s="4" t="n"/>
      <c r="AJ26" s="4" t="n"/>
      <c r="AK26" s="4" t="n"/>
      <c r="AL26" s="4" t="n"/>
      <c r="AM26" s="4" t="n"/>
      <c r="AN26" s="4" t="n"/>
      <c r="AO26" s="4" t="n"/>
      <c r="AP26" s="4" t="n"/>
      <c r="AQ26" s="4" t="n"/>
      <c r="AR26" s="4" t="n"/>
      <c r="AS26" s="4" t="n"/>
      <c r="AT26" s="4" t="n"/>
      <c r="AU26" s="4" t="n"/>
      <c r="AV26" s="4" t="n"/>
      <c r="AW26" s="4" t="n"/>
      <c r="AX26" s="4" t="n"/>
      <c r="AY26" s="4" t="n"/>
      <c r="AZ26" s="4" t="n"/>
      <c r="BA26" s="4" t="n"/>
      <c r="BB26" s="4" t="n"/>
      <c r="BC26" s="4" t="n"/>
      <c r="BD26" s="4" t="n"/>
      <c r="BE26" s="4" t="n"/>
      <c r="BF26" s="4" t="n"/>
      <c r="BG26" s="4" t="n"/>
      <c r="BH26" s="4" t="n"/>
      <c r="BI26" s="4" t="n"/>
      <c r="BJ26" s="4" t="n"/>
      <c r="BK26" s="4" t="n"/>
      <c r="BL26" s="4" t="n"/>
      <c r="BM26" s="4" t="n"/>
      <c r="BN26" s="4" t="n"/>
    </row>
    <row r="27" ht="14.1" customHeight="1">
      <c r="C27" s="4" t="inlineStr">
        <is>
          <t>Overgedragen resultaat</t>
        </is>
      </c>
      <c r="D27" s="4">
        <f>(Historiek!D91+Historiek!D92)/1000</f>
        <v/>
      </c>
      <c r="E27" s="4">
        <f>(Historiek!E91+Historiek!E92)/1000</f>
        <v/>
      </c>
      <c r="F27" s="4">
        <f>(Historiek!F91+Historiek!F92)/1000</f>
        <v/>
      </c>
      <c r="G27" s="4">
        <f>F27+F28</f>
        <v/>
      </c>
      <c r="H27" s="4">
        <f>G27+G28</f>
        <v/>
      </c>
      <c r="I27" s="4">
        <f>H27+H28</f>
        <v/>
      </c>
      <c r="J27" s="4">
        <f>I27+I28</f>
        <v/>
      </c>
      <c r="K27" s="4">
        <f>J27+J28</f>
        <v/>
      </c>
      <c r="L27" s="4">
        <f>K27+K28</f>
        <v/>
      </c>
      <c r="M27" s="4">
        <f>L27+L28</f>
        <v/>
      </c>
      <c r="N27" s="4">
        <f>M27+M28</f>
        <v/>
      </c>
      <c r="O27" s="4">
        <f>N27+N28</f>
        <v/>
      </c>
      <c r="P27" s="4">
        <f>O27+O28</f>
        <v/>
      </c>
      <c r="Q27" s="4">
        <f>P27+P28</f>
        <v/>
      </c>
      <c r="R27" s="4">
        <f>Q27+Q28</f>
        <v/>
      </c>
      <c r="S27" s="4">
        <f>R27+R28</f>
        <v/>
      </c>
      <c r="T27" s="4">
        <f>S27+S28</f>
        <v/>
      </c>
      <c r="U27" s="4">
        <f>T27+T28</f>
        <v/>
      </c>
      <c r="V27" s="4">
        <f>U27+U28</f>
        <v/>
      </c>
      <c r="W27" s="4">
        <f>V27+V28</f>
        <v/>
      </c>
      <c r="X27" s="4">
        <f>W27+W28</f>
        <v/>
      </c>
      <c r="Y27" s="4">
        <f>X27+X28</f>
        <v/>
      </c>
      <c r="Z27" s="4">
        <f>Y27+Y28</f>
        <v/>
      </c>
      <c r="AA27" s="4">
        <f>Z27+Z28</f>
        <v/>
      </c>
      <c r="AB27" s="4">
        <f>AA27+AA28</f>
        <v/>
      </c>
      <c r="AC27" s="4">
        <f>AB27+AB28</f>
        <v/>
      </c>
      <c r="AD27" s="4">
        <f>AC27+AC28</f>
        <v/>
      </c>
      <c r="AE27" s="4">
        <f>AD27+AD28</f>
        <v/>
      </c>
      <c r="AF27" s="4">
        <f>AE27+AE28</f>
        <v/>
      </c>
      <c r="AG27" s="4">
        <f>AF27+AF28</f>
        <v/>
      </c>
      <c r="AH27" s="4">
        <f>AG27+AG28</f>
        <v/>
      </c>
      <c r="AI27" s="4">
        <f>AH27+AH28</f>
        <v/>
      </c>
      <c r="AJ27" s="4">
        <f>AI27+AI28</f>
        <v/>
      </c>
      <c r="AK27" s="4">
        <f>AJ27+AJ28</f>
        <v/>
      </c>
      <c r="AL27" s="4">
        <f>AK27+AK28</f>
        <v/>
      </c>
      <c r="AM27" s="4">
        <f>AL27+AL28</f>
        <v/>
      </c>
      <c r="AN27" s="4">
        <f>AM27+AM28</f>
        <v/>
      </c>
      <c r="AO27" s="4">
        <f>AN27+AN28</f>
        <v/>
      </c>
      <c r="AP27" s="4">
        <f>AO27+AO28</f>
        <v/>
      </c>
      <c r="AQ27" s="4">
        <f>AP27+AP28</f>
        <v/>
      </c>
      <c r="AR27" s="4">
        <f>AQ27+AQ28</f>
        <v/>
      </c>
      <c r="AS27" s="4">
        <f>AR27+AR28</f>
        <v/>
      </c>
      <c r="AT27" s="4">
        <f>AS27+AS28</f>
        <v/>
      </c>
      <c r="AU27" s="4">
        <f>AT27+AT28</f>
        <v/>
      </c>
      <c r="AV27" s="4">
        <f>AU27+AU28</f>
        <v/>
      </c>
      <c r="AW27" s="4">
        <f>AV27+AV28</f>
        <v/>
      </c>
      <c r="AX27" s="4">
        <f>AW27+AW28</f>
        <v/>
      </c>
      <c r="AY27" s="4">
        <f>AX27+AX28</f>
        <v/>
      </c>
      <c r="AZ27" s="4">
        <f>AY27+AY28</f>
        <v/>
      </c>
      <c r="BA27" s="4">
        <f>AZ27+AZ28</f>
        <v/>
      </c>
      <c r="BB27" s="4">
        <f>BA27+BA28</f>
        <v/>
      </c>
      <c r="BC27" s="4">
        <f>BB27+BB28</f>
        <v/>
      </c>
      <c r="BD27" s="4">
        <f>BC27+BC28</f>
        <v/>
      </c>
      <c r="BE27" s="4">
        <f>BD27+BD28</f>
        <v/>
      </c>
      <c r="BF27" s="4">
        <f>BE27+BE28</f>
        <v/>
      </c>
      <c r="BG27" s="4">
        <f>BF27+BF28</f>
        <v/>
      </c>
      <c r="BH27" s="4">
        <f>BG27+BG28</f>
        <v/>
      </c>
      <c r="BI27" s="4">
        <f>BH27+BH28</f>
        <v/>
      </c>
      <c r="BJ27" s="4">
        <f>BI27+BI28</f>
        <v/>
      </c>
      <c r="BK27" s="4">
        <f>BJ27+BJ28</f>
        <v/>
      </c>
      <c r="BL27" s="4">
        <f>BK27+BK28</f>
        <v/>
      </c>
      <c r="BM27" s="4">
        <f>BL27+BL28</f>
        <v/>
      </c>
      <c r="BN27" s="4">
        <f>BM27+BM28</f>
        <v/>
      </c>
    </row>
    <row r="28" ht="14.1" customHeight="1">
      <c r="C28" s="4" t="inlineStr">
        <is>
          <t>Huidig resultaat (na resultaatverwerking)</t>
        </is>
      </c>
      <c r="D28" s="4">
        <f>D76</f>
        <v/>
      </c>
      <c r="E28" s="4">
        <f>E76</f>
        <v/>
      </c>
      <c r="F28" s="14">
        <f>F76</f>
        <v/>
      </c>
      <c r="G28" s="4">
        <f>G76</f>
        <v/>
      </c>
      <c r="H28" s="4">
        <f>H76</f>
        <v/>
      </c>
      <c r="I28" s="4">
        <f>I76</f>
        <v/>
      </c>
      <c r="J28" s="4">
        <f>J76</f>
        <v/>
      </c>
      <c r="K28" s="4">
        <f>K76</f>
        <v/>
      </c>
      <c r="L28" s="4">
        <f>L76</f>
        <v/>
      </c>
      <c r="M28" s="4">
        <f>M76</f>
        <v/>
      </c>
      <c r="N28" s="4">
        <f>N76</f>
        <v/>
      </c>
      <c r="O28" s="4">
        <f>O76</f>
        <v/>
      </c>
      <c r="P28" s="4">
        <f>P76</f>
        <v/>
      </c>
      <c r="Q28" s="4">
        <f>Q76</f>
        <v/>
      </c>
      <c r="R28" s="4">
        <f>R76</f>
        <v/>
      </c>
      <c r="S28" s="4">
        <f>S76</f>
        <v/>
      </c>
      <c r="T28" s="4">
        <f>T76</f>
        <v/>
      </c>
      <c r="U28" s="4">
        <f>U76</f>
        <v/>
      </c>
      <c r="V28" s="4">
        <f>V76</f>
        <v/>
      </c>
      <c r="W28" s="4">
        <f>W76</f>
        <v/>
      </c>
      <c r="X28" s="4">
        <f>X76</f>
        <v/>
      </c>
      <c r="Y28" s="4">
        <f>Y76</f>
        <v/>
      </c>
      <c r="Z28" s="4">
        <f>Z76</f>
        <v/>
      </c>
      <c r="AA28" s="4">
        <f>AA76</f>
        <v/>
      </c>
      <c r="AB28" s="4">
        <f>AB76</f>
        <v/>
      </c>
      <c r="AC28" s="4">
        <f>AC76</f>
        <v/>
      </c>
      <c r="AD28" s="4">
        <f>AD76</f>
        <v/>
      </c>
      <c r="AE28" s="4">
        <f>AE76</f>
        <v/>
      </c>
      <c r="AF28" s="4">
        <f>AF76</f>
        <v/>
      </c>
      <c r="AG28" s="4">
        <f>AG76</f>
        <v/>
      </c>
      <c r="AH28" s="4">
        <f>AH76</f>
        <v/>
      </c>
      <c r="AI28" s="4">
        <f>AI76</f>
        <v/>
      </c>
      <c r="AJ28" s="4">
        <f>AJ76</f>
        <v/>
      </c>
      <c r="AK28" s="4">
        <f>AK76</f>
        <v/>
      </c>
      <c r="AL28" s="4">
        <f>AL76</f>
        <v/>
      </c>
      <c r="AM28" s="4">
        <f>AM76</f>
        <v/>
      </c>
      <c r="AN28" s="4">
        <f>AN76</f>
        <v/>
      </c>
      <c r="AO28" s="4">
        <f>AO76</f>
        <v/>
      </c>
      <c r="AP28" s="4">
        <f>AP76</f>
        <v/>
      </c>
      <c r="AQ28" s="4">
        <f>AQ76</f>
        <v/>
      </c>
      <c r="AR28" s="4">
        <f>AR76</f>
        <v/>
      </c>
      <c r="AS28" s="4">
        <f>AS76</f>
        <v/>
      </c>
      <c r="AT28" s="4">
        <f>AT76</f>
        <v/>
      </c>
      <c r="AU28" s="4">
        <f>AU76</f>
        <v/>
      </c>
      <c r="AV28" s="4">
        <f>AV76</f>
        <v/>
      </c>
      <c r="AW28" s="4">
        <f>AW76</f>
        <v/>
      </c>
      <c r="AX28" s="4">
        <f>AX76</f>
        <v/>
      </c>
      <c r="AY28" s="4">
        <f>AY76</f>
        <v/>
      </c>
      <c r="AZ28" s="4">
        <f>AZ76</f>
        <v/>
      </c>
      <c r="BA28" s="4">
        <f>BA76</f>
        <v/>
      </c>
      <c r="BB28" s="4">
        <f>BB76</f>
        <v/>
      </c>
      <c r="BC28" s="4">
        <f>BC76</f>
        <v/>
      </c>
      <c r="BD28" s="4">
        <f>BD76</f>
        <v/>
      </c>
      <c r="BE28" s="4">
        <f>BE76</f>
        <v/>
      </c>
      <c r="BF28" s="4">
        <f>BF76</f>
        <v/>
      </c>
      <c r="BG28" s="4">
        <f>BG76</f>
        <v/>
      </c>
      <c r="BH28" s="4">
        <f>BH76</f>
        <v/>
      </c>
      <c r="BI28" s="4">
        <f>BI76</f>
        <v/>
      </c>
      <c r="BJ28" s="4">
        <f>BJ76</f>
        <v/>
      </c>
      <c r="BK28" s="4">
        <f>BK76</f>
        <v/>
      </c>
      <c r="BL28" s="4">
        <f>BL76</f>
        <v/>
      </c>
      <c r="BM28" s="4">
        <f>BM76</f>
        <v/>
      </c>
      <c r="BN28" s="4">
        <f>BN76</f>
        <v/>
      </c>
    </row>
    <row r="29" ht="14.1" customHeight="1">
      <c r="C29" s="16" t="inlineStr">
        <is>
          <t>Eigen vermogen</t>
        </is>
      </c>
      <c r="D29" s="16">
        <f>SUM(D24:D28)</f>
        <v/>
      </c>
      <c r="E29" s="16">
        <f>SUM(E24:E28)</f>
        <v/>
      </c>
      <c r="F29" s="17">
        <f>SUM(F24:F28)</f>
        <v/>
      </c>
      <c r="G29" s="16">
        <f>SUM(G24:G28)</f>
        <v/>
      </c>
      <c r="H29" s="16">
        <f>SUM(H24:H28)</f>
        <v/>
      </c>
      <c r="I29" s="16">
        <f>SUM(I24:I28)</f>
        <v/>
      </c>
      <c r="J29" s="16">
        <f>SUM(J24:J28)</f>
        <v/>
      </c>
      <c r="K29" s="16">
        <f>SUM(K24:K28)</f>
        <v/>
      </c>
      <c r="L29" s="16">
        <f>SUM(L24:L28)</f>
        <v/>
      </c>
      <c r="M29" s="16">
        <f>SUM(M24:M28)</f>
        <v/>
      </c>
      <c r="N29" s="16">
        <f>SUM(N24:N28)</f>
        <v/>
      </c>
      <c r="O29" s="16">
        <f>SUM(O24:O28)</f>
        <v/>
      </c>
      <c r="P29" s="16">
        <f>SUM(P24:P28)</f>
        <v/>
      </c>
      <c r="Q29" s="16">
        <f>SUM(Q24:Q28)</f>
        <v/>
      </c>
      <c r="R29" s="16">
        <f>SUM(R24:R28)</f>
        <v/>
      </c>
      <c r="S29" s="16">
        <f>SUM(S24:S28)</f>
        <v/>
      </c>
      <c r="T29" s="16">
        <f>SUM(T24:T28)</f>
        <v/>
      </c>
      <c r="U29" s="16">
        <f>SUM(U24:U28)</f>
        <v/>
      </c>
      <c r="V29" s="16">
        <f>SUM(V24:V28)</f>
        <v/>
      </c>
      <c r="W29" s="16">
        <f>SUM(W24:W28)</f>
        <v/>
      </c>
      <c r="X29" s="16">
        <f>SUM(X24:X28)</f>
        <v/>
      </c>
      <c r="Y29" s="16">
        <f>SUM(Y24:Y28)</f>
        <v/>
      </c>
      <c r="Z29" s="16">
        <f>SUM(Z24:Z28)</f>
        <v/>
      </c>
      <c r="AA29" s="16">
        <f>SUM(AA24:AA28)</f>
        <v/>
      </c>
      <c r="AB29" s="16">
        <f>SUM(AB24:AB28)</f>
        <v/>
      </c>
      <c r="AC29" s="16">
        <f>SUM(AC24:AC28)</f>
        <v/>
      </c>
      <c r="AD29" s="16">
        <f>SUM(AD24:AD28)</f>
        <v/>
      </c>
      <c r="AE29" s="16">
        <f>SUM(AE24:AE28)</f>
        <v/>
      </c>
      <c r="AF29" s="16">
        <f>SUM(AF24:AF28)</f>
        <v/>
      </c>
      <c r="AG29" s="16">
        <f>SUM(AG24:AG28)</f>
        <v/>
      </c>
      <c r="AH29" s="16">
        <f>SUM(AH24:AH28)</f>
        <v/>
      </c>
      <c r="AI29" s="16">
        <f>SUM(AI24:AI28)</f>
        <v/>
      </c>
      <c r="AJ29" s="16">
        <f>SUM(AJ24:AJ28)</f>
        <v/>
      </c>
      <c r="AK29" s="16">
        <f>SUM(AK24:AK28)</f>
        <v/>
      </c>
      <c r="AL29" s="16">
        <f>SUM(AL24:AL28)</f>
        <v/>
      </c>
      <c r="AM29" s="16">
        <f>SUM(AM24:AM28)</f>
        <v/>
      </c>
      <c r="AN29" s="16">
        <f>SUM(AN24:AN28)</f>
        <v/>
      </c>
      <c r="AO29" s="16">
        <f>SUM(AO24:AO28)</f>
        <v/>
      </c>
      <c r="AP29" s="16">
        <f>SUM(AP24:AP28)</f>
        <v/>
      </c>
      <c r="AQ29" s="16">
        <f>SUM(AQ24:AQ28)</f>
        <v/>
      </c>
      <c r="AR29" s="16">
        <f>SUM(AR24:AR28)</f>
        <v/>
      </c>
      <c r="AS29" s="16">
        <f>SUM(AS24:AS28)</f>
        <v/>
      </c>
      <c r="AT29" s="16">
        <f>SUM(AT24:AT28)</f>
        <v/>
      </c>
      <c r="AU29" s="16">
        <f>SUM(AU24:AU28)</f>
        <v/>
      </c>
      <c r="AV29" s="16">
        <f>SUM(AV24:AV28)</f>
        <v/>
      </c>
      <c r="AW29" s="16">
        <f>SUM(AW24:AW28)</f>
        <v/>
      </c>
      <c r="AX29" s="16">
        <f>SUM(AX24:AX28)</f>
        <v/>
      </c>
      <c r="AY29" s="16">
        <f>SUM(AY24:AY28)</f>
        <v/>
      </c>
      <c r="AZ29" s="16">
        <f>SUM(AZ24:AZ28)</f>
        <v/>
      </c>
      <c r="BA29" s="16">
        <f>SUM(BA24:BA28)</f>
        <v/>
      </c>
      <c r="BB29" s="16">
        <f>SUM(BB24:BB28)</f>
        <v/>
      </c>
      <c r="BC29" s="16">
        <f>SUM(BC24:BC28)</f>
        <v/>
      </c>
      <c r="BD29" s="16">
        <f>SUM(BD24:BD28)</f>
        <v/>
      </c>
      <c r="BE29" s="16">
        <f>SUM(BE24:BE28)</f>
        <v/>
      </c>
      <c r="BF29" s="16">
        <f>SUM(BF24:BF28)</f>
        <v/>
      </c>
      <c r="BG29" s="16">
        <f>SUM(BG24:BG28)</f>
        <v/>
      </c>
      <c r="BH29" s="16">
        <f>SUM(BH24:BH28)</f>
        <v/>
      </c>
      <c r="BI29" s="16">
        <f>SUM(BI24:BI28)</f>
        <v/>
      </c>
      <c r="BJ29" s="16">
        <f>SUM(BJ24:BJ28)</f>
        <v/>
      </c>
      <c r="BK29" s="16">
        <f>SUM(BK24:BK28)</f>
        <v/>
      </c>
      <c r="BL29" s="16">
        <f>SUM(BL24:BL28)</f>
        <v/>
      </c>
      <c r="BM29" s="16">
        <f>SUM(BM24:BM28)</f>
        <v/>
      </c>
      <c r="BN29" s="16">
        <f>SUM(BN24:BN28)</f>
        <v/>
      </c>
    </row>
    <row r="30" ht="14.1" customHeight="1">
      <c r="C30" s="16" t="inlineStr">
        <is>
          <t>Provisies &amp; uitgestelde belastingen</t>
        </is>
      </c>
      <c r="D30" s="16">
        <f>Balans!D40</f>
        <v/>
      </c>
      <c r="E30" s="16">
        <f>Balans!E40</f>
        <v/>
      </c>
      <c r="F30" s="17">
        <f>Balans!F40</f>
        <v/>
      </c>
      <c r="G30" s="16" t="n"/>
      <c r="H30" s="16" t="n"/>
      <c r="I30" s="16" t="n"/>
      <c r="J30" s="16" t="n"/>
      <c r="K30" s="16" t="n"/>
      <c r="L30" s="16" t="n"/>
      <c r="M30" s="16" t="n"/>
      <c r="N30" s="16" t="n"/>
      <c r="O30" s="16" t="n"/>
      <c r="P30" s="16" t="n"/>
      <c r="Q30" s="16" t="n"/>
      <c r="R30" s="16" t="n"/>
      <c r="S30" s="16" t="n"/>
      <c r="T30" s="16" t="n"/>
      <c r="U30" s="16" t="n"/>
      <c r="V30" s="16" t="n"/>
      <c r="W30" s="16" t="n"/>
      <c r="X30" s="16" t="n"/>
      <c r="Y30" s="16" t="n"/>
      <c r="Z30" s="16" t="n"/>
      <c r="AA30" s="16" t="n"/>
      <c r="AB30" s="16" t="n"/>
      <c r="AC30" s="16" t="n"/>
      <c r="AD30" s="16" t="n"/>
      <c r="AE30" s="16" t="n"/>
      <c r="AF30" s="16" t="n"/>
      <c r="AG30" s="16" t="n"/>
      <c r="AH30" s="16" t="n"/>
      <c r="AI30" s="16" t="n"/>
      <c r="AJ30" s="16" t="n"/>
      <c r="AK30" s="16" t="n"/>
      <c r="AL30" s="16" t="n"/>
      <c r="AM30" s="16" t="n"/>
      <c r="AN30" s="16" t="n"/>
      <c r="AO30" s="16" t="n"/>
      <c r="AP30" s="16" t="n"/>
      <c r="AQ30" s="16" t="n"/>
      <c r="AR30" s="16" t="n"/>
      <c r="AS30" s="16" t="n"/>
      <c r="AT30" s="16" t="n"/>
      <c r="AU30" s="16" t="n"/>
      <c r="AV30" s="16" t="n"/>
      <c r="AW30" s="16" t="n"/>
      <c r="AX30" s="16" t="n"/>
      <c r="AY30" s="16" t="n"/>
      <c r="AZ30" s="16" t="n"/>
      <c r="BA30" s="16" t="n"/>
      <c r="BB30" s="16" t="n"/>
      <c r="BC30" s="16" t="n"/>
      <c r="BD30" s="16" t="n"/>
      <c r="BE30" s="16" t="n"/>
      <c r="BF30" s="16" t="n"/>
      <c r="BG30" s="16" t="n"/>
      <c r="BH30" s="16" t="n"/>
      <c r="BI30" s="16" t="n"/>
      <c r="BJ30" s="16" t="n"/>
      <c r="BK30" s="16" t="n"/>
      <c r="BL30" s="16" t="n"/>
      <c r="BM30" s="16" t="n"/>
      <c r="BN30" s="16" t="n"/>
    </row>
    <row r="31" ht="14.1" customHeight="1">
      <c r="C31" s="4" t="inlineStr">
        <is>
          <t>Financiële schulden</t>
        </is>
      </c>
      <c r="D31" s="4">
        <f>Balans!D44</f>
        <v/>
      </c>
      <c r="E31" s="4">
        <f>Balans!E44</f>
        <v/>
      </c>
      <c r="F31" s="14">
        <f>Balans!F44</f>
        <v/>
      </c>
      <c r="G31" s="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  <c r="AX31" s="5" t="n"/>
      <c r="AY31" s="5" t="n"/>
      <c r="AZ31" s="5" t="n"/>
      <c r="BA31" s="5" t="n"/>
      <c r="BB31" s="5" t="n"/>
      <c r="BC31" s="5" t="n"/>
      <c r="BD31" s="5" t="n"/>
      <c r="BE31" s="5" t="n"/>
      <c r="BF31" s="5" t="n"/>
      <c r="BG31" s="5" t="n"/>
      <c r="BH31" s="5" t="n"/>
      <c r="BI31" s="5" t="n"/>
      <c r="BJ31" s="5" t="n"/>
      <c r="BK31" s="5" t="n"/>
      <c r="BL31" s="5" t="n"/>
      <c r="BM31" s="5" t="n"/>
      <c r="BN31" s="5" t="n"/>
    </row>
    <row r="32" ht="14.1" customHeight="1">
      <c r="C32" s="4" t="inlineStr">
        <is>
          <t>Overige LT schulden</t>
        </is>
      </c>
      <c r="D32" s="4">
        <f>(Balans!D43+Balans!D45)</f>
        <v/>
      </c>
      <c r="E32" s="4">
        <f>(Balans!E43+Balans!E45)</f>
        <v/>
      </c>
      <c r="F32" s="14">
        <f>(Balans!F43+Balans!F45)</f>
        <v/>
      </c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  <c r="AH32" s="4" t="n"/>
      <c r="AI32" s="4" t="n"/>
      <c r="AJ32" s="4" t="n"/>
      <c r="AK32" s="4" t="n"/>
      <c r="AL32" s="4" t="n"/>
      <c r="AM32" s="4" t="n"/>
      <c r="AN32" s="4" t="n"/>
      <c r="AO32" s="4" t="n"/>
      <c r="AP32" s="4" t="n"/>
      <c r="AQ32" s="4" t="n"/>
      <c r="AR32" s="4" t="n"/>
      <c r="AS32" s="4" t="n"/>
      <c r="AT32" s="4" t="n"/>
      <c r="AU32" s="4" t="n"/>
      <c r="AV32" s="4" t="n"/>
      <c r="AW32" s="4" t="n"/>
      <c r="AX32" s="4" t="n"/>
      <c r="AY32" s="4" t="n"/>
      <c r="AZ32" s="4" t="n"/>
      <c r="BA32" s="4" t="n"/>
      <c r="BB32" s="4" t="n"/>
      <c r="BC32" s="4" t="n"/>
      <c r="BD32" s="4" t="n"/>
      <c r="BE32" s="4" t="n"/>
      <c r="BF32" s="4" t="n"/>
      <c r="BG32" s="4" t="n"/>
      <c r="BH32" s="4" t="n"/>
      <c r="BI32" s="4" t="n"/>
      <c r="BJ32" s="4" t="n"/>
      <c r="BK32" s="4" t="n"/>
      <c r="BL32" s="4" t="n"/>
      <c r="BM32" s="4" t="n"/>
      <c r="BN32" s="4" t="n"/>
    </row>
    <row r="33" ht="14.1" customHeight="1">
      <c r="C33" s="16" t="inlineStr">
        <is>
          <t>Lange termijn schulden</t>
        </is>
      </c>
      <c r="D33" s="16">
        <f>SUM(D31:D32)</f>
        <v/>
      </c>
      <c r="E33" s="16">
        <f>SUM(E31:E32)</f>
        <v/>
      </c>
      <c r="F33" s="17">
        <f>SUM(F31:F32)</f>
        <v/>
      </c>
      <c r="G33" s="17">
        <f>SUM(G31:G32)</f>
        <v/>
      </c>
      <c r="H33" s="17">
        <f>SUM(H31:H32)</f>
        <v/>
      </c>
      <c r="I33" s="17">
        <f>SUM(I31:I32)</f>
        <v/>
      </c>
      <c r="J33" s="17">
        <f>SUM(J31:J32)</f>
        <v/>
      </c>
      <c r="K33" s="17">
        <f>SUM(K31:K32)</f>
        <v/>
      </c>
      <c r="L33" s="17">
        <f>SUM(L31:L32)</f>
        <v/>
      </c>
      <c r="M33" s="17">
        <f>SUM(M31:M32)</f>
        <v/>
      </c>
      <c r="N33" s="17">
        <f>SUM(N31:N32)</f>
        <v/>
      </c>
      <c r="O33" s="17">
        <f>SUM(O31:O32)</f>
        <v/>
      </c>
      <c r="P33" s="17">
        <f>SUM(P31:P32)</f>
        <v/>
      </c>
      <c r="Q33" s="17">
        <f>SUM(Q31:Q32)</f>
        <v/>
      </c>
      <c r="R33" s="17">
        <f>SUM(R31:R32)</f>
        <v/>
      </c>
      <c r="S33" s="17">
        <f>SUM(S31:S32)</f>
        <v/>
      </c>
      <c r="T33" s="17">
        <f>SUM(T31:T32)</f>
        <v/>
      </c>
      <c r="U33" s="17">
        <f>SUM(U31:U32)</f>
        <v/>
      </c>
      <c r="V33" s="17">
        <f>SUM(V31:V32)</f>
        <v/>
      </c>
      <c r="W33" s="17">
        <f>SUM(W31:W32)</f>
        <v/>
      </c>
      <c r="X33" s="17">
        <f>SUM(X31:X32)</f>
        <v/>
      </c>
      <c r="Y33" s="17">
        <f>SUM(Y31:Y32)</f>
        <v/>
      </c>
      <c r="Z33" s="17">
        <f>SUM(Z31:Z32)</f>
        <v/>
      </c>
      <c r="AA33" s="17">
        <f>SUM(AA31:AA32)</f>
        <v/>
      </c>
      <c r="AB33" s="17">
        <f>SUM(AB31:AB32)</f>
        <v/>
      </c>
      <c r="AC33" s="17">
        <f>SUM(AC31:AC32)</f>
        <v/>
      </c>
      <c r="AD33" s="17">
        <f>SUM(AD31:AD32)</f>
        <v/>
      </c>
      <c r="AE33" s="17">
        <f>SUM(AE31:AE32)</f>
        <v/>
      </c>
      <c r="AF33" s="17">
        <f>SUM(AF31:AF32)</f>
        <v/>
      </c>
      <c r="AG33" s="17">
        <f>SUM(AG31:AG32)</f>
        <v/>
      </c>
      <c r="AH33" s="17">
        <f>SUM(AH31:AH32)</f>
        <v/>
      </c>
      <c r="AI33" s="17">
        <f>SUM(AI31:AI32)</f>
        <v/>
      </c>
      <c r="AJ33" s="17">
        <f>SUM(AJ31:AJ32)</f>
        <v/>
      </c>
      <c r="AK33" s="17">
        <f>SUM(AK31:AK32)</f>
        <v/>
      </c>
      <c r="AL33" s="17">
        <f>SUM(AL31:AL32)</f>
        <v/>
      </c>
      <c r="AM33" s="17">
        <f>SUM(AM31:AM32)</f>
        <v/>
      </c>
      <c r="AN33" s="17">
        <f>SUM(AN31:AN32)</f>
        <v/>
      </c>
      <c r="AO33" s="17">
        <f>SUM(AO31:AO32)</f>
        <v/>
      </c>
      <c r="AP33" s="17">
        <f>SUM(AP31:AP32)</f>
        <v/>
      </c>
      <c r="AQ33" s="17">
        <f>SUM(AQ31:AQ32)</f>
        <v/>
      </c>
      <c r="AR33" s="17">
        <f>SUM(AR31:AR32)</f>
        <v/>
      </c>
      <c r="AS33" s="17">
        <f>SUM(AS31:AS32)</f>
        <v/>
      </c>
      <c r="AT33" s="17">
        <f>SUM(AT31:AT32)</f>
        <v/>
      </c>
      <c r="AU33" s="17">
        <f>SUM(AU31:AU32)</f>
        <v/>
      </c>
      <c r="AV33" s="17">
        <f>SUM(AV31:AV32)</f>
        <v/>
      </c>
      <c r="AW33" s="17">
        <f>SUM(AW31:AW32)</f>
        <v/>
      </c>
      <c r="AX33" s="17">
        <f>SUM(AX31:AX32)</f>
        <v/>
      </c>
      <c r="AY33" s="17">
        <f>SUM(AY31:AY32)</f>
        <v/>
      </c>
      <c r="AZ33" s="17">
        <f>SUM(AZ31:AZ32)</f>
        <v/>
      </c>
      <c r="BA33" s="17">
        <f>SUM(BA31:BA32)</f>
        <v/>
      </c>
      <c r="BB33" s="17">
        <f>SUM(BB31:BB32)</f>
        <v/>
      </c>
      <c r="BC33" s="17">
        <f>SUM(BC31:BC32)</f>
        <v/>
      </c>
      <c r="BD33" s="17">
        <f>SUM(BD31:BD32)</f>
        <v/>
      </c>
      <c r="BE33" s="17">
        <f>SUM(BE31:BE32)</f>
        <v/>
      </c>
      <c r="BF33" s="17">
        <f>SUM(BF31:BF32)</f>
        <v/>
      </c>
      <c r="BG33" s="17">
        <f>SUM(BG31:BG32)</f>
        <v/>
      </c>
      <c r="BH33" s="17">
        <f>SUM(BH31:BH32)</f>
        <v/>
      </c>
      <c r="BI33" s="17">
        <f>SUM(BI31:BI32)</f>
        <v/>
      </c>
      <c r="BJ33" s="17">
        <f>SUM(BJ31:BJ32)</f>
        <v/>
      </c>
      <c r="BK33" s="17">
        <f>SUM(BK31:BK32)</f>
        <v/>
      </c>
      <c r="BL33" s="17">
        <f>SUM(BL31:BL32)</f>
        <v/>
      </c>
      <c r="BM33" s="17">
        <f>SUM(BM31:BM32)</f>
        <v/>
      </c>
      <c r="BN33" s="17">
        <f>SUM(BN31:BN32)</f>
        <v/>
      </c>
    </row>
    <row r="34" ht="14.1" customHeight="1">
      <c r="C34" s="413" t="inlineStr">
        <is>
          <t>KT gedeelte van LT schulden</t>
        </is>
      </c>
      <c r="D34" s="4">
        <f>Balans!D47</f>
        <v/>
      </c>
      <c r="E34" s="4">
        <f>Balans!E47</f>
        <v/>
      </c>
      <c r="F34" s="14">
        <f>Balans!F47</f>
        <v/>
      </c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4" t="n"/>
      <c r="AX34" s="4" t="n"/>
      <c r="AY34" s="4" t="n"/>
      <c r="AZ34" s="4" t="n"/>
      <c r="BA34" s="4" t="n"/>
      <c r="BB34" s="4" t="n"/>
      <c r="BC34" s="4" t="n"/>
      <c r="BD34" s="4" t="n"/>
      <c r="BE34" s="4" t="n"/>
      <c r="BF34" s="4" t="n"/>
      <c r="BG34" s="4" t="n"/>
      <c r="BH34" s="4" t="n"/>
      <c r="BI34" s="4" t="n"/>
      <c r="BJ34" s="4" t="n"/>
      <c r="BK34" s="4" t="n"/>
      <c r="BL34" s="4" t="n"/>
      <c r="BM34" s="4" t="n"/>
      <c r="BN34" s="4" t="n"/>
    </row>
    <row r="35" ht="14.1" customHeight="1">
      <c r="C35" s="413" t="inlineStr">
        <is>
          <t>Financiële schulden</t>
        </is>
      </c>
      <c r="D35" s="4">
        <f>Balans!D48</f>
        <v/>
      </c>
      <c r="E35" s="4">
        <f>Balans!E48</f>
        <v/>
      </c>
      <c r="F35" s="14">
        <f>Balans!F48</f>
        <v/>
      </c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  <c r="AH35" s="4" t="n"/>
      <c r="AI35" s="4" t="n"/>
      <c r="AJ35" s="4" t="n"/>
      <c r="AK35" s="4" t="n"/>
      <c r="AL35" s="4" t="n"/>
      <c r="AM35" s="4" t="n"/>
      <c r="AN35" s="4" t="n"/>
      <c r="AO35" s="4" t="n"/>
      <c r="AP35" s="4" t="n"/>
      <c r="AQ35" s="4" t="n"/>
      <c r="AR35" s="4" t="n"/>
      <c r="AS35" s="4" t="n"/>
      <c r="AT35" s="4" t="n"/>
      <c r="AU35" s="4" t="n"/>
      <c r="AV35" s="4" t="n"/>
      <c r="AW35" s="4" t="n"/>
      <c r="AX35" s="4" t="n"/>
      <c r="AY35" s="4" t="n"/>
      <c r="AZ35" s="4" t="n"/>
      <c r="BA35" s="4" t="n"/>
      <c r="BB35" s="4" t="n"/>
      <c r="BC35" s="4" t="n"/>
      <c r="BD35" s="4" t="n"/>
      <c r="BE35" s="4" t="n"/>
      <c r="BF35" s="4" t="n"/>
      <c r="BG35" s="4" t="n"/>
      <c r="BH35" s="4" t="n"/>
      <c r="BI35" s="4" t="n"/>
      <c r="BJ35" s="4" t="n"/>
      <c r="BK35" s="4" t="n"/>
      <c r="BL35" s="4" t="n"/>
      <c r="BM35" s="4" t="n"/>
      <c r="BN35" s="4" t="n"/>
    </row>
    <row r="36" ht="14.1" customHeight="1">
      <c r="C36" s="413" t="inlineStr">
        <is>
          <t>Handelsschulden</t>
        </is>
      </c>
      <c r="D36" s="413">
        <f>Balans!D49</f>
        <v/>
      </c>
      <c r="E36" s="413">
        <f>Balans!E49</f>
        <v/>
      </c>
      <c r="F36" s="19">
        <f>Balans!F49</f>
        <v/>
      </c>
      <c r="G36" s="413" t="n"/>
      <c r="H36" s="413" t="n"/>
      <c r="I36" s="413" t="n"/>
      <c r="J36" s="413" t="n"/>
      <c r="K36" s="413" t="n"/>
      <c r="L36" s="413" t="n"/>
      <c r="M36" s="413" t="n"/>
      <c r="N36" s="413" t="n"/>
      <c r="O36" s="413" t="n"/>
      <c r="P36" s="413" t="n"/>
      <c r="Q36" s="413" t="n"/>
      <c r="R36" s="413" t="n"/>
      <c r="S36" s="413" t="n"/>
      <c r="T36" s="413" t="n"/>
      <c r="U36" s="413" t="n"/>
      <c r="V36" s="413" t="n"/>
      <c r="W36" s="413" t="n"/>
      <c r="X36" s="413" t="n"/>
      <c r="Y36" s="413" t="n"/>
      <c r="Z36" s="413" t="n"/>
      <c r="AA36" s="413" t="n"/>
      <c r="AB36" s="413" t="n"/>
      <c r="AC36" s="413" t="n"/>
      <c r="AD36" s="413" t="n"/>
      <c r="AE36" s="413" t="n"/>
      <c r="AF36" s="413" t="n"/>
      <c r="AG36" s="413" t="n"/>
      <c r="AH36" s="413" t="n"/>
      <c r="AI36" s="413" t="n"/>
      <c r="AJ36" s="413" t="n"/>
      <c r="AK36" s="413" t="n"/>
      <c r="AL36" s="413" t="n"/>
      <c r="AM36" s="413" t="n"/>
      <c r="AN36" s="413" t="n"/>
      <c r="AO36" s="413" t="n"/>
      <c r="AP36" s="413" t="n"/>
      <c r="AQ36" s="413" t="n"/>
      <c r="AR36" s="413" t="n"/>
      <c r="AS36" s="413" t="n"/>
      <c r="AT36" s="413" t="n"/>
      <c r="AU36" s="413" t="n"/>
      <c r="AV36" s="413" t="n"/>
      <c r="AW36" s="413" t="n"/>
      <c r="AX36" s="413" t="n"/>
      <c r="AY36" s="413" t="n"/>
      <c r="AZ36" s="413" t="n"/>
      <c r="BA36" s="413" t="n"/>
      <c r="BB36" s="413" t="n"/>
      <c r="BC36" s="413" t="n"/>
      <c r="BD36" s="413" t="n"/>
      <c r="BE36" s="413" t="n"/>
      <c r="BF36" s="413" t="n"/>
      <c r="BG36" s="413" t="n"/>
      <c r="BH36" s="413" t="n"/>
      <c r="BI36" s="413" t="n"/>
      <c r="BJ36" s="413" t="n"/>
      <c r="BK36" s="413" t="n"/>
      <c r="BL36" s="413" t="n"/>
      <c r="BM36" s="413" t="n"/>
      <c r="BN36" s="413" t="n"/>
    </row>
    <row r="37" ht="14.1" customHeight="1">
      <c r="C37" s="413" t="inlineStr">
        <is>
          <t>Ontvangen vooruitbetalingen</t>
        </is>
      </c>
      <c r="D37" s="413">
        <f>Balans!D50</f>
        <v/>
      </c>
      <c r="E37" s="413">
        <f>Balans!E50</f>
        <v/>
      </c>
      <c r="F37" s="19">
        <f>Balans!F50</f>
        <v/>
      </c>
      <c r="G37" s="413" t="n"/>
      <c r="H37" s="413" t="n"/>
      <c r="I37" s="413" t="n"/>
      <c r="J37" s="413" t="n"/>
      <c r="K37" s="413" t="n"/>
      <c r="L37" s="413" t="n"/>
      <c r="M37" s="413" t="n"/>
      <c r="N37" s="413" t="n"/>
      <c r="O37" s="413" t="n"/>
      <c r="P37" s="413" t="n"/>
      <c r="Q37" s="413" t="n"/>
      <c r="R37" s="413" t="n"/>
      <c r="S37" s="413" t="n"/>
      <c r="T37" s="413" t="n"/>
      <c r="U37" s="413" t="n"/>
      <c r="V37" s="413" t="n"/>
      <c r="W37" s="413" t="n"/>
      <c r="X37" s="413" t="n"/>
      <c r="Y37" s="413" t="n"/>
      <c r="Z37" s="413" t="n"/>
      <c r="AA37" s="413" t="n"/>
      <c r="AB37" s="413" t="n"/>
      <c r="AC37" s="413" t="n"/>
      <c r="AD37" s="413" t="n"/>
      <c r="AE37" s="413" t="n"/>
      <c r="AF37" s="413" t="n"/>
      <c r="AG37" s="413" t="n"/>
      <c r="AH37" s="413" t="n"/>
      <c r="AI37" s="413" t="n"/>
      <c r="AJ37" s="413" t="n"/>
      <c r="AK37" s="413" t="n"/>
      <c r="AL37" s="413" t="n"/>
      <c r="AM37" s="413" t="n"/>
      <c r="AN37" s="413" t="n"/>
      <c r="AO37" s="413" t="n"/>
      <c r="AP37" s="413" t="n"/>
      <c r="AQ37" s="413" t="n"/>
      <c r="AR37" s="413" t="n"/>
      <c r="AS37" s="413" t="n"/>
      <c r="AT37" s="413" t="n"/>
      <c r="AU37" s="413" t="n"/>
      <c r="AV37" s="413" t="n"/>
      <c r="AW37" s="413" t="n"/>
      <c r="AX37" s="413" t="n"/>
      <c r="AY37" s="413" t="n"/>
      <c r="AZ37" s="413" t="n"/>
      <c r="BA37" s="413" t="n"/>
      <c r="BB37" s="413" t="n"/>
      <c r="BC37" s="413" t="n"/>
      <c r="BD37" s="413" t="n"/>
      <c r="BE37" s="413" t="n"/>
      <c r="BF37" s="413" t="n"/>
      <c r="BG37" s="413" t="n"/>
      <c r="BH37" s="413" t="n"/>
      <c r="BI37" s="413" t="n"/>
      <c r="BJ37" s="413" t="n"/>
      <c r="BK37" s="413" t="n"/>
      <c r="BL37" s="413" t="n"/>
      <c r="BM37" s="413" t="n"/>
      <c r="BN37" s="413" t="n"/>
    </row>
    <row r="38" ht="14.1" customHeight="1">
      <c r="C38" s="414" t="inlineStr">
        <is>
          <t>Sociale en fiscale schulden</t>
        </is>
      </c>
      <c r="D38" s="413">
        <f>Balans!D51</f>
        <v/>
      </c>
      <c r="E38" s="413">
        <f>Balans!E51</f>
        <v/>
      </c>
      <c r="F38" s="19">
        <f>Balans!F51</f>
        <v/>
      </c>
      <c r="G38" s="413" t="n"/>
      <c r="H38" s="413" t="n"/>
      <c r="I38" s="413" t="n"/>
      <c r="J38" s="413" t="n"/>
      <c r="K38" s="413" t="n"/>
      <c r="L38" s="413" t="n"/>
      <c r="M38" s="413" t="n"/>
      <c r="N38" s="413" t="n"/>
      <c r="O38" s="413" t="n"/>
      <c r="P38" s="413" t="n"/>
      <c r="Q38" s="413" t="n"/>
      <c r="R38" s="413" t="n"/>
      <c r="S38" s="413" t="n"/>
      <c r="T38" s="413" t="n"/>
      <c r="U38" s="413" t="n"/>
      <c r="V38" s="413" t="n"/>
      <c r="W38" s="413" t="n"/>
      <c r="X38" s="413" t="n"/>
      <c r="Y38" s="413" t="n"/>
      <c r="Z38" s="413" t="n"/>
      <c r="AA38" s="413" t="n"/>
      <c r="AB38" s="413" t="n"/>
      <c r="AC38" s="413" t="n"/>
      <c r="AD38" s="413" t="n"/>
      <c r="AE38" s="413" t="n"/>
      <c r="AF38" s="413" t="n"/>
      <c r="AG38" s="413" t="n"/>
      <c r="AH38" s="413" t="n"/>
      <c r="AI38" s="413" t="n"/>
      <c r="AJ38" s="413" t="n"/>
      <c r="AK38" s="413" t="n"/>
      <c r="AL38" s="413" t="n"/>
      <c r="AM38" s="413" t="n"/>
      <c r="AN38" s="413" t="n"/>
      <c r="AO38" s="413" t="n"/>
      <c r="AP38" s="413" t="n"/>
      <c r="AQ38" s="413" t="n"/>
      <c r="AR38" s="413" t="n"/>
      <c r="AS38" s="413" t="n"/>
      <c r="AT38" s="413" t="n"/>
      <c r="AU38" s="413" t="n"/>
      <c r="AV38" s="413" t="n"/>
      <c r="AW38" s="413" t="n"/>
      <c r="AX38" s="413" t="n"/>
      <c r="AY38" s="413" t="n"/>
      <c r="AZ38" s="413" t="n"/>
      <c r="BA38" s="413" t="n"/>
      <c r="BB38" s="413" t="n"/>
      <c r="BC38" s="413" t="n"/>
      <c r="BD38" s="413" t="n"/>
      <c r="BE38" s="413" t="n"/>
      <c r="BF38" s="413" t="n"/>
      <c r="BG38" s="413" t="n"/>
      <c r="BH38" s="413" t="n"/>
      <c r="BI38" s="413" t="n"/>
      <c r="BJ38" s="413" t="n"/>
      <c r="BK38" s="413" t="n"/>
      <c r="BL38" s="413" t="n"/>
      <c r="BM38" s="413" t="n"/>
      <c r="BN38" s="413" t="n"/>
    </row>
    <row r="39" ht="14.1" customHeight="1">
      <c r="C39" s="414" t="inlineStr">
        <is>
          <t>Overige schulden</t>
        </is>
      </c>
      <c r="D39" s="413">
        <f>Balans!D52</f>
        <v/>
      </c>
      <c r="E39" s="413">
        <f>Balans!E52</f>
        <v/>
      </c>
      <c r="F39" s="19">
        <f>Balans!F52</f>
        <v/>
      </c>
      <c r="G39" s="413" t="n"/>
      <c r="H39" s="413" t="n"/>
      <c r="I39" s="413" t="n"/>
      <c r="J39" s="413" t="n"/>
      <c r="K39" s="413" t="n"/>
      <c r="L39" s="413" t="n"/>
      <c r="M39" s="413" t="n"/>
      <c r="N39" s="413" t="n"/>
      <c r="O39" s="413" t="n"/>
      <c r="P39" s="413" t="n"/>
      <c r="Q39" s="413" t="n"/>
      <c r="R39" s="413" t="n"/>
      <c r="S39" s="413" t="n"/>
      <c r="T39" s="413" t="n"/>
      <c r="U39" s="413" t="n"/>
      <c r="V39" s="413" t="n"/>
      <c r="W39" s="413" t="n"/>
      <c r="X39" s="413" t="n"/>
      <c r="Y39" s="413" t="n"/>
      <c r="Z39" s="413" t="n"/>
      <c r="AA39" s="413" t="n"/>
      <c r="AB39" s="413" t="n"/>
      <c r="AC39" s="413" t="n"/>
      <c r="AD39" s="413" t="n"/>
      <c r="AE39" s="413" t="n"/>
      <c r="AF39" s="413" t="n"/>
      <c r="AG39" s="413" t="n"/>
      <c r="AH39" s="413" t="n"/>
      <c r="AI39" s="413" t="n"/>
      <c r="AJ39" s="413" t="n"/>
      <c r="AK39" s="413" t="n"/>
      <c r="AL39" s="413" t="n"/>
      <c r="AM39" s="413" t="n"/>
      <c r="AN39" s="413" t="n"/>
      <c r="AO39" s="413" t="n"/>
      <c r="AP39" s="413" t="n"/>
      <c r="AQ39" s="413" t="n"/>
      <c r="AR39" s="413" t="n"/>
      <c r="AS39" s="413" t="n"/>
      <c r="AT39" s="413" t="n"/>
      <c r="AU39" s="413" t="n"/>
      <c r="AV39" s="413" t="n"/>
      <c r="AW39" s="413" t="n"/>
      <c r="AX39" s="413" t="n"/>
      <c r="AY39" s="413" t="n"/>
      <c r="AZ39" s="413" t="n"/>
      <c r="BA39" s="413" t="n"/>
      <c r="BB39" s="413" t="n"/>
      <c r="BC39" s="413" t="n"/>
      <c r="BD39" s="413" t="n"/>
      <c r="BE39" s="413" t="n"/>
      <c r="BF39" s="413" t="n"/>
      <c r="BG39" s="413" t="n"/>
      <c r="BH39" s="413" t="n"/>
      <c r="BI39" s="413" t="n"/>
      <c r="BJ39" s="413" t="n"/>
      <c r="BK39" s="413" t="n"/>
      <c r="BL39" s="413" t="n"/>
      <c r="BM39" s="413" t="n"/>
      <c r="BN39" s="413" t="n"/>
    </row>
    <row r="40" ht="14.1" customHeight="1">
      <c r="C40" s="4" t="inlineStr">
        <is>
          <t>Overlopende rekeningen (passiva)</t>
        </is>
      </c>
      <c r="D40" s="4">
        <f>Balans!D53</f>
        <v/>
      </c>
      <c r="E40" s="4">
        <f>Balans!E53</f>
        <v/>
      </c>
      <c r="F40" s="14">
        <f>Balans!F53</f>
        <v/>
      </c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  <c r="AR40" s="4" t="n"/>
      <c r="AS40" s="4" t="n"/>
      <c r="AT40" s="4" t="n"/>
      <c r="AU40" s="4" t="n"/>
      <c r="AV40" s="4" t="n"/>
      <c r="AW40" s="4" t="n"/>
      <c r="AX40" s="4" t="n"/>
      <c r="AY40" s="4" t="n"/>
      <c r="AZ40" s="4" t="n"/>
      <c r="BA40" s="4" t="n"/>
      <c r="BB40" s="4" t="n"/>
      <c r="BC40" s="4" t="n"/>
      <c r="BD40" s="4" t="n"/>
      <c r="BE40" s="4" t="n"/>
      <c r="BF40" s="4" t="n"/>
      <c r="BG40" s="4" t="n"/>
      <c r="BH40" s="4" t="n"/>
      <c r="BI40" s="4" t="n"/>
      <c r="BJ40" s="4" t="n"/>
      <c r="BK40" s="4" t="n"/>
      <c r="BL40" s="4" t="n"/>
      <c r="BM40" s="4" t="n"/>
      <c r="BN40" s="4" t="n"/>
    </row>
    <row r="41" ht="14.1" customHeight="1">
      <c r="C41" s="410" t="inlineStr">
        <is>
          <t>Korte termijn schulden</t>
        </is>
      </c>
      <c r="D41" s="410">
        <f>SUM(D34:D40)</f>
        <v/>
      </c>
      <c r="E41" s="410">
        <f>SUM(E34:E40)</f>
        <v/>
      </c>
      <c r="F41" s="15">
        <f>SUM(F34:F40)</f>
        <v/>
      </c>
      <c r="G41" s="410">
        <f>SUM(G34:G40)</f>
        <v/>
      </c>
      <c r="H41" s="410">
        <f>SUM(H34:H40)</f>
        <v/>
      </c>
      <c r="I41" s="410">
        <f>SUM(I34:I40)</f>
        <v/>
      </c>
      <c r="J41" s="410">
        <f>SUM(J34:J40)</f>
        <v/>
      </c>
      <c r="K41" s="410">
        <f>SUM(K34:K40)</f>
        <v/>
      </c>
      <c r="L41" s="410">
        <f>SUM(L34:L40)</f>
        <v/>
      </c>
      <c r="M41" s="410">
        <f>SUM(M34:M40)</f>
        <v/>
      </c>
      <c r="N41" s="410">
        <f>SUM(N34:N40)</f>
        <v/>
      </c>
      <c r="O41" s="410">
        <f>SUM(O34:O40)</f>
        <v/>
      </c>
      <c r="P41" s="410">
        <f>SUM(P34:P40)</f>
        <v/>
      </c>
      <c r="Q41" s="410">
        <f>SUM(Q34:Q40)</f>
        <v/>
      </c>
      <c r="R41" s="410">
        <f>SUM(R34:R40)</f>
        <v/>
      </c>
      <c r="S41" s="410">
        <f>SUM(S34:S40)</f>
        <v/>
      </c>
      <c r="T41" s="410">
        <f>SUM(T34:T40)</f>
        <v/>
      </c>
      <c r="U41" s="410">
        <f>SUM(U34:U40)</f>
        <v/>
      </c>
      <c r="V41" s="410">
        <f>SUM(V34:V40)</f>
        <v/>
      </c>
      <c r="W41" s="410">
        <f>SUM(W34:W40)</f>
        <v/>
      </c>
      <c r="X41" s="410">
        <f>SUM(X34:X40)</f>
        <v/>
      </c>
      <c r="Y41" s="410">
        <f>SUM(Y34:Y40)</f>
        <v/>
      </c>
      <c r="Z41" s="410">
        <f>SUM(Z34:Z40)</f>
        <v/>
      </c>
      <c r="AA41" s="410">
        <f>SUM(AA34:AA40)</f>
        <v/>
      </c>
      <c r="AB41" s="410">
        <f>SUM(AB34:AB40)</f>
        <v/>
      </c>
      <c r="AC41" s="410">
        <f>SUM(AC34:AC40)</f>
        <v/>
      </c>
      <c r="AD41" s="410">
        <f>SUM(AD34:AD40)</f>
        <v/>
      </c>
      <c r="AE41" s="410">
        <f>SUM(AE34:AE40)</f>
        <v/>
      </c>
      <c r="AF41" s="410">
        <f>SUM(AF34:AF40)</f>
        <v/>
      </c>
      <c r="AG41" s="410">
        <f>SUM(AG34:AG40)</f>
        <v/>
      </c>
      <c r="AH41" s="410">
        <f>SUM(AH34:AH40)</f>
        <v/>
      </c>
      <c r="AI41" s="410">
        <f>SUM(AI34:AI40)</f>
        <v/>
      </c>
      <c r="AJ41" s="410">
        <f>SUM(AJ34:AJ40)</f>
        <v/>
      </c>
      <c r="AK41" s="410">
        <f>SUM(AK34:AK40)</f>
        <v/>
      </c>
      <c r="AL41" s="410">
        <f>SUM(AL34:AL40)</f>
        <v/>
      </c>
      <c r="AM41" s="410">
        <f>SUM(AM34:AM40)</f>
        <v/>
      </c>
      <c r="AN41" s="410">
        <f>SUM(AN34:AN40)</f>
        <v/>
      </c>
      <c r="AO41" s="410">
        <f>SUM(AO34:AO40)</f>
        <v/>
      </c>
      <c r="AP41" s="410">
        <f>SUM(AP34:AP40)</f>
        <v/>
      </c>
      <c r="AQ41" s="410">
        <f>SUM(AQ34:AQ40)</f>
        <v/>
      </c>
      <c r="AR41" s="410">
        <f>SUM(AR34:AR40)</f>
        <v/>
      </c>
      <c r="AS41" s="410">
        <f>SUM(AS34:AS40)</f>
        <v/>
      </c>
      <c r="AT41" s="410">
        <f>SUM(AT34:AT40)</f>
        <v/>
      </c>
      <c r="AU41" s="410">
        <f>SUM(AU34:AU40)</f>
        <v/>
      </c>
      <c r="AV41" s="410">
        <f>SUM(AV34:AV40)</f>
        <v/>
      </c>
      <c r="AW41" s="410">
        <f>SUM(AW34:AW40)</f>
        <v/>
      </c>
      <c r="AX41" s="410">
        <f>SUM(AX34:AX40)</f>
        <v/>
      </c>
      <c r="AY41" s="410">
        <f>SUM(AY34:AY40)</f>
        <v/>
      </c>
      <c r="AZ41" s="410">
        <f>SUM(AZ34:AZ40)</f>
        <v/>
      </c>
      <c r="BA41" s="410">
        <f>SUM(BA34:BA40)</f>
        <v/>
      </c>
      <c r="BB41" s="410">
        <f>SUM(BB34:BB40)</f>
        <v/>
      </c>
      <c r="BC41" s="410">
        <f>SUM(BC34:BC40)</f>
        <v/>
      </c>
      <c r="BD41" s="410">
        <f>SUM(BD34:BD40)</f>
        <v/>
      </c>
      <c r="BE41" s="410">
        <f>SUM(BE34:BE40)</f>
        <v/>
      </c>
      <c r="BF41" s="410">
        <f>SUM(BF34:BF40)</f>
        <v/>
      </c>
      <c r="BG41" s="410">
        <f>SUM(BG34:BG40)</f>
        <v/>
      </c>
      <c r="BH41" s="410">
        <f>SUM(BH34:BH40)</f>
        <v/>
      </c>
      <c r="BI41" s="410">
        <f>SUM(BI34:BI40)</f>
        <v/>
      </c>
      <c r="BJ41" s="410">
        <f>SUM(BJ34:BJ40)</f>
        <v/>
      </c>
      <c r="BK41" s="410">
        <f>SUM(BK34:BK40)</f>
        <v/>
      </c>
      <c r="BL41" s="410">
        <f>SUM(BL34:BL40)</f>
        <v/>
      </c>
      <c r="BM41" s="410">
        <f>SUM(BM34:BM40)</f>
        <v/>
      </c>
      <c r="BN41" s="410">
        <f>SUM(BN34:BN40)</f>
        <v/>
      </c>
    </row>
    <row r="42" ht="14.1" customHeight="1">
      <c r="C42" s="415" t="inlineStr">
        <is>
          <t>Totale passiva</t>
        </is>
      </c>
      <c r="D42" s="16">
        <f>SUM(D29,D30,D33,D41)</f>
        <v/>
      </c>
      <c r="E42" s="16">
        <f>SUM(E29,E30,E33,E41)</f>
        <v/>
      </c>
      <c r="F42" s="17">
        <f>SUM(F29,F30,F33,F41)</f>
        <v/>
      </c>
      <c r="G42" s="16">
        <f>SUM(G29,G30,G33,G41)</f>
        <v/>
      </c>
      <c r="H42" s="16">
        <f>SUM(H29,H30,H33,H41)</f>
        <v/>
      </c>
      <c r="I42" s="16">
        <f>SUM(I29,I30,I33,I41)</f>
        <v/>
      </c>
      <c r="J42" s="16">
        <f>SUM(J29,J30,J33,J41)</f>
        <v/>
      </c>
      <c r="K42" s="16">
        <f>SUM(K29,K30,K33,K41)</f>
        <v/>
      </c>
      <c r="L42" s="16">
        <f>SUM(L29,L30,L33,L41)</f>
        <v/>
      </c>
      <c r="M42" s="16">
        <f>SUM(M29,M30,M33,M41)</f>
        <v/>
      </c>
      <c r="N42" s="16">
        <f>SUM(N29,N30,N33,N41)</f>
        <v/>
      </c>
      <c r="O42" s="16">
        <f>SUM(O29,O30,O33,O41)</f>
        <v/>
      </c>
      <c r="P42" s="16">
        <f>SUM(P29,P30,P33,P41)</f>
        <v/>
      </c>
      <c r="Q42" s="16">
        <f>SUM(Q29,Q30,Q33,Q41)</f>
        <v/>
      </c>
      <c r="R42" s="16">
        <f>SUM(R29,R30,R33,R41)</f>
        <v/>
      </c>
      <c r="S42" s="16">
        <f>SUM(S29,S30,S33,S41)</f>
        <v/>
      </c>
      <c r="T42" s="16">
        <f>SUM(T29,T30,T33,T41)</f>
        <v/>
      </c>
      <c r="U42" s="16">
        <f>SUM(U29,U30,U33,U41)</f>
        <v/>
      </c>
      <c r="V42" s="16">
        <f>SUM(V29,V30,V33,V41)</f>
        <v/>
      </c>
      <c r="W42" s="16">
        <f>SUM(W29,W30,W33,W41)</f>
        <v/>
      </c>
      <c r="X42" s="16">
        <f>SUM(X29,X30,X33,X41)</f>
        <v/>
      </c>
      <c r="Y42" s="16">
        <f>SUM(Y29,Y30,Y33,Y41)</f>
        <v/>
      </c>
      <c r="Z42" s="16">
        <f>SUM(Z29,Z30,Z33,Z41)</f>
        <v/>
      </c>
      <c r="AA42" s="16">
        <f>SUM(AA29,AA30,AA33,AA41)</f>
        <v/>
      </c>
      <c r="AB42" s="16">
        <f>SUM(AB29,AB30,AB33,AB41)</f>
        <v/>
      </c>
      <c r="AC42" s="16">
        <f>SUM(AC29,AC30,AC33,AC41)</f>
        <v/>
      </c>
      <c r="AD42" s="16">
        <f>SUM(AD29,AD30,AD33,AD41)</f>
        <v/>
      </c>
      <c r="AE42" s="16">
        <f>SUM(AE29,AE30,AE33,AE41)</f>
        <v/>
      </c>
      <c r="AF42" s="16">
        <f>SUM(AF29,AF30,AF33,AF41)</f>
        <v/>
      </c>
      <c r="AG42" s="16">
        <f>SUM(AG29,AG30,AG33,AG41)</f>
        <v/>
      </c>
      <c r="AH42" s="16">
        <f>SUM(AH29,AH30,AH33,AH41)</f>
        <v/>
      </c>
      <c r="AI42" s="16">
        <f>SUM(AI29,AI30,AI33,AI41)</f>
        <v/>
      </c>
      <c r="AJ42" s="16">
        <f>SUM(AJ29,AJ30,AJ33,AJ41)</f>
        <v/>
      </c>
      <c r="AK42" s="16">
        <f>SUM(AK29,AK30,AK33,AK41)</f>
        <v/>
      </c>
      <c r="AL42" s="16">
        <f>SUM(AL29,AL30,AL33,AL41)</f>
        <v/>
      </c>
      <c r="AM42" s="16">
        <f>SUM(AM29,AM30,AM33,AM41)</f>
        <v/>
      </c>
      <c r="AN42" s="16">
        <f>SUM(AN29,AN30,AN33,AN41)</f>
        <v/>
      </c>
      <c r="AO42" s="16">
        <f>SUM(AO29,AO30,AO33,AO41)</f>
        <v/>
      </c>
      <c r="AP42" s="16">
        <f>SUM(AP29,AP30,AP33,AP41)</f>
        <v/>
      </c>
      <c r="AQ42" s="16">
        <f>SUM(AQ29,AQ30,AQ33,AQ41)</f>
        <v/>
      </c>
      <c r="AR42" s="16">
        <f>SUM(AR29,AR30,AR33,AR41)</f>
        <v/>
      </c>
      <c r="AS42" s="16">
        <f>SUM(AS29,AS30,AS33,AS41)</f>
        <v/>
      </c>
      <c r="AT42" s="16">
        <f>SUM(AT29,AT30,AT33,AT41)</f>
        <v/>
      </c>
      <c r="AU42" s="16">
        <f>SUM(AU29,AU30,AU33,AU41)</f>
        <v/>
      </c>
      <c r="AV42" s="16">
        <f>SUM(AV29,AV30,AV33,AV41)</f>
        <v/>
      </c>
      <c r="AW42" s="16">
        <f>SUM(AW29,AW30,AW33,AW41)</f>
        <v/>
      </c>
      <c r="AX42" s="16">
        <f>SUM(AX29,AX30,AX33,AX41)</f>
        <v/>
      </c>
      <c r="AY42" s="16">
        <f>SUM(AY29,AY30,AY33,AY41)</f>
        <v/>
      </c>
      <c r="AZ42" s="16">
        <f>SUM(AZ29,AZ30,AZ33,AZ41)</f>
        <v/>
      </c>
      <c r="BA42" s="16">
        <f>SUM(BA29,BA30,BA33,BA41)</f>
        <v/>
      </c>
      <c r="BB42" s="16">
        <f>SUM(BB29,BB30,BB33,BB41)</f>
        <v/>
      </c>
      <c r="BC42" s="16">
        <f>SUM(BC29,BC30,BC33,BC41)</f>
        <v/>
      </c>
      <c r="BD42" s="16">
        <f>SUM(BD29,BD30,BD33,BD41)</f>
        <v/>
      </c>
      <c r="BE42" s="16">
        <f>SUM(BE29,BE30,BE33,BE41)</f>
        <v/>
      </c>
      <c r="BF42" s="16">
        <f>SUM(BF29,BF30,BF33,BF41)</f>
        <v/>
      </c>
      <c r="BG42" s="16">
        <f>SUM(BG29,BG30,BG33,BG41)</f>
        <v/>
      </c>
      <c r="BH42" s="16">
        <f>SUM(BH29,BH30,BH33,BH41)</f>
        <v/>
      </c>
      <c r="BI42" s="16">
        <f>SUM(BI29,BI30,BI33,BI41)</f>
        <v/>
      </c>
      <c r="BJ42" s="16">
        <f>SUM(BJ29,BJ30,BJ33,BJ41)</f>
        <v/>
      </c>
      <c r="BK42" s="16">
        <f>SUM(BK29,BK30,BK33,BK41)</f>
        <v/>
      </c>
      <c r="BL42" s="16">
        <f>SUM(BL29,BL30,BL33,BL41)</f>
        <v/>
      </c>
      <c r="BM42" s="16">
        <f>SUM(BM29,BM30,BM33,BM41)</f>
        <v/>
      </c>
      <c r="BN42" s="16">
        <f>SUM(BN29,BN30,BN33,BN41)</f>
        <v/>
      </c>
    </row>
    <row r="43" ht="14.1" customHeight="1">
      <c r="Q43" s="411" t="n"/>
    </row>
    <row r="44" outlineLevel="1" ht="14.1" customHeight="1">
      <c r="A44" s="10">
        <f>SUM(D44:BN44)</f>
        <v/>
      </c>
      <c r="C44" s="8" t="inlineStr">
        <is>
          <t>Check</t>
        </is>
      </c>
      <c r="D44" s="8">
        <f>D42-D20</f>
        <v/>
      </c>
      <c r="E44" s="8">
        <f>E42-E20</f>
        <v/>
      </c>
      <c r="F44" s="20">
        <f>F42-F20</f>
        <v/>
      </c>
      <c r="G44" s="8">
        <f>G42-G20</f>
        <v/>
      </c>
      <c r="H44" s="8">
        <f>H42-H20</f>
        <v/>
      </c>
      <c r="I44" s="8">
        <f>I42-I20</f>
        <v/>
      </c>
      <c r="J44" s="8">
        <f>J42-J20</f>
        <v/>
      </c>
      <c r="K44" s="8">
        <f>K42-K20</f>
        <v/>
      </c>
      <c r="L44" s="8">
        <f>L42-L20</f>
        <v/>
      </c>
      <c r="M44" s="8">
        <f>M42-M20</f>
        <v/>
      </c>
      <c r="N44" s="8">
        <f>N42-N20</f>
        <v/>
      </c>
      <c r="O44" s="8">
        <f>O42-O20</f>
        <v/>
      </c>
      <c r="P44" s="8">
        <f>P42-P20</f>
        <v/>
      </c>
      <c r="Q44" s="8">
        <f>Q42-Q20</f>
        <v/>
      </c>
      <c r="R44" s="8">
        <f>R42-R20</f>
        <v/>
      </c>
      <c r="S44" s="8">
        <f>S42-S20</f>
        <v/>
      </c>
      <c r="T44" s="8">
        <f>T42-T20</f>
        <v/>
      </c>
      <c r="U44" s="8">
        <f>U42-U20</f>
        <v/>
      </c>
      <c r="V44" s="8">
        <f>V42-V20</f>
        <v/>
      </c>
      <c r="W44" s="8">
        <f>W42-W20</f>
        <v/>
      </c>
      <c r="X44" s="8">
        <f>X42-X20</f>
        <v/>
      </c>
      <c r="Y44" s="8">
        <f>Y42-Y20</f>
        <v/>
      </c>
      <c r="Z44" s="8">
        <f>Z42-Z20</f>
        <v/>
      </c>
      <c r="AA44" s="8">
        <f>AA42-AA20</f>
        <v/>
      </c>
      <c r="AB44" s="8">
        <f>AB42-AB20</f>
        <v/>
      </c>
      <c r="AC44" s="8">
        <f>AC42-AC20</f>
        <v/>
      </c>
      <c r="AD44" s="8">
        <f>AD42-AD20</f>
        <v/>
      </c>
      <c r="AE44" s="8">
        <f>AE42-AE20</f>
        <v/>
      </c>
      <c r="AF44" s="8">
        <f>AF42-AF20</f>
        <v/>
      </c>
      <c r="AG44" s="8">
        <f>AG42-AG20</f>
        <v/>
      </c>
      <c r="AH44" s="8">
        <f>AH42-AH20</f>
        <v/>
      </c>
      <c r="AI44" s="8">
        <f>AI42-AI20</f>
        <v/>
      </c>
      <c r="AJ44" s="8">
        <f>AJ42-AJ20</f>
        <v/>
      </c>
      <c r="AK44" s="8">
        <f>AK42-AK20</f>
        <v/>
      </c>
      <c r="AL44" s="8">
        <f>AL42-AL20</f>
        <v/>
      </c>
      <c r="AM44" s="8">
        <f>AM42-AM20</f>
        <v/>
      </c>
      <c r="AN44" s="8">
        <f>AN42-AN20</f>
        <v/>
      </c>
      <c r="AO44" s="8">
        <f>AO42-AO20</f>
        <v/>
      </c>
      <c r="AP44" s="8">
        <f>AP42-AP20</f>
        <v/>
      </c>
      <c r="AQ44" s="8">
        <f>AQ42-AQ20</f>
        <v/>
      </c>
      <c r="AR44" s="8">
        <f>AR42-AR20</f>
        <v/>
      </c>
      <c r="AS44" s="8">
        <f>AS42-AS20</f>
        <v/>
      </c>
      <c r="AT44" s="8">
        <f>AT42-AT20</f>
        <v/>
      </c>
      <c r="AU44" s="8">
        <f>AU42-AU20</f>
        <v/>
      </c>
      <c r="AV44" s="8">
        <f>AV42-AV20</f>
        <v/>
      </c>
      <c r="AW44" s="8">
        <f>AW42-AW20</f>
        <v/>
      </c>
      <c r="AX44" s="8">
        <f>AX42-AX20</f>
        <v/>
      </c>
      <c r="AY44" s="8">
        <f>AY42-AY20</f>
        <v/>
      </c>
      <c r="AZ44" s="8">
        <f>AZ42-AZ20</f>
        <v/>
      </c>
      <c r="BA44" s="8">
        <f>BA42-BA20</f>
        <v/>
      </c>
      <c r="BB44" s="8">
        <f>BB42-BB20</f>
        <v/>
      </c>
      <c r="BC44" s="8">
        <f>BC42-BC20</f>
        <v/>
      </c>
      <c r="BD44" s="8">
        <f>BD42-BD20</f>
        <v/>
      </c>
      <c r="BE44" s="8">
        <f>BE42-BE20</f>
        <v/>
      </c>
      <c r="BF44" s="8">
        <f>BF42-BF20</f>
        <v/>
      </c>
      <c r="BG44" s="8">
        <f>BG42-BG20</f>
        <v/>
      </c>
      <c r="BH44" s="8">
        <f>BH42-BH20</f>
        <v/>
      </c>
      <c r="BI44" s="8">
        <f>BI42-BI20</f>
        <v/>
      </c>
      <c r="BJ44" s="8">
        <f>BJ42-BJ20</f>
        <v/>
      </c>
      <c r="BK44" s="8">
        <f>BK42-BK20</f>
        <v/>
      </c>
      <c r="BL44" s="8">
        <f>BL42-BL20</f>
        <v/>
      </c>
      <c r="BM44" s="8">
        <f>BM42-BM20</f>
        <v/>
      </c>
      <c r="BN44" s="8">
        <f>BN42-BN20</f>
        <v/>
      </c>
    </row>
    <row r="45" outlineLevel="1" ht="14.1" customHeight="1">
      <c r="A45" s="10">
        <f>SUM(D45:BN45)</f>
        <v/>
      </c>
      <c r="C45" s="8" t="inlineStr">
        <is>
          <t>Check</t>
        </is>
      </c>
      <c r="D45" s="8" t="n"/>
      <c r="E45" s="8" t="n"/>
      <c r="F45" s="20" t="n"/>
      <c r="G45" s="8" t="n"/>
      <c r="H45" s="8" t="n"/>
      <c r="I45" s="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  <c r="AC45" s="8" t="n"/>
      <c r="AD45" s="8" t="n"/>
      <c r="AE45" s="8" t="n"/>
      <c r="AF45" s="8" t="n"/>
      <c r="AG45" s="8" t="n"/>
      <c r="AH45" s="8" t="n"/>
      <c r="AI45" s="8" t="n"/>
      <c r="AJ45" s="8" t="n"/>
      <c r="AK45" s="8" t="n"/>
      <c r="AL45" s="8" t="n"/>
      <c r="AM45" s="8" t="n"/>
      <c r="AN45" s="8" t="n"/>
      <c r="AO45" s="8" t="n"/>
      <c r="AP45" s="8" t="n"/>
      <c r="AQ45" s="8" t="n"/>
      <c r="AR45" s="8" t="n"/>
      <c r="AS45" s="8" t="n"/>
      <c r="AT45" s="8" t="n"/>
      <c r="AU45" s="8" t="n"/>
      <c r="AV45" s="8" t="n"/>
      <c r="AW45" s="8" t="n"/>
      <c r="AX45" s="8" t="n"/>
      <c r="AY45" s="8" t="n"/>
      <c r="AZ45" s="8" t="n"/>
      <c r="BA45" s="8" t="n"/>
      <c r="BB45" s="8" t="n"/>
      <c r="BC45" s="8" t="n"/>
      <c r="BD45" s="8" t="n"/>
      <c r="BE45" s="8" t="n"/>
      <c r="BF45" s="8" t="n"/>
      <c r="BG45" s="8" t="n"/>
      <c r="BH45" s="8" t="n"/>
      <c r="BI45" s="8" t="n"/>
      <c r="BJ45" s="8" t="n"/>
      <c r="BK45" s="8" t="n"/>
      <c r="BL45" s="8" t="n"/>
      <c r="BM45" s="8" t="n"/>
      <c r="BN45" s="8" t="n"/>
    </row>
    <row r="46" ht="14.1" customHeight="1">
      <c r="Q46" s="411" t="n"/>
    </row>
    <row r="47" ht="14.1" customHeight="1">
      <c r="C47" s="406">
        <f>"Resultatenrekening - "&amp;Historiek!$A$2</f>
        <v/>
      </c>
      <c r="D47" s="407" t="n"/>
      <c r="E47" s="407" t="n"/>
      <c r="F47" s="13" t="n"/>
      <c r="G47" s="407" t="n"/>
      <c r="H47" s="407" t="n"/>
      <c r="I47" s="407" t="n"/>
      <c r="J47" s="3" t="n"/>
    </row>
    <row r="48" ht="14.1" customHeight="1">
      <c r="C48" s="738">
        <f>C$4</f>
        <v/>
      </c>
      <c r="D48" s="741">
        <f>D$4</f>
        <v/>
      </c>
      <c r="E48" s="741">
        <f>E$4</f>
        <v/>
      </c>
      <c r="F48" s="743">
        <f>F$4</f>
        <v/>
      </c>
      <c r="G48" s="741">
        <f>G$4</f>
        <v/>
      </c>
      <c r="H48" s="741">
        <f>H$4</f>
        <v/>
      </c>
      <c r="I48" s="741">
        <f>I$4</f>
        <v/>
      </c>
      <c r="J48" s="741">
        <f>J$4</f>
        <v/>
      </c>
      <c r="K48" s="741">
        <f>K$4</f>
        <v/>
      </c>
      <c r="L48" s="741">
        <f>L$4</f>
        <v/>
      </c>
      <c r="M48" s="741">
        <f>M$4</f>
        <v/>
      </c>
      <c r="N48" s="741">
        <f>N$4</f>
        <v/>
      </c>
      <c r="O48" s="741">
        <f>O$4</f>
        <v/>
      </c>
      <c r="P48" s="741">
        <f>P$4</f>
        <v/>
      </c>
      <c r="Q48" s="741">
        <f>Q$4</f>
        <v/>
      </c>
      <c r="R48" s="741">
        <f>R$4</f>
        <v/>
      </c>
      <c r="S48" s="741">
        <f>S$4</f>
        <v/>
      </c>
      <c r="T48" s="741">
        <f>T$4</f>
        <v/>
      </c>
      <c r="U48" s="741">
        <f>U$4</f>
        <v/>
      </c>
      <c r="V48" s="741">
        <f>V$4</f>
        <v/>
      </c>
      <c r="W48" s="741">
        <f>W$4</f>
        <v/>
      </c>
      <c r="X48" s="741">
        <f>X$4</f>
        <v/>
      </c>
      <c r="Y48" s="741">
        <f>Y$4</f>
        <v/>
      </c>
      <c r="Z48" s="741">
        <f>Z$4</f>
        <v/>
      </c>
      <c r="AA48" s="741">
        <f>AA$4</f>
        <v/>
      </c>
      <c r="AB48" s="741">
        <f>AB$4</f>
        <v/>
      </c>
      <c r="AC48" s="741">
        <f>AC$4</f>
        <v/>
      </c>
      <c r="AD48" s="741">
        <f>AD$4</f>
        <v/>
      </c>
      <c r="AE48" s="741">
        <f>AE$4</f>
        <v/>
      </c>
      <c r="AF48" s="741">
        <f>AF$4</f>
        <v/>
      </c>
      <c r="AG48" s="741">
        <f>AG$4</f>
        <v/>
      </c>
      <c r="AH48" s="741">
        <f>AH$4</f>
        <v/>
      </c>
      <c r="AI48" s="741">
        <f>AI$4</f>
        <v/>
      </c>
      <c r="AJ48" s="741">
        <f>AJ$4</f>
        <v/>
      </c>
      <c r="AK48" s="741">
        <f>AK$4</f>
        <v/>
      </c>
      <c r="AL48" s="741">
        <f>AL$4</f>
        <v/>
      </c>
      <c r="AM48" s="741">
        <f>AM$4</f>
        <v/>
      </c>
      <c r="AN48" s="741">
        <f>AN$4</f>
        <v/>
      </c>
      <c r="AO48" s="741">
        <f>AO$4</f>
        <v/>
      </c>
      <c r="AP48" s="741">
        <f>AP$4</f>
        <v/>
      </c>
      <c r="AQ48" s="741">
        <f>AQ$4</f>
        <v/>
      </c>
      <c r="AR48" s="741">
        <f>AR$4</f>
        <v/>
      </c>
      <c r="AS48" s="741">
        <f>AS$4</f>
        <v/>
      </c>
      <c r="AT48" s="741">
        <f>AT$4</f>
        <v/>
      </c>
      <c r="AU48" s="741">
        <f>AU$4</f>
        <v/>
      </c>
      <c r="AV48" s="741">
        <f>AV$4</f>
        <v/>
      </c>
      <c r="AW48" s="741">
        <f>AW$4</f>
        <v/>
      </c>
      <c r="AX48" s="741">
        <f>AX$4</f>
        <v/>
      </c>
      <c r="AY48" s="741">
        <f>AY$4</f>
        <v/>
      </c>
      <c r="AZ48" s="741">
        <f>AZ$4</f>
        <v/>
      </c>
      <c r="BA48" s="741">
        <f>BA$4</f>
        <v/>
      </c>
      <c r="BB48" s="741">
        <f>BB$4</f>
        <v/>
      </c>
      <c r="BC48" s="741">
        <f>BC$4</f>
        <v/>
      </c>
      <c r="BD48" s="741">
        <f>BD$4</f>
        <v/>
      </c>
      <c r="BE48" s="741">
        <f>BE$4</f>
        <v/>
      </c>
      <c r="BF48" s="741">
        <f>BF$4</f>
        <v/>
      </c>
      <c r="BG48" s="741">
        <f>BG$4</f>
        <v/>
      </c>
      <c r="BH48" s="741">
        <f>BH$4</f>
        <v/>
      </c>
      <c r="BI48" s="741">
        <f>BI$4</f>
        <v/>
      </c>
      <c r="BJ48" s="741">
        <f>BJ$4</f>
        <v/>
      </c>
      <c r="BK48" s="741">
        <f>BK$4</f>
        <v/>
      </c>
      <c r="BL48" s="741">
        <f>BL$4</f>
        <v/>
      </c>
      <c r="BM48" s="741">
        <f>BM$4</f>
        <v/>
      </c>
      <c r="BN48" s="741">
        <f>BN$4</f>
        <v/>
      </c>
    </row>
    <row r="49" ht="14.1" customHeight="1">
      <c r="C49" s="414" t="inlineStr">
        <is>
          <t>Detail 1</t>
        </is>
      </c>
      <c r="D49" s="425" t="n"/>
      <c r="E49" s="425" t="n"/>
      <c r="F49" s="426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  <c r="AX49" s="5" t="n"/>
      <c r="AY49" s="5" t="n"/>
      <c r="AZ49" s="5" t="n"/>
      <c r="BA49" s="5" t="n"/>
      <c r="BB49" s="5" t="n"/>
      <c r="BC49" s="5" t="n"/>
      <c r="BD49" s="5" t="n"/>
      <c r="BE49" s="5" t="n"/>
      <c r="BF49" s="5" t="n"/>
      <c r="BG49" s="5" t="n"/>
      <c r="BH49" s="5" t="n"/>
      <c r="BI49" s="5" t="n"/>
      <c r="BJ49" s="5" t="n"/>
      <c r="BK49" s="5" t="n"/>
      <c r="BL49" s="5" t="n"/>
      <c r="BM49" s="5" t="n"/>
      <c r="BN49" s="5" t="n"/>
    </row>
    <row r="50" ht="14.1" customHeight="1">
      <c r="C50" s="414" t="inlineStr">
        <is>
          <t>Detail 2</t>
        </is>
      </c>
      <c r="D50" s="425" t="n"/>
      <c r="E50" s="425" t="n"/>
      <c r="F50" s="426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  <c r="AX50" s="5" t="n"/>
      <c r="AY50" s="5" t="n"/>
      <c r="AZ50" s="5" t="n"/>
      <c r="BA50" s="5" t="n"/>
      <c r="BB50" s="5" t="n"/>
      <c r="BC50" s="5" t="n"/>
      <c r="BD50" s="5" t="n"/>
      <c r="BE50" s="5" t="n"/>
      <c r="BF50" s="5" t="n"/>
      <c r="BG50" s="5" t="n"/>
      <c r="BH50" s="5" t="n"/>
      <c r="BI50" s="5" t="n"/>
      <c r="BJ50" s="5" t="n"/>
      <c r="BK50" s="5" t="n"/>
      <c r="BL50" s="5" t="n"/>
      <c r="BM50" s="5" t="n"/>
      <c r="BN50" s="5" t="n"/>
    </row>
    <row r="51" ht="14.1" customHeight="1">
      <c r="C51" s="414" t="inlineStr">
        <is>
          <t>Detail 3</t>
        </is>
      </c>
      <c r="D51" s="425" t="n"/>
      <c r="E51" s="425" t="n"/>
      <c r="F51" s="426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  <c r="AX51" s="5" t="n"/>
      <c r="AY51" s="5" t="n"/>
      <c r="AZ51" s="5" t="n"/>
      <c r="BA51" s="5" t="n"/>
      <c r="BB51" s="5" t="n"/>
      <c r="BC51" s="5" t="n"/>
      <c r="BD51" s="5" t="n"/>
      <c r="BE51" s="5" t="n"/>
      <c r="BF51" s="5" t="n"/>
      <c r="BG51" s="5" t="n"/>
      <c r="BH51" s="5" t="n"/>
      <c r="BI51" s="5" t="n"/>
      <c r="BJ51" s="5" t="n"/>
      <c r="BK51" s="5" t="n"/>
      <c r="BL51" s="5" t="n"/>
      <c r="BM51" s="5" t="n"/>
      <c r="BN51" s="5" t="n"/>
    </row>
    <row r="52" ht="14.1" customFormat="1" customHeight="1" s="24">
      <c r="A52" s="424" t="n"/>
      <c r="C52" s="417" t="inlineStr">
        <is>
          <t>Omzet</t>
        </is>
      </c>
      <c r="D52" s="420">
        <f>Resultaten!D7</f>
        <v/>
      </c>
      <c r="E52" s="420">
        <f>Resultaten!E7</f>
        <v/>
      </c>
      <c r="F52" s="25">
        <f>Resultaten!F7</f>
        <v/>
      </c>
      <c r="G52" s="420">
        <f>SUM(G49:G51)</f>
        <v/>
      </c>
      <c r="H52" s="420">
        <f>SUM(H49:H51)</f>
        <v/>
      </c>
      <c r="I52" s="420">
        <f>SUM(I49:I51)</f>
        <v/>
      </c>
      <c r="J52" s="420">
        <f>SUM(J49:J51)</f>
        <v/>
      </c>
      <c r="K52" s="420">
        <f>SUM(K49:K51)</f>
        <v/>
      </c>
      <c r="L52" s="420">
        <f>SUM(L49:L51)</f>
        <v/>
      </c>
      <c r="M52" s="420">
        <f>SUM(M49:M51)</f>
        <v/>
      </c>
      <c r="N52" s="420">
        <f>SUM(N49:N51)</f>
        <v/>
      </c>
      <c r="O52" s="420">
        <f>SUM(O49:O51)</f>
        <v/>
      </c>
      <c r="P52" s="420">
        <f>SUM(P49:P51)</f>
        <v/>
      </c>
      <c r="Q52" s="420">
        <f>SUM(Q49:Q51)</f>
        <v/>
      </c>
      <c r="R52" s="420">
        <f>SUM(R49:R51)</f>
        <v/>
      </c>
      <c r="S52" s="420">
        <f>SUM(S49:S51)</f>
        <v/>
      </c>
      <c r="T52" s="420">
        <f>SUM(T49:T51)</f>
        <v/>
      </c>
      <c r="U52" s="420">
        <f>SUM(U49:U51)</f>
        <v/>
      </c>
      <c r="V52" s="420">
        <f>SUM(V49:V51)</f>
        <v/>
      </c>
      <c r="W52" s="420">
        <f>SUM(W49:W51)</f>
        <v/>
      </c>
      <c r="X52" s="420">
        <f>SUM(X49:X51)</f>
        <v/>
      </c>
      <c r="Y52" s="420">
        <f>SUM(Y49:Y51)</f>
        <v/>
      </c>
      <c r="Z52" s="420">
        <f>SUM(Z49:Z51)</f>
        <v/>
      </c>
      <c r="AA52" s="420">
        <f>SUM(AA49:AA51)</f>
        <v/>
      </c>
      <c r="AB52" s="420">
        <f>SUM(AB49:AB51)</f>
        <v/>
      </c>
      <c r="AC52" s="420">
        <f>SUM(AC49:AC51)</f>
        <v/>
      </c>
      <c r="AD52" s="420">
        <f>SUM(AD49:AD51)</f>
        <v/>
      </c>
      <c r="AE52" s="420">
        <f>SUM(AE49:AE51)</f>
        <v/>
      </c>
      <c r="AF52" s="420">
        <f>SUM(AF49:AF51)</f>
        <v/>
      </c>
      <c r="AG52" s="420">
        <f>SUM(AG49:AG51)</f>
        <v/>
      </c>
      <c r="AH52" s="420">
        <f>SUM(AH49:AH51)</f>
        <v/>
      </c>
      <c r="AI52" s="420">
        <f>SUM(AI49:AI51)</f>
        <v/>
      </c>
      <c r="AJ52" s="420">
        <f>SUM(AJ49:AJ51)</f>
        <v/>
      </c>
      <c r="AK52" s="420">
        <f>SUM(AK49:AK51)</f>
        <v/>
      </c>
      <c r="AL52" s="420">
        <f>SUM(AL49:AL51)</f>
        <v/>
      </c>
      <c r="AM52" s="420">
        <f>SUM(AM49:AM51)</f>
        <v/>
      </c>
      <c r="AN52" s="420">
        <f>SUM(AN49:AN51)</f>
        <v/>
      </c>
      <c r="AO52" s="420">
        <f>SUM(AO49:AO51)</f>
        <v/>
      </c>
      <c r="AP52" s="420">
        <f>SUM(AP49:AP51)</f>
        <v/>
      </c>
      <c r="AQ52" s="420">
        <f>SUM(AQ49:AQ51)</f>
        <v/>
      </c>
      <c r="AR52" s="420">
        <f>SUM(AR49:AR51)</f>
        <v/>
      </c>
      <c r="AS52" s="420">
        <f>SUM(AS49:AS51)</f>
        <v/>
      </c>
      <c r="AT52" s="420">
        <f>SUM(AT49:AT51)</f>
        <v/>
      </c>
      <c r="AU52" s="420">
        <f>SUM(AU49:AU51)</f>
        <v/>
      </c>
      <c r="AV52" s="420">
        <f>SUM(AV49:AV51)</f>
        <v/>
      </c>
      <c r="AW52" s="420">
        <f>SUM(AW49:AW51)</f>
        <v/>
      </c>
      <c r="AX52" s="420">
        <f>SUM(AX49:AX51)</f>
        <v/>
      </c>
      <c r="AY52" s="420">
        <f>SUM(AY49:AY51)</f>
        <v/>
      </c>
      <c r="AZ52" s="420">
        <f>SUM(AZ49:AZ51)</f>
        <v/>
      </c>
      <c r="BA52" s="420">
        <f>SUM(BA49:BA51)</f>
        <v/>
      </c>
      <c r="BB52" s="420">
        <f>SUM(BB49:BB51)</f>
        <v/>
      </c>
      <c r="BC52" s="420">
        <f>SUM(BC49:BC51)</f>
        <v/>
      </c>
      <c r="BD52" s="420">
        <f>SUM(BD49:BD51)</f>
        <v/>
      </c>
      <c r="BE52" s="420">
        <f>SUM(BE49:BE51)</f>
        <v/>
      </c>
      <c r="BF52" s="420">
        <f>SUM(BF49:BF51)</f>
        <v/>
      </c>
      <c r="BG52" s="420">
        <f>SUM(BG49:BG51)</f>
        <v/>
      </c>
      <c r="BH52" s="420">
        <f>SUM(BH49:BH51)</f>
        <v/>
      </c>
      <c r="BI52" s="420">
        <f>SUM(BI49:BI51)</f>
        <v/>
      </c>
      <c r="BJ52" s="420">
        <f>SUM(BJ49:BJ51)</f>
        <v/>
      </c>
      <c r="BK52" s="420">
        <f>SUM(BK49:BK51)</f>
        <v/>
      </c>
      <c r="BL52" s="420">
        <f>SUM(BL49:BL51)</f>
        <v/>
      </c>
      <c r="BM52" s="420">
        <f>SUM(BM49:BM51)</f>
        <v/>
      </c>
      <c r="BN52" s="420">
        <f>SUM(BN49:BN51)</f>
        <v/>
      </c>
      <c r="BO52" s="2" t="n"/>
      <c r="BP52" s="2" t="n"/>
      <c r="BQ52" s="2" t="n"/>
      <c r="BR52" s="2" t="n"/>
      <c r="BS52" s="2" t="n"/>
      <c r="BT52" s="2" t="n"/>
      <c r="BU52" s="2" t="n"/>
      <c r="BV52" s="2" t="n"/>
      <c r="BW52" s="2" t="n"/>
      <c r="BX52" s="2" t="n"/>
      <c r="BY52" s="2" t="n"/>
      <c r="BZ52" s="2" t="n"/>
      <c r="CA52" s="2" t="n"/>
      <c r="CB52" s="2" t="n"/>
      <c r="CC52" s="2" t="n"/>
      <c r="CD52" s="2" t="n"/>
      <c r="CE52" s="2" t="n"/>
      <c r="CF52" s="2" t="n"/>
      <c r="CG52" s="2" t="n"/>
      <c r="CH52" s="2" t="n"/>
      <c r="CI52" s="2" t="n"/>
      <c r="CJ52" s="2" t="n"/>
    </row>
    <row r="53" ht="14.1" customHeight="1">
      <c r="C53" s="414" t="inlineStr">
        <is>
          <t>COGS</t>
        </is>
      </c>
      <c r="D53" s="5">
        <f>Resultaten!D8-Resultaten!D9</f>
        <v/>
      </c>
      <c r="E53" s="5">
        <f>Resultaten!E8-Resultaten!E9</f>
        <v/>
      </c>
      <c r="F53" s="21">
        <f>Resultaten!F8-Resultaten!F9</f>
        <v/>
      </c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  <c r="AX53" s="5" t="n"/>
      <c r="AY53" s="5" t="n"/>
      <c r="AZ53" s="5" t="n"/>
      <c r="BA53" s="5" t="n"/>
      <c r="BB53" s="5" t="n"/>
      <c r="BC53" s="5" t="n"/>
      <c r="BD53" s="5" t="n"/>
      <c r="BE53" s="5" t="n"/>
      <c r="BF53" s="5" t="n"/>
      <c r="BG53" s="5" t="n"/>
      <c r="BH53" s="5" t="n"/>
      <c r="BI53" s="5" t="n"/>
      <c r="BJ53" s="5" t="n"/>
      <c r="BK53" s="5" t="n"/>
      <c r="BL53" s="5" t="n"/>
      <c r="BM53" s="5" t="n"/>
      <c r="BN53" s="5" t="n"/>
    </row>
    <row r="54" ht="14.1" customHeight="1">
      <c r="C54" s="417" t="inlineStr">
        <is>
          <t>Brutomarge</t>
        </is>
      </c>
      <c r="D54" s="7">
        <f>SUM(D52:D53)</f>
        <v/>
      </c>
      <c r="E54" s="7">
        <f>SUM(E52:E53)</f>
        <v/>
      </c>
      <c r="F54" s="22">
        <f>SUM(F52:F53)</f>
        <v/>
      </c>
      <c r="G54" s="7">
        <f>SUM(G52:G53)</f>
        <v/>
      </c>
      <c r="H54" s="7">
        <f>SUM(H52:H53)</f>
        <v/>
      </c>
      <c r="I54" s="7">
        <f>SUM(I52:I53)</f>
        <v/>
      </c>
      <c r="J54" s="7">
        <f>SUM(J52:J53)</f>
        <v/>
      </c>
      <c r="K54" s="7">
        <f>SUM(K52:K53)</f>
        <v/>
      </c>
      <c r="L54" s="7">
        <f>SUM(L52:L53)</f>
        <v/>
      </c>
      <c r="M54" s="7">
        <f>SUM(M52:M53)</f>
        <v/>
      </c>
      <c r="N54" s="7">
        <f>SUM(N52:N53)</f>
        <v/>
      </c>
      <c r="O54" s="7">
        <f>SUM(O52:O53)</f>
        <v/>
      </c>
      <c r="P54" s="7">
        <f>SUM(P52:P53)</f>
        <v/>
      </c>
      <c r="Q54" s="7">
        <f>SUM(Q52:Q53)</f>
        <v/>
      </c>
      <c r="R54" s="7">
        <f>SUM(R52:R53)</f>
        <v/>
      </c>
      <c r="S54" s="7">
        <f>SUM(S52:S53)</f>
        <v/>
      </c>
      <c r="T54" s="7">
        <f>SUM(T52:T53)</f>
        <v/>
      </c>
      <c r="U54" s="7">
        <f>SUM(U52:U53)</f>
        <v/>
      </c>
      <c r="V54" s="7">
        <f>SUM(V52:V53)</f>
        <v/>
      </c>
      <c r="W54" s="7">
        <f>SUM(W52:W53)</f>
        <v/>
      </c>
      <c r="X54" s="7">
        <f>SUM(X52:X53)</f>
        <v/>
      </c>
      <c r="Y54" s="7">
        <f>SUM(Y52:Y53)</f>
        <v/>
      </c>
      <c r="Z54" s="7">
        <f>SUM(Z52:Z53)</f>
        <v/>
      </c>
      <c r="AA54" s="7">
        <f>SUM(AA52:AA53)</f>
        <v/>
      </c>
      <c r="AB54" s="7">
        <f>SUM(AB52:AB53)</f>
        <v/>
      </c>
      <c r="AC54" s="7">
        <f>SUM(AC52:AC53)</f>
        <v/>
      </c>
      <c r="AD54" s="7">
        <f>SUM(AD52:AD53)</f>
        <v/>
      </c>
      <c r="AE54" s="7">
        <f>SUM(AE52:AE53)</f>
        <v/>
      </c>
      <c r="AF54" s="7">
        <f>SUM(AF52:AF53)</f>
        <v/>
      </c>
      <c r="AG54" s="7">
        <f>SUM(AG52:AG53)</f>
        <v/>
      </c>
      <c r="AH54" s="7">
        <f>SUM(AH52:AH53)</f>
        <v/>
      </c>
      <c r="AI54" s="7">
        <f>SUM(AI52:AI53)</f>
        <v/>
      </c>
      <c r="AJ54" s="7">
        <f>SUM(AJ52:AJ53)</f>
        <v/>
      </c>
      <c r="AK54" s="7">
        <f>SUM(AK52:AK53)</f>
        <v/>
      </c>
      <c r="AL54" s="7">
        <f>SUM(AL52:AL53)</f>
        <v/>
      </c>
      <c r="AM54" s="7">
        <f>SUM(AM52:AM53)</f>
        <v/>
      </c>
      <c r="AN54" s="7">
        <f>SUM(AN52:AN53)</f>
        <v/>
      </c>
      <c r="AO54" s="7">
        <f>SUM(AO52:AO53)</f>
        <v/>
      </c>
      <c r="AP54" s="7">
        <f>SUM(AP52:AP53)</f>
        <v/>
      </c>
      <c r="AQ54" s="7">
        <f>SUM(AQ52:AQ53)</f>
        <v/>
      </c>
      <c r="AR54" s="7">
        <f>SUM(AR52:AR53)</f>
        <v/>
      </c>
      <c r="AS54" s="7">
        <f>SUM(AS52:AS53)</f>
        <v/>
      </c>
      <c r="AT54" s="7">
        <f>SUM(AT52:AT53)</f>
        <v/>
      </c>
      <c r="AU54" s="7">
        <f>SUM(AU52:AU53)</f>
        <v/>
      </c>
      <c r="AV54" s="7">
        <f>SUM(AV52:AV53)</f>
        <v/>
      </c>
      <c r="AW54" s="7">
        <f>SUM(AW52:AW53)</f>
        <v/>
      </c>
      <c r="AX54" s="7">
        <f>SUM(AX52:AX53)</f>
        <v/>
      </c>
      <c r="AY54" s="7">
        <f>SUM(AY52:AY53)</f>
        <v/>
      </c>
      <c r="AZ54" s="7">
        <f>SUM(AZ52:AZ53)</f>
        <v/>
      </c>
      <c r="BA54" s="7">
        <f>SUM(BA52:BA53)</f>
        <v/>
      </c>
      <c r="BB54" s="7">
        <f>SUM(BB52:BB53)</f>
        <v/>
      </c>
      <c r="BC54" s="7">
        <f>SUM(BC52:BC53)</f>
        <v/>
      </c>
      <c r="BD54" s="7">
        <f>SUM(BD52:BD53)</f>
        <v/>
      </c>
      <c r="BE54" s="7">
        <f>SUM(BE52:BE53)</f>
        <v/>
      </c>
      <c r="BF54" s="7">
        <f>SUM(BF52:BF53)</f>
        <v/>
      </c>
      <c r="BG54" s="7">
        <f>SUM(BG52:BG53)</f>
        <v/>
      </c>
      <c r="BH54" s="7">
        <f>SUM(BH52:BH53)</f>
        <v/>
      </c>
      <c r="BI54" s="7">
        <f>SUM(BI52:BI53)</f>
        <v/>
      </c>
      <c r="BJ54" s="7">
        <f>SUM(BJ52:BJ53)</f>
        <v/>
      </c>
      <c r="BK54" s="7">
        <f>SUM(BK52:BK53)</f>
        <v/>
      </c>
      <c r="BL54" s="7">
        <f>SUM(BL52:BL53)</f>
        <v/>
      </c>
      <c r="BM54" s="7">
        <f>SUM(BM52:BM53)</f>
        <v/>
      </c>
      <c r="BN54" s="7">
        <f>SUM(BN52:BN53)</f>
        <v/>
      </c>
    </row>
    <row r="55" ht="14.1" customHeight="1">
      <c r="C55" s="744" t="inlineStr">
        <is>
          <t>Brutomarge %</t>
        </is>
      </c>
      <c r="D55" s="745">
        <f>IFERROR(D54/D52,"n/a")</f>
        <v/>
      </c>
      <c r="E55" s="745">
        <f>IFERROR(E54/E52,"n/a")</f>
        <v/>
      </c>
      <c r="F55" s="746">
        <f>IFERROR(F54/F52,"n/a")</f>
        <v/>
      </c>
      <c r="G55" s="745">
        <f>IFERROR(G54/G52,"n/a")</f>
        <v/>
      </c>
      <c r="H55" s="745">
        <f>IFERROR(H54/H52,"n/a")</f>
        <v/>
      </c>
      <c r="I55" s="745">
        <f>IFERROR(I54/I52,"n/a")</f>
        <v/>
      </c>
      <c r="J55" s="745">
        <f>IFERROR(J54/J52,"n/a")</f>
        <v/>
      </c>
      <c r="K55" s="745">
        <f>IFERROR(K54/K52,"n/a")</f>
        <v/>
      </c>
      <c r="L55" s="745">
        <f>IFERROR(L54/L52,"n/a")</f>
        <v/>
      </c>
      <c r="M55" s="745">
        <f>IFERROR(M54/M52,"n/a")</f>
        <v/>
      </c>
      <c r="N55" s="745">
        <f>IFERROR(N54/N52,"n/a")</f>
        <v/>
      </c>
      <c r="O55" s="745">
        <f>IFERROR(O54/O52,"n/a")</f>
        <v/>
      </c>
      <c r="P55" s="745">
        <f>IFERROR(P54/P52,"n/a")</f>
        <v/>
      </c>
      <c r="Q55" s="745">
        <f>IFERROR(Q54/Q52,"n/a")</f>
        <v/>
      </c>
      <c r="R55" s="745">
        <f>IFERROR(R54/R52,"n/a")</f>
        <v/>
      </c>
      <c r="S55" s="745">
        <f>IFERROR(S54/S52,"n/a")</f>
        <v/>
      </c>
      <c r="T55" s="745">
        <f>IFERROR(T54/T52,"n/a")</f>
        <v/>
      </c>
      <c r="U55" s="745">
        <f>IFERROR(U54/U52,"n/a")</f>
        <v/>
      </c>
      <c r="V55" s="745">
        <f>IFERROR(V54/V52,"n/a")</f>
        <v/>
      </c>
      <c r="W55" s="745">
        <f>IFERROR(W54/W52,"n/a")</f>
        <v/>
      </c>
      <c r="X55" s="745">
        <f>IFERROR(X54/X52,"n/a")</f>
        <v/>
      </c>
      <c r="Y55" s="745">
        <f>IFERROR(Y54/Y52,"n/a")</f>
        <v/>
      </c>
      <c r="Z55" s="745">
        <f>IFERROR(Z54/Z52,"n/a")</f>
        <v/>
      </c>
      <c r="AA55" s="745">
        <f>IFERROR(AA54/AA52,"n/a")</f>
        <v/>
      </c>
      <c r="AB55" s="745">
        <f>IFERROR(AB54/AB52,"n/a")</f>
        <v/>
      </c>
      <c r="AC55" s="745">
        <f>IFERROR(AC54/AC52,"n/a")</f>
        <v/>
      </c>
      <c r="AD55" s="745">
        <f>IFERROR(AD54/AD52,"n/a")</f>
        <v/>
      </c>
      <c r="AE55" s="745">
        <f>IFERROR(AE54/AE52,"n/a")</f>
        <v/>
      </c>
      <c r="AF55" s="745">
        <f>IFERROR(AF54/AF52,"n/a")</f>
        <v/>
      </c>
      <c r="AG55" s="745">
        <f>IFERROR(AG54/AG52,"n/a")</f>
        <v/>
      </c>
      <c r="AH55" s="745">
        <f>IFERROR(AH54/AH52,"n/a")</f>
        <v/>
      </c>
      <c r="AI55" s="745">
        <f>IFERROR(AI54/AI52,"n/a")</f>
        <v/>
      </c>
      <c r="AJ55" s="745">
        <f>IFERROR(AJ54/AJ52,"n/a")</f>
        <v/>
      </c>
      <c r="AK55" s="745">
        <f>IFERROR(AK54/AK52,"n/a")</f>
        <v/>
      </c>
      <c r="AL55" s="745">
        <f>IFERROR(AL54/AL52,"n/a")</f>
        <v/>
      </c>
      <c r="AM55" s="745">
        <f>IFERROR(AM54/AM52,"n/a")</f>
        <v/>
      </c>
      <c r="AN55" s="745">
        <f>IFERROR(AN54/AN52,"n/a")</f>
        <v/>
      </c>
      <c r="AO55" s="745">
        <f>IFERROR(AO54/AO52,"n/a")</f>
        <v/>
      </c>
      <c r="AP55" s="745">
        <f>IFERROR(AP54/AP52,"n/a")</f>
        <v/>
      </c>
      <c r="AQ55" s="745">
        <f>IFERROR(AQ54/AQ52,"n/a")</f>
        <v/>
      </c>
      <c r="AR55" s="745">
        <f>IFERROR(AR54/AR52,"n/a")</f>
        <v/>
      </c>
      <c r="AS55" s="745">
        <f>IFERROR(AS54/AS52,"n/a")</f>
        <v/>
      </c>
      <c r="AT55" s="745">
        <f>IFERROR(AT54/AT52,"n/a")</f>
        <v/>
      </c>
      <c r="AU55" s="745">
        <f>IFERROR(AU54/AU52,"n/a")</f>
        <v/>
      </c>
      <c r="AV55" s="745">
        <f>IFERROR(AV54/AV52,"n/a")</f>
        <v/>
      </c>
      <c r="AW55" s="745">
        <f>IFERROR(AW54/AW52,"n/a")</f>
        <v/>
      </c>
      <c r="AX55" s="745">
        <f>IFERROR(AX54/AX52,"n/a")</f>
        <v/>
      </c>
      <c r="AY55" s="745">
        <f>IFERROR(AY54/AY52,"n/a")</f>
        <v/>
      </c>
      <c r="AZ55" s="745">
        <f>IFERROR(AZ54/AZ52,"n/a")</f>
        <v/>
      </c>
      <c r="BA55" s="745">
        <f>IFERROR(BA54/BA52,"n/a")</f>
        <v/>
      </c>
      <c r="BB55" s="745">
        <f>IFERROR(BB54/BB52,"n/a")</f>
        <v/>
      </c>
      <c r="BC55" s="745">
        <f>IFERROR(BC54/BC52,"n/a")</f>
        <v/>
      </c>
      <c r="BD55" s="745">
        <f>IFERROR(BD54/BD52,"n/a")</f>
        <v/>
      </c>
      <c r="BE55" s="745">
        <f>IFERROR(BE54/BE52,"n/a")</f>
        <v/>
      </c>
      <c r="BF55" s="745">
        <f>IFERROR(BF54/BF52,"n/a")</f>
        <v/>
      </c>
      <c r="BG55" s="745">
        <f>IFERROR(BG54/BG52,"n/a")</f>
        <v/>
      </c>
      <c r="BH55" s="745">
        <f>IFERROR(BH54/BH52,"n/a")</f>
        <v/>
      </c>
      <c r="BI55" s="745">
        <f>IFERROR(BI54/BI52,"n/a")</f>
        <v/>
      </c>
      <c r="BJ55" s="745">
        <f>IFERROR(BJ54/BJ52,"n/a")</f>
        <v/>
      </c>
      <c r="BK55" s="745">
        <f>IFERROR(BK54/BK52,"n/a")</f>
        <v/>
      </c>
      <c r="BL55" s="745">
        <f>IFERROR(BL54/BL52,"n/a")</f>
        <v/>
      </c>
      <c r="BM55" s="745">
        <f>IFERROR(BM54/BM52,"n/a")</f>
        <v/>
      </c>
      <c r="BN55" s="745">
        <f>IFERROR(BN54/BN52,"n/a")</f>
        <v/>
      </c>
    </row>
    <row r="56" ht="14.1" customHeight="1">
      <c r="C56" s="414" t="inlineStr">
        <is>
          <t>Diensten &amp; diverse goederen</t>
        </is>
      </c>
      <c r="D56" s="5">
        <f>-Resultaten!D14</f>
        <v/>
      </c>
      <c r="E56" s="5">
        <f>-Resultaten!E14</f>
        <v/>
      </c>
      <c r="F56" s="21">
        <f>-Resultaten!F14</f>
        <v/>
      </c>
      <c r="G56" s="5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  <c r="AX56" s="5" t="n"/>
      <c r="AY56" s="5" t="n"/>
      <c r="AZ56" s="5" t="n"/>
      <c r="BA56" s="5" t="n"/>
      <c r="BB56" s="5" t="n"/>
      <c r="BC56" s="5" t="n"/>
      <c r="BD56" s="5" t="n"/>
      <c r="BE56" s="5" t="n"/>
      <c r="BF56" s="5" t="n"/>
      <c r="BG56" s="5" t="n"/>
      <c r="BH56" s="5" t="n"/>
      <c r="BI56" s="5" t="n"/>
      <c r="BJ56" s="5" t="n"/>
      <c r="BK56" s="5" t="n"/>
      <c r="BL56" s="5" t="n"/>
      <c r="BM56" s="5" t="n"/>
      <c r="BN56" s="5" t="n"/>
    </row>
    <row r="57" ht="14.1" customHeight="1">
      <c r="C57" s="414" t="inlineStr">
        <is>
          <t>Bezoldigingen</t>
        </is>
      </c>
      <c r="D57" s="5">
        <f>-Resultaten!D21</f>
        <v/>
      </c>
      <c r="E57" s="5">
        <f>-Resultaten!E21</f>
        <v/>
      </c>
      <c r="F57" s="21">
        <f>-Resultaten!F21</f>
        <v/>
      </c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  <c r="AX57" s="5" t="n"/>
      <c r="AY57" s="5" t="n"/>
      <c r="AZ57" s="5" t="n"/>
      <c r="BA57" s="5" t="n"/>
      <c r="BB57" s="5" t="n"/>
      <c r="BC57" s="5" t="n"/>
      <c r="BD57" s="5" t="n"/>
      <c r="BE57" s="5" t="n"/>
      <c r="BF57" s="5" t="n"/>
      <c r="BG57" s="5" t="n"/>
      <c r="BH57" s="5" t="n"/>
      <c r="BI57" s="5" t="n"/>
      <c r="BJ57" s="5" t="n"/>
      <c r="BK57" s="5" t="n"/>
      <c r="BL57" s="5" t="n"/>
      <c r="BM57" s="5" t="n"/>
      <c r="BN57" s="5" t="n"/>
    </row>
    <row r="58" ht="14.1" customHeight="1">
      <c r="C58" s="414" t="inlineStr">
        <is>
          <t>Geproduceerde vaste activa</t>
        </is>
      </c>
      <c r="D58" s="5">
        <f>Resultaten!D15</f>
        <v/>
      </c>
      <c r="E58" s="5">
        <f>Resultaten!E15</f>
        <v/>
      </c>
      <c r="F58" s="5">
        <f>Resultaten!F15</f>
        <v/>
      </c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  <c r="AX58" s="5" t="n"/>
      <c r="AY58" s="5" t="n"/>
      <c r="AZ58" s="5" t="n"/>
      <c r="BA58" s="5" t="n"/>
      <c r="BB58" s="5" t="n"/>
      <c r="BC58" s="5" t="n"/>
      <c r="BD58" s="5" t="n"/>
      <c r="BE58" s="5" t="n"/>
      <c r="BF58" s="5" t="n"/>
      <c r="BG58" s="5" t="n"/>
      <c r="BH58" s="5" t="n"/>
      <c r="BI58" s="5" t="n"/>
      <c r="BJ58" s="5" t="n"/>
      <c r="BK58" s="5" t="n"/>
      <c r="BL58" s="5" t="n"/>
      <c r="BM58" s="5" t="n"/>
      <c r="BN58" s="5" t="n"/>
    </row>
    <row r="59" ht="14.1" customHeight="1">
      <c r="C59" s="414" t="inlineStr">
        <is>
          <t>Andere operationele opbrengsten</t>
        </is>
      </c>
      <c r="D59" s="5">
        <f>Resultaten!D16</f>
        <v/>
      </c>
      <c r="E59" s="5">
        <f>Resultaten!E16</f>
        <v/>
      </c>
      <c r="F59" s="21">
        <f>Resultaten!F16</f>
        <v/>
      </c>
      <c r="G59" s="5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  <c r="AX59" s="5" t="n"/>
      <c r="AY59" s="5" t="n"/>
      <c r="AZ59" s="5" t="n"/>
      <c r="BA59" s="5" t="n"/>
      <c r="BB59" s="5" t="n"/>
      <c r="BC59" s="5" t="n"/>
      <c r="BD59" s="5" t="n"/>
      <c r="BE59" s="5" t="n"/>
      <c r="BF59" s="5" t="n"/>
      <c r="BG59" s="5" t="n"/>
      <c r="BH59" s="5" t="n"/>
      <c r="BI59" s="5" t="n"/>
      <c r="BJ59" s="5" t="n"/>
      <c r="BK59" s="5" t="n"/>
      <c r="BL59" s="5" t="n"/>
      <c r="BM59" s="5" t="n"/>
      <c r="BN59" s="5" t="n"/>
    </row>
    <row r="60" ht="14.1" customHeight="1">
      <c r="C60" s="414" t="inlineStr">
        <is>
          <t>Andere operationele kosten</t>
        </is>
      </c>
      <c r="D60" s="5">
        <f>-Resultaten!D22</f>
        <v/>
      </c>
      <c r="E60" s="5">
        <f>-Resultaten!E22</f>
        <v/>
      </c>
      <c r="F60" s="21">
        <f>-Resultaten!F22</f>
        <v/>
      </c>
      <c r="G60" s="5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  <c r="AX60" s="5" t="n"/>
      <c r="AY60" s="5" t="n"/>
      <c r="AZ60" s="5" t="n"/>
      <c r="BA60" s="5" t="n"/>
      <c r="BB60" s="5" t="n"/>
      <c r="BC60" s="5" t="n"/>
      <c r="BD60" s="5" t="n"/>
      <c r="BE60" s="5" t="n"/>
      <c r="BF60" s="5" t="n"/>
      <c r="BG60" s="5" t="n"/>
      <c r="BH60" s="5" t="n"/>
      <c r="BI60" s="5" t="n"/>
      <c r="BJ60" s="5" t="n"/>
      <c r="BK60" s="5" t="n"/>
      <c r="BL60" s="5" t="n"/>
      <c r="BM60" s="5" t="n"/>
      <c r="BN60" s="5" t="n"/>
    </row>
    <row r="61" ht="14.1" customHeight="1">
      <c r="C61" s="417" t="inlineStr">
        <is>
          <t>EBITDA</t>
        </is>
      </c>
      <c r="D61" s="7">
        <f>SUM(D54,D56:D60)</f>
        <v/>
      </c>
      <c r="E61" s="7">
        <f>SUM(E54,E56:E60)</f>
        <v/>
      </c>
      <c r="F61" s="22">
        <f>SUM(F54,F56:F60)</f>
        <v/>
      </c>
      <c r="G61" s="7">
        <f>SUM(G54,G56:G60)</f>
        <v/>
      </c>
      <c r="H61" s="7">
        <f>SUM(H54,H56:H60)</f>
        <v/>
      </c>
      <c r="I61" s="7">
        <f>SUM(I54,I56:I60)</f>
        <v/>
      </c>
      <c r="J61" s="7">
        <f>SUM(J54,J56:J60)</f>
        <v/>
      </c>
      <c r="K61" s="7">
        <f>SUM(K54,K56:K60)</f>
        <v/>
      </c>
      <c r="L61" s="7">
        <f>SUM(L54,L56:L60)</f>
        <v/>
      </c>
      <c r="M61" s="7">
        <f>SUM(M54,M56:M60)</f>
        <v/>
      </c>
      <c r="N61" s="7">
        <f>SUM(N54,N56:N60)</f>
        <v/>
      </c>
      <c r="O61" s="7">
        <f>SUM(O54,O56:O60)</f>
        <v/>
      </c>
      <c r="P61" s="7">
        <f>SUM(P54,P56:P60)</f>
        <v/>
      </c>
      <c r="Q61" s="7">
        <f>SUM(Q54,Q56:Q60)</f>
        <v/>
      </c>
      <c r="R61" s="7">
        <f>SUM(R54,R56:R60)</f>
        <v/>
      </c>
      <c r="S61" s="7">
        <f>SUM(S54,S56:S60)</f>
        <v/>
      </c>
      <c r="T61" s="7">
        <f>SUM(T54,T56:T60)</f>
        <v/>
      </c>
      <c r="U61" s="7">
        <f>SUM(U54,U56:U60)</f>
        <v/>
      </c>
      <c r="V61" s="7">
        <f>SUM(V54,V56:V60)</f>
        <v/>
      </c>
      <c r="W61" s="7">
        <f>SUM(W54,W56:W60)</f>
        <v/>
      </c>
      <c r="X61" s="7">
        <f>SUM(X54,X56:X60)</f>
        <v/>
      </c>
      <c r="Y61" s="7">
        <f>SUM(Y54,Y56:Y60)</f>
        <v/>
      </c>
      <c r="Z61" s="7">
        <f>SUM(Z54,Z56:Z60)</f>
        <v/>
      </c>
      <c r="AA61" s="7">
        <f>SUM(AA54,AA56:AA60)</f>
        <v/>
      </c>
      <c r="AB61" s="7">
        <f>SUM(AB54,AB56:AB60)</f>
        <v/>
      </c>
      <c r="AC61" s="7">
        <f>SUM(AC54,AC56:AC60)</f>
        <v/>
      </c>
      <c r="AD61" s="7">
        <f>SUM(AD54,AD56:AD60)</f>
        <v/>
      </c>
      <c r="AE61" s="7">
        <f>SUM(AE54,AE56:AE60)</f>
        <v/>
      </c>
      <c r="AF61" s="7">
        <f>SUM(AF54,AF56:AF60)</f>
        <v/>
      </c>
      <c r="AG61" s="7">
        <f>SUM(AG54,AG56:AG60)</f>
        <v/>
      </c>
      <c r="AH61" s="7">
        <f>SUM(AH54,AH56:AH60)</f>
        <v/>
      </c>
      <c r="AI61" s="7">
        <f>SUM(AI54,AI56:AI60)</f>
        <v/>
      </c>
      <c r="AJ61" s="7">
        <f>SUM(AJ54,AJ56:AJ60)</f>
        <v/>
      </c>
      <c r="AK61" s="7">
        <f>SUM(AK54,AK56:AK60)</f>
        <v/>
      </c>
      <c r="AL61" s="7">
        <f>SUM(AL54,AL56:AL60)</f>
        <v/>
      </c>
      <c r="AM61" s="7">
        <f>SUM(AM54,AM56:AM60)</f>
        <v/>
      </c>
      <c r="AN61" s="7">
        <f>SUM(AN54,AN56:AN60)</f>
        <v/>
      </c>
      <c r="AO61" s="7">
        <f>SUM(AO54,AO56:AO60)</f>
        <v/>
      </c>
      <c r="AP61" s="7">
        <f>SUM(AP54,AP56:AP60)</f>
        <v/>
      </c>
      <c r="AQ61" s="7">
        <f>SUM(AQ54,AQ56:AQ60)</f>
        <v/>
      </c>
      <c r="AR61" s="7">
        <f>SUM(AR54,AR56:AR60)</f>
        <v/>
      </c>
      <c r="AS61" s="7">
        <f>SUM(AS54,AS56:AS60)</f>
        <v/>
      </c>
      <c r="AT61" s="7">
        <f>SUM(AT54,AT56:AT60)</f>
        <v/>
      </c>
      <c r="AU61" s="7">
        <f>SUM(AU54,AU56:AU60)</f>
        <v/>
      </c>
      <c r="AV61" s="7">
        <f>SUM(AV54,AV56:AV60)</f>
        <v/>
      </c>
      <c r="AW61" s="7">
        <f>SUM(AW54,AW56:AW60)</f>
        <v/>
      </c>
      <c r="AX61" s="7">
        <f>SUM(AX54,AX56:AX60)</f>
        <v/>
      </c>
      <c r="AY61" s="7">
        <f>SUM(AY54,AY56:AY60)</f>
        <v/>
      </c>
      <c r="AZ61" s="7">
        <f>SUM(AZ54,AZ56:AZ60)</f>
        <v/>
      </c>
      <c r="BA61" s="7">
        <f>SUM(BA54,BA56:BA60)</f>
        <v/>
      </c>
      <c r="BB61" s="7">
        <f>SUM(BB54,BB56:BB60)</f>
        <v/>
      </c>
      <c r="BC61" s="7">
        <f>SUM(BC54,BC56:BC60)</f>
        <v/>
      </c>
      <c r="BD61" s="7">
        <f>SUM(BD54,BD56:BD60)</f>
        <v/>
      </c>
      <c r="BE61" s="7">
        <f>SUM(BE54,BE56:BE60)</f>
        <v/>
      </c>
      <c r="BF61" s="7">
        <f>SUM(BF54,BF56:BF60)</f>
        <v/>
      </c>
      <c r="BG61" s="7">
        <f>SUM(BG54,BG56:BG60)</f>
        <v/>
      </c>
      <c r="BH61" s="7">
        <f>SUM(BH54,BH56:BH60)</f>
        <v/>
      </c>
      <c r="BI61" s="7">
        <f>SUM(BI54,BI56:BI60)</f>
        <v/>
      </c>
      <c r="BJ61" s="7">
        <f>SUM(BJ54,BJ56:BJ60)</f>
        <v/>
      </c>
      <c r="BK61" s="7">
        <f>SUM(BK54,BK56:BK60)</f>
        <v/>
      </c>
      <c r="BL61" s="7">
        <f>SUM(BL54,BL56:BL60)</f>
        <v/>
      </c>
      <c r="BM61" s="7">
        <f>SUM(BM54,BM56:BM60)</f>
        <v/>
      </c>
      <c r="BN61" s="7">
        <f>SUM(BN54,BN56:BN60)</f>
        <v/>
      </c>
    </row>
    <row r="62" ht="14.1" customHeight="1">
      <c r="C62" s="744" t="inlineStr">
        <is>
          <t>EBITDA %</t>
        </is>
      </c>
      <c r="D62" s="745">
        <f>IFERROR(D61/D52,"n/a")</f>
        <v/>
      </c>
      <c r="E62" s="745">
        <f>IFERROR(E61/E52,"n/a")</f>
        <v/>
      </c>
      <c r="F62" s="746">
        <f>IFERROR(F61/F52,"n/a")</f>
        <v/>
      </c>
      <c r="G62" s="745">
        <f>IFERROR(G61/G52,"n/a")</f>
        <v/>
      </c>
      <c r="H62" s="745">
        <f>IFERROR(H61/H52,"n/a")</f>
        <v/>
      </c>
      <c r="I62" s="745">
        <f>IFERROR(I61/I52,"n/a")</f>
        <v/>
      </c>
      <c r="J62" s="745">
        <f>IFERROR(J61/J52,"n/a")</f>
        <v/>
      </c>
      <c r="K62" s="745">
        <f>IFERROR(K61/K52,"n/a")</f>
        <v/>
      </c>
      <c r="L62" s="745">
        <f>IFERROR(L61/L52,"n/a")</f>
        <v/>
      </c>
      <c r="M62" s="745">
        <f>IFERROR(M61/M52,"n/a")</f>
        <v/>
      </c>
      <c r="N62" s="745">
        <f>IFERROR(N61/N52,"n/a")</f>
        <v/>
      </c>
      <c r="O62" s="745">
        <f>IFERROR(O61/O52,"n/a")</f>
        <v/>
      </c>
      <c r="P62" s="745">
        <f>IFERROR(P61/P52,"n/a")</f>
        <v/>
      </c>
      <c r="Q62" s="745">
        <f>IFERROR(Q61/Q52,"n/a")</f>
        <v/>
      </c>
      <c r="R62" s="745">
        <f>IFERROR(R61/R52,"n/a")</f>
        <v/>
      </c>
      <c r="S62" s="745">
        <f>IFERROR(S61/S52,"n/a")</f>
        <v/>
      </c>
      <c r="T62" s="745">
        <f>IFERROR(T61/T52,"n/a")</f>
        <v/>
      </c>
      <c r="U62" s="745">
        <f>IFERROR(U61/U52,"n/a")</f>
        <v/>
      </c>
      <c r="V62" s="745">
        <f>IFERROR(V61/V52,"n/a")</f>
        <v/>
      </c>
      <c r="W62" s="745">
        <f>IFERROR(W61/W52,"n/a")</f>
        <v/>
      </c>
      <c r="X62" s="745">
        <f>IFERROR(X61/X52,"n/a")</f>
        <v/>
      </c>
      <c r="Y62" s="745">
        <f>IFERROR(Y61/Y52,"n/a")</f>
        <v/>
      </c>
      <c r="Z62" s="745">
        <f>IFERROR(Z61/Z52,"n/a")</f>
        <v/>
      </c>
      <c r="AA62" s="745">
        <f>IFERROR(AA61/AA52,"n/a")</f>
        <v/>
      </c>
      <c r="AB62" s="745">
        <f>IFERROR(AB61/AB52,"n/a")</f>
        <v/>
      </c>
      <c r="AC62" s="745">
        <f>IFERROR(AC61/AC52,"n/a")</f>
        <v/>
      </c>
      <c r="AD62" s="745">
        <f>IFERROR(AD61/AD52,"n/a")</f>
        <v/>
      </c>
      <c r="AE62" s="745">
        <f>IFERROR(AE61/AE52,"n/a")</f>
        <v/>
      </c>
      <c r="AF62" s="745">
        <f>IFERROR(AF61/AF52,"n/a")</f>
        <v/>
      </c>
      <c r="AG62" s="745">
        <f>IFERROR(AG61/AG52,"n/a")</f>
        <v/>
      </c>
      <c r="AH62" s="745">
        <f>IFERROR(AH61/AH52,"n/a")</f>
        <v/>
      </c>
      <c r="AI62" s="745">
        <f>IFERROR(AI61/AI52,"n/a")</f>
        <v/>
      </c>
      <c r="AJ62" s="745">
        <f>IFERROR(AJ61/AJ52,"n/a")</f>
        <v/>
      </c>
      <c r="AK62" s="745">
        <f>IFERROR(AK61/AK52,"n/a")</f>
        <v/>
      </c>
      <c r="AL62" s="745">
        <f>IFERROR(AL61/AL52,"n/a")</f>
        <v/>
      </c>
      <c r="AM62" s="745">
        <f>IFERROR(AM61/AM52,"n/a")</f>
        <v/>
      </c>
      <c r="AN62" s="745">
        <f>IFERROR(AN61/AN52,"n/a")</f>
        <v/>
      </c>
      <c r="AO62" s="745">
        <f>IFERROR(AO61/AO52,"n/a")</f>
        <v/>
      </c>
      <c r="AP62" s="745">
        <f>IFERROR(AP61/AP52,"n/a")</f>
        <v/>
      </c>
      <c r="AQ62" s="745">
        <f>IFERROR(AQ61/AQ52,"n/a")</f>
        <v/>
      </c>
      <c r="AR62" s="745">
        <f>IFERROR(AR61/AR52,"n/a")</f>
        <v/>
      </c>
      <c r="AS62" s="745">
        <f>IFERROR(AS61/AS52,"n/a")</f>
        <v/>
      </c>
      <c r="AT62" s="745">
        <f>IFERROR(AT61/AT52,"n/a")</f>
        <v/>
      </c>
      <c r="AU62" s="745">
        <f>IFERROR(AU61/AU52,"n/a")</f>
        <v/>
      </c>
      <c r="AV62" s="745">
        <f>IFERROR(AV61/AV52,"n/a")</f>
        <v/>
      </c>
      <c r="AW62" s="745">
        <f>IFERROR(AW61/AW52,"n/a")</f>
        <v/>
      </c>
      <c r="AX62" s="745">
        <f>IFERROR(AX61/AX52,"n/a")</f>
        <v/>
      </c>
      <c r="AY62" s="745">
        <f>IFERROR(AY61/AY52,"n/a")</f>
        <v/>
      </c>
      <c r="AZ62" s="745">
        <f>IFERROR(AZ61/AZ52,"n/a")</f>
        <v/>
      </c>
      <c r="BA62" s="745">
        <f>IFERROR(BA61/BA52,"n/a")</f>
        <v/>
      </c>
      <c r="BB62" s="745">
        <f>IFERROR(BB61/BB52,"n/a")</f>
        <v/>
      </c>
      <c r="BC62" s="745">
        <f>IFERROR(BC61/BC52,"n/a")</f>
        <v/>
      </c>
      <c r="BD62" s="745">
        <f>IFERROR(BD61/BD52,"n/a")</f>
        <v/>
      </c>
      <c r="BE62" s="745">
        <f>IFERROR(BE61/BE52,"n/a")</f>
        <v/>
      </c>
      <c r="BF62" s="745">
        <f>IFERROR(BF61/BF52,"n/a")</f>
        <v/>
      </c>
      <c r="BG62" s="745">
        <f>IFERROR(BG61/BG52,"n/a")</f>
        <v/>
      </c>
      <c r="BH62" s="745">
        <f>IFERROR(BH61/BH52,"n/a")</f>
        <v/>
      </c>
      <c r="BI62" s="745">
        <f>IFERROR(BI61/BI52,"n/a")</f>
        <v/>
      </c>
      <c r="BJ62" s="745">
        <f>IFERROR(BJ61/BJ52,"n/a")</f>
        <v/>
      </c>
      <c r="BK62" s="745">
        <f>IFERROR(BK61/BK52,"n/a")</f>
        <v/>
      </c>
      <c r="BL62" s="745">
        <f>IFERROR(BL61/BL52,"n/a")</f>
        <v/>
      </c>
      <c r="BM62" s="745">
        <f>IFERROR(BM61/BM52,"n/a")</f>
        <v/>
      </c>
      <c r="BN62" s="745">
        <f>IFERROR(BN61/BN52,"n/a")</f>
        <v/>
      </c>
    </row>
    <row r="63" ht="14.1" customHeight="1">
      <c r="C63" s="414" t="inlineStr">
        <is>
          <t>Afschrijvingen &amp; waardeverminderingen</t>
        </is>
      </c>
      <c r="D63" s="5">
        <f>-Resultaten!D29</f>
        <v/>
      </c>
      <c r="E63" s="5">
        <f>-Resultaten!E29</f>
        <v/>
      </c>
      <c r="F63" s="21">
        <f>-Resultaten!F29</f>
        <v/>
      </c>
      <c r="G63" s="5" t="n"/>
      <c r="H63" s="5" t="n"/>
      <c r="I63" s="5" t="n"/>
      <c r="J63" s="5" t="n"/>
      <c r="K63" s="5" t="n"/>
      <c r="L63" s="3" t="n"/>
    </row>
    <row r="64" ht="14.1" customHeight="1">
      <c r="C64" s="417" t="inlineStr">
        <is>
          <t>EBIT</t>
        </is>
      </c>
      <c r="D64" s="7">
        <f>D61+D63</f>
        <v/>
      </c>
      <c r="E64" s="7">
        <f>E61+E63</f>
        <v/>
      </c>
      <c r="F64" s="22">
        <f>F61+F63</f>
        <v/>
      </c>
      <c r="G64" s="7">
        <f>G61+G63</f>
        <v/>
      </c>
      <c r="H64" s="7">
        <f>H61+H63</f>
        <v/>
      </c>
      <c r="I64" s="7">
        <f>I61+I63</f>
        <v/>
      </c>
      <c r="J64" s="7">
        <f>J61+J63</f>
        <v/>
      </c>
      <c r="K64" s="7">
        <f>K61+K63</f>
        <v/>
      </c>
      <c r="L64" s="7">
        <f>L61+L63</f>
        <v/>
      </c>
      <c r="M64" s="7">
        <f>M61+M63</f>
        <v/>
      </c>
      <c r="N64" s="7">
        <f>N61+N63</f>
        <v/>
      </c>
      <c r="O64" s="7">
        <f>O61+O63</f>
        <v/>
      </c>
      <c r="P64" s="7">
        <f>P61+P63</f>
        <v/>
      </c>
      <c r="Q64" s="7">
        <f>Q61+Q63</f>
        <v/>
      </c>
      <c r="R64" s="7">
        <f>R61+R63</f>
        <v/>
      </c>
      <c r="S64" s="7">
        <f>S61+S63</f>
        <v/>
      </c>
      <c r="T64" s="7">
        <f>T61+T63</f>
        <v/>
      </c>
      <c r="U64" s="7">
        <f>U61+U63</f>
        <v/>
      </c>
      <c r="V64" s="7">
        <f>V61+V63</f>
        <v/>
      </c>
      <c r="W64" s="7">
        <f>W61+W63</f>
        <v/>
      </c>
      <c r="X64" s="7">
        <f>X61+X63</f>
        <v/>
      </c>
      <c r="Y64" s="7">
        <f>Y61+Y63</f>
        <v/>
      </c>
      <c r="Z64" s="7">
        <f>Z61+Z63</f>
        <v/>
      </c>
      <c r="AA64" s="7">
        <f>AA61+AA63</f>
        <v/>
      </c>
      <c r="AB64" s="7">
        <f>AB61+AB63</f>
        <v/>
      </c>
      <c r="AC64" s="7">
        <f>AC61+AC63</f>
        <v/>
      </c>
      <c r="AD64" s="7">
        <f>AD61+AD63</f>
        <v/>
      </c>
      <c r="AE64" s="7">
        <f>AE61+AE63</f>
        <v/>
      </c>
      <c r="AF64" s="7">
        <f>AF61+AF63</f>
        <v/>
      </c>
      <c r="AG64" s="7">
        <f>AG61+AG63</f>
        <v/>
      </c>
      <c r="AH64" s="7">
        <f>AH61+AH63</f>
        <v/>
      </c>
      <c r="AI64" s="7">
        <f>AI61+AI63</f>
        <v/>
      </c>
      <c r="AJ64" s="7">
        <f>AJ61+AJ63</f>
        <v/>
      </c>
      <c r="AK64" s="7">
        <f>AK61+AK63</f>
        <v/>
      </c>
      <c r="AL64" s="7">
        <f>AL61+AL63</f>
        <v/>
      </c>
      <c r="AM64" s="7">
        <f>AM61+AM63</f>
        <v/>
      </c>
      <c r="AN64" s="7">
        <f>AN61+AN63</f>
        <v/>
      </c>
      <c r="AO64" s="7">
        <f>AO61+AO63</f>
        <v/>
      </c>
      <c r="AP64" s="7">
        <f>AP61+AP63</f>
        <v/>
      </c>
      <c r="AQ64" s="7">
        <f>AQ61+AQ63</f>
        <v/>
      </c>
      <c r="AR64" s="7">
        <f>AR61+AR63</f>
        <v/>
      </c>
      <c r="AS64" s="7">
        <f>AS61+AS63</f>
        <v/>
      </c>
      <c r="AT64" s="7">
        <f>AT61+AT63</f>
        <v/>
      </c>
      <c r="AU64" s="7">
        <f>AU61+AU63</f>
        <v/>
      </c>
      <c r="AV64" s="7">
        <f>AV61+AV63</f>
        <v/>
      </c>
      <c r="AW64" s="7">
        <f>AW61+AW63</f>
        <v/>
      </c>
      <c r="AX64" s="7">
        <f>AX61+AX63</f>
        <v/>
      </c>
      <c r="AY64" s="7">
        <f>AY61+AY63</f>
        <v/>
      </c>
      <c r="AZ64" s="7">
        <f>AZ61+AZ63</f>
        <v/>
      </c>
      <c r="BA64" s="7">
        <f>BA61+BA63</f>
        <v/>
      </c>
      <c r="BB64" s="7">
        <f>BB61+BB63</f>
        <v/>
      </c>
      <c r="BC64" s="7">
        <f>BC61+BC63</f>
        <v/>
      </c>
      <c r="BD64" s="7">
        <f>BD61+BD63</f>
        <v/>
      </c>
      <c r="BE64" s="7">
        <f>BE61+BE63</f>
        <v/>
      </c>
      <c r="BF64" s="7">
        <f>BF61+BF63</f>
        <v/>
      </c>
      <c r="BG64" s="7">
        <f>BG61+BG63</f>
        <v/>
      </c>
      <c r="BH64" s="7">
        <f>BH61+BH63</f>
        <v/>
      </c>
      <c r="BI64" s="7">
        <f>BI61+BI63</f>
        <v/>
      </c>
      <c r="BJ64" s="7">
        <f>BJ61+BJ63</f>
        <v/>
      </c>
      <c r="BK64" s="7">
        <f>BK61+BK63</f>
        <v/>
      </c>
      <c r="BL64" s="7">
        <f>BL61+BL63</f>
        <v/>
      </c>
      <c r="BM64" s="7">
        <f>BM61+BM63</f>
        <v/>
      </c>
      <c r="BN64" s="7">
        <f>BN61+BN63</f>
        <v/>
      </c>
    </row>
    <row r="65" ht="14.1" customHeight="1">
      <c r="C65" s="744" t="inlineStr">
        <is>
          <t>EBIT %</t>
        </is>
      </c>
      <c r="D65" s="745">
        <f>IFERROR(D64/D52,"n/a")</f>
        <v/>
      </c>
      <c r="E65" s="745">
        <f>IFERROR(E64/E52,"n/a")</f>
        <v/>
      </c>
      <c r="F65" s="746">
        <f>IFERROR(F64/F52,"n/a")</f>
        <v/>
      </c>
      <c r="G65" s="745">
        <f>IFERROR(G64/G52,"n/a")</f>
        <v/>
      </c>
      <c r="H65" s="745">
        <f>IFERROR(H64/H52,"n/a")</f>
        <v/>
      </c>
      <c r="I65" s="745">
        <f>IFERROR(I64/I52,"n/a")</f>
        <v/>
      </c>
      <c r="J65" s="745">
        <f>IFERROR(J64/J52,"n/a")</f>
        <v/>
      </c>
      <c r="K65" s="745">
        <f>IFERROR(K64/K52,"n/a")</f>
        <v/>
      </c>
      <c r="L65" s="745">
        <f>IFERROR(L64/L52,"n/a")</f>
        <v/>
      </c>
      <c r="M65" s="745">
        <f>IFERROR(M64/M52,"n/a")</f>
        <v/>
      </c>
      <c r="N65" s="745">
        <f>IFERROR(N64/N52,"n/a")</f>
        <v/>
      </c>
      <c r="O65" s="745">
        <f>IFERROR(O64/O52,"n/a")</f>
        <v/>
      </c>
      <c r="P65" s="745">
        <f>IFERROR(P64/P52,"n/a")</f>
        <v/>
      </c>
      <c r="Q65" s="745">
        <f>IFERROR(Q64/Q52,"n/a")</f>
        <v/>
      </c>
      <c r="R65" s="745">
        <f>IFERROR(R64/R52,"n/a")</f>
        <v/>
      </c>
      <c r="S65" s="745">
        <f>IFERROR(S64/S52,"n/a")</f>
        <v/>
      </c>
      <c r="T65" s="745">
        <f>IFERROR(T64/T52,"n/a")</f>
        <v/>
      </c>
      <c r="U65" s="745">
        <f>IFERROR(U64/U52,"n/a")</f>
        <v/>
      </c>
      <c r="V65" s="745">
        <f>IFERROR(V64/V52,"n/a")</f>
        <v/>
      </c>
      <c r="W65" s="745">
        <f>IFERROR(W64/W52,"n/a")</f>
        <v/>
      </c>
      <c r="X65" s="745">
        <f>IFERROR(X64/X52,"n/a")</f>
        <v/>
      </c>
      <c r="Y65" s="745">
        <f>IFERROR(Y64/Y52,"n/a")</f>
        <v/>
      </c>
      <c r="Z65" s="745">
        <f>IFERROR(Z64/Z52,"n/a")</f>
        <v/>
      </c>
      <c r="AA65" s="745">
        <f>IFERROR(AA64/AA52,"n/a")</f>
        <v/>
      </c>
      <c r="AB65" s="745">
        <f>IFERROR(AB64/AB52,"n/a")</f>
        <v/>
      </c>
      <c r="AC65" s="745">
        <f>IFERROR(AC64/AC52,"n/a")</f>
        <v/>
      </c>
      <c r="AD65" s="745">
        <f>IFERROR(AD64/AD52,"n/a")</f>
        <v/>
      </c>
      <c r="AE65" s="745">
        <f>IFERROR(AE64/AE52,"n/a")</f>
        <v/>
      </c>
      <c r="AF65" s="745">
        <f>IFERROR(AF64/AF52,"n/a")</f>
        <v/>
      </c>
      <c r="AG65" s="745">
        <f>IFERROR(AG64/AG52,"n/a")</f>
        <v/>
      </c>
      <c r="AH65" s="745">
        <f>IFERROR(AH64/AH52,"n/a")</f>
        <v/>
      </c>
      <c r="AI65" s="745">
        <f>IFERROR(AI64/AI52,"n/a")</f>
        <v/>
      </c>
      <c r="AJ65" s="745">
        <f>IFERROR(AJ64/AJ52,"n/a")</f>
        <v/>
      </c>
      <c r="AK65" s="745">
        <f>IFERROR(AK64/AK52,"n/a")</f>
        <v/>
      </c>
      <c r="AL65" s="745">
        <f>IFERROR(AL64/AL52,"n/a")</f>
        <v/>
      </c>
      <c r="AM65" s="745">
        <f>IFERROR(AM64/AM52,"n/a")</f>
        <v/>
      </c>
      <c r="AN65" s="745">
        <f>IFERROR(AN64/AN52,"n/a")</f>
        <v/>
      </c>
      <c r="AO65" s="745">
        <f>IFERROR(AO64/AO52,"n/a")</f>
        <v/>
      </c>
      <c r="AP65" s="745">
        <f>IFERROR(AP64/AP52,"n/a")</f>
        <v/>
      </c>
      <c r="AQ65" s="745">
        <f>IFERROR(AQ64/AQ52,"n/a")</f>
        <v/>
      </c>
      <c r="AR65" s="745">
        <f>IFERROR(AR64/AR52,"n/a")</f>
        <v/>
      </c>
      <c r="AS65" s="745">
        <f>IFERROR(AS64/AS52,"n/a")</f>
        <v/>
      </c>
      <c r="AT65" s="745">
        <f>IFERROR(AT64/AT52,"n/a")</f>
        <v/>
      </c>
      <c r="AU65" s="745">
        <f>IFERROR(AU64/AU52,"n/a")</f>
        <v/>
      </c>
      <c r="AV65" s="745">
        <f>IFERROR(AV64/AV52,"n/a")</f>
        <v/>
      </c>
      <c r="AW65" s="745">
        <f>IFERROR(AW64/AW52,"n/a")</f>
        <v/>
      </c>
      <c r="AX65" s="745">
        <f>IFERROR(AX64/AX52,"n/a")</f>
        <v/>
      </c>
      <c r="AY65" s="745">
        <f>IFERROR(AY64/AY52,"n/a")</f>
        <v/>
      </c>
      <c r="AZ65" s="745">
        <f>IFERROR(AZ64/AZ52,"n/a")</f>
        <v/>
      </c>
      <c r="BA65" s="745">
        <f>IFERROR(BA64/BA52,"n/a")</f>
        <v/>
      </c>
      <c r="BB65" s="745">
        <f>IFERROR(BB64/BB52,"n/a")</f>
        <v/>
      </c>
      <c r="BC65" s="745">
        <f>IFERROR(BC64/BC52,"n/a")</f>
        <v/>
      </c>
      <c r="BD65" s="745">
        <f>IFERROR(BD64/BD52,"n/a")</f>
        <v/>
      </c>
      <c r="BE65" s="745">
        <f>IFERROR(BE64/BE52,"n/a")</f>
        <v/>
      </c>
      <c r="BF65" s="745">
        <f>IFERROR(BF64/BF52,"n/a")</f>
        <v/>
      </c>
      <c r="BG65" s="745">
        <f>IFERROR(BG64/BG52,"n/a")</f>
        <v/>
      </c>
      <c r="BH65" s="745">
        <f>IFERROR(BH64/BH52,"n/a")</f>
        <v/>
      </c>
      <c r="BI65" s="745">
        <f>IFERROR(BI64/BI52,"n/a")</f>
        <v/>
      </c>
      <c r="BJ65" s="745">
        <f>IFERROR(BJ64/BJ52,"n/a")</f>
        <v/>
      </c>
      <c r="BK65" s="745">
        <f>IFERROR(BK64/BK52,"n/a")</f>
        <v/>
      </c>
      <c r="BL65" s="745">
        <f>IFERROR(BL64/BL52,"n/a")</f>
        <v/>
      </c>
      <c r="BM65" s="745">
        <f>IFERROR(BM64/BM52,"n/a")</f>
        <v/>
      </c>
      <c r="BN65" s="745">
        <f>IFERROR(BN64/BN52,"n/a")</f>
        <v/>
      </c>
    </row>
    <row r="66" outlineLevel="1" ht="14.1" customHeight="1">
      <c r="C66" s="432" t="inlineStr">
        <is>
          <t>Financiële opbrengsten</t>
        </is>
      </c>
      <c r="D66" s="5">
        <f>Historiek!D169/1000</f>
        <v/>
      </c>
      <c r="E66" s="5">
        <f>Historiek!E169/1000</f>
        <v/>
      </c>
      <c r="F66" s="21">
        <f>Historiek!F169/1000</f>
        <v/>
      </c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  <c r="AX66" s="5" t="n"/>
      <c r="AY66" s="5" t="n"/>
      <c r="AZ66" s="5" t="n"/>
      <c r="BA66" s="5" t="n"/>
      <c r="BB66" s="5" t="n"/>
      <c r="BC66" s="5" t="n"/>
      <c r="BD66" s="5" t="n"/>
      <c r="BE66" s="5" t="n"/>
      <c r="BF66" s="5" t="n"/>
      <c r="BG66" s="5" t="n"/>
      <c r="BH66" s="5" t="n"/>
      <c r="BI66" s="5" t="n"/>
      <c r="BJ66" s="5" t="n"/>
      <c r="BK66" s="5" t="n"/>
      <c r="BL66" s="5" t="n"/>
      <c r="BM66" s="5" t="n"/>
      <c r="BN66" s="5" t="n"/>
    </row>
    <row r="67" outlineLevel="1" ht="14.1" customHeight="1">
      <c r="C67" s="432" t="inlineStr">
        <is>
          <t>Financiële kosten</t>
        </is>
      </c>
      <c r="D67" s="5">
        <f>-Historiek!D174/1000</f>
        <v/>
      </c>
      <c r="E67" s="5">
        <f>-Historiek!E174/1000</f>
        <v/>
      </c>
      <c r="F67" s="5">
        <f>-Historiek!F174/1000</f>
        <v/>
      </c>
      <c r="G67" s="5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  <c r="AX67" s="5" t="n"/>
      <c r="AY67" s="5" t="n"/>
      <c r="AZ67" s="5" t="n"/>
      <c r="BA67" s="5" t="n"/>
      <c r="BB67" s="5" t="n"/>
      <c r="BC67" s="5" t="n"/>
      <c r="BD67" s="5" t="n"/>
      <c r="BE67" s="5" t="n"/>
      <c r="BF67" s="5" t="n"/>
      <c r="BG67" s="5" t="n"/>
      <c r="BH67" s="5" t="n"/>
      <c r="BI67" s="5" t="n"/>
      <c r="BJ67" s="5" t="n"/>
      <c r="BK67" s="5" t="n"/>
      <c r="BL67" s="5" t="n"/>
      <c r="BM67" s="5" t="n"/>
      <c r="BN67" s="5" t="n"/>
    </row>
    <row r="68" ht="14.1" customHeight="1">
      <c r="C68" s="414" t="inlineStr">
        <is>
          <t>Financieel resultaat</t>
        </is>
      </c>
      <c r="D68" s="5">
        <f>SUM(D66:D67)</f>
        <v/>
      </c>
      <c r="E68" s="5">
        <f>SUM(E66:E67)</f>
        <v/>
      </c>
      <c r="F68" s="5">
        <f>SUM(F66:F67)</f>
        <v/>
      </c>
      <c r="G68" s="5">
        <f>SUM(G66:G67)</f>
        <v/>
      </c>
      <c r="H68" s="5">
        <f>SUM(H66:H67)</f>
        <v/>
      </c>
      <c r="I68" s="5">
        <f>SUM(I66:I67)</f>
        <v/>
      </c>
      <c r="J68" s="5">
        <f>SUM(J66:J67)</f>
        <v/>
      </c>
      <c r="K68" s="5">
        <f>SUM(K66:K67)</f>
        <v/>
      </c>
      <c r="L68" s="5">
        <f>SUM(L66:L67)</f>
        <v/>
      </c>
      <c r="M68" s="5">
        <f>SUM(M66:M67)</f>
        <v/>
      </c>
      <c r="N68" s="5">
        <f>SUM(N66:N67)</f>
        <v/>
      </c>
      <c r="O68" s="5">
        <f>SUM(O66:O67)</f>
        <v/>
      </c>
      <c r="P68" s="5">
        <f>SUM(P66:P67)</f>
        <v/>
      </c>
      <c r="Q68" s="5">
        <f>SUM(Q66:Q67)</f>
        <v/>
      </c>
      <c r="R68" s="5">
        <f>SUM(R66:R67)</f>
        <v/>
      </c>
      <c r="S68" s="5">
        <f>SUM(S66:S67)</f>
        <v/>
      </c>
      <c r="T68" s="5">
        <f>SUM(T66:T67)</f>
        <v/>
      </c>
      <c r="U68" s="5">
        <f>SUM(U66:U67)</f>
        <v/>
      </c>
      <c r="V68" s="5">
        <f>SUM(V66:V67)</f>
        <v/>
      </c>
      <c r="W68" s="5">
        <f>SUM(W66:W67)</f>
        <v/>
      </c>
      <c r="X68" s="5">
        <f>SUM(X66:X67)</f>
        <v/>
      </c>
      <c r="Y68" s="5">
        <f>SUM(Y66:Y67)</f>
        <v/>
      </c>
      <c r="Z68" s="5">
        <f>SUM(Z66:Z67)</f>
        <v/>
      </c>
      <c r="AA68" s="5">
        <f>SUM(AA66:AA67)</f>
        <v/>
      </c>
      <c r="AB68" s="5">
        <f>SUM(AB66:AB67)</f>
        <v/>
      </c>
      <c r="AC68" s="5">
        <f>SUM(AC66:AC67)</f>
        <v/>
      </c>
      <c r="AD68" s="5">
        <f>SUM(AD66:AD67)</f>
        <v/>
      </c>
      <c r="AE68" s="5">
        <f>SUM(AE66:AE67)</f>
        <v/>
      </c>
      <c r="AF68" s="5">
        <f>SUM(AF66:AF67)</f>
        <v/>
      </c>
      <c r="AG68" s="5">
        <f>SUM(AG66:AG67)</f>
        <v/>
      </c>
      <c r="AH68" s="5">
        <f>SUM(AH66:AH67)</f>
        <v/>
      </c>
      <c r="AI68" s="5">
        <f>SUM(AI66:AI67)</f>
        <v/>
      </c>
      <c r="AJ68" s="5">
        <f>SUM(AJ66:AJ67)</f>
        <v/>
      </c>
      <c r="AK68" s="5">
        <f>SUM(AK66:AK67)</f>
        <v/>
      </c>
      <c r="AL68" s="5">
        <f>SUM(AL66:AL67)</f>
        <v/>
      </c>
      <c r="AM68" s="5">
        <f>SUM(AM66:AM67)</f>
        <v/>
      </c>
      <c r="AN68" s="5">
        <f>SUM(AN66:AN67)</f>
        <v/>
      </c>
      <c r="AO68" s="5">
        <f>SUM(AO66:AO67)</f>
        <v/>
      </c>
      <c r="AP68" s="5">
        <f>SUM(AP66:AP67)</f>
        <v/>
      </c>
      <c r="AQ68" s="5">
        <f>SUM(AQ66:AQ67)</f>
        <v/>
      </c>
      <c r="AR68" s="5">
        <f>SUM(AR66:AR67)</f>
        <v/>
      </c>
      <c r="AS68" s="5">
        <f>SUM(AS66:AS67)</f>
        <v/>
      </c>
      <c r="AT68" s="5">
        <f>SUM(AT66:AT67)</f>
        <v/>
      </c>
      <c r="AU68" s="5">
        <f>SUM(AU66:AU67)</f>
        <v/>
      </c>
      <c r="AV68" s="5">
        <f>SUM(AV66:AV67)</f>
        <v/>
      </c>
      <c r="AW68" s="5">
        <f>SUM(AW66:AW67)</f>
        <v/>
      </c>
      <c r="AX68" s="5">
        <f>SUM(AX66:AX67)</f>
        <v/>
      </c>
      <c r="AY68" s="5">
        <f>SUM(AY66:AY67)</f>
        <v/>
      </c>
      <c r="AZ68" s="5">
        <f>SUM(AZ66:AZ67)</f>
        <v/>
      </c>
      <c r="BA68" s="5">
        <f>SUM(BA66:BA67)</f>
        <v/>
      </c>
      <c r="BB68" s="5">
        <f>SUM(BB66:BB67)</f>
        <v/>
      </c>
      <c r="BC68" s="5">
        <f>SUM(BC66:BC67)</f>
        <v/>
      </c>
      <c r="BD68" s="5">
        <f>SUM(BD66:BD67)</f>
        <v/>
      </c>
      <c r="BE68" s="5">
        <f>SUM(BE66:BE67)</f>
        <v/>
      </c>
      <c r="BF68" s="5">
        <f>SUM(BF66:BF67)</f>
        <v/>
      </c>
      <c r="BG68" s="5">
        <f>SUM(BG66:BG67)</f>
        <v/>
      </c>
      <c r="BH68" s="5">
        <f>SUM(BH66:BH67)</f>
        <v/>
      </c>
      <c r="BI68" s="5">
        <f>SUM(BI66:BI67)</f>
        <v/>
      </c>
      <c r="BJ68" s="5">
        <f>SUM(BJ66:BJ67)</f>
        <v/>
      </c>
      <c r="BK68" s="5">
        <f>SUM(BK66:BK67)</f>
        <v/>
      </c>
      <c r="BL68" s="5">
        <f>SUM(BL66:BL67)</f>
        <v/>
      </c>
      <c r="BM68" s="5">
        <f>SUM(BM66:BM67)</f>
        <v/>
      </c>
      <c r="BN68" s="5">
        <f>SUM(BN66:BN67)</f>
        <v/>
      </c>
    </row>
    <row r="69" outlineLevel="1" ht="14.1" customHeight="1">
      <c r="C69" s="432" t="inlineStr">
        <is>
          <t>Uitzonderlijke opbrengsten</t>
        </is>
      </c>
      <c r="D69" s="5">
        <f>Historiek!D181/1000</f>
        <v/>
      </c>
      <c r="E69" s="5">
        <f>Historiek!E181/1000</f>
        <v/>
      </c>
      <c r="F69" s="5">
        <f>Historiek!F181/1000</f>
        <v/>
      </c>
      <c r="G69" s="5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  <c r="AX69" s="5" t="n"/>
      <c r="AY69" s="5" t="n"/>
      <c r="AZ69" s="5" t="n"/>
      <c r="BA69" s="5" t="n"/>
      <c r="BB69" s="5" t="n"/>
      <c r="BC69" s="5" t="n"/>
      <c r="BD69" s="5" t="n"/>
      <c r="BE69" s="5" t="n"/>
      <c r="BF69" s="5" t="n"/>
      <c r="BG69" s="5" t="n"/>
      <c r="BH69" s="5" t="n"/>
      <c r="BI69" s="5" t="n"/>
      <c r="BJ69" s="5" t="n"/>
      <c r="BK69" s="5" t="n"/>
      <c r="BL69" s="5" t="n"/>
      <c r="BM69" s="5" t="n"/>
      <c r="BN69" s="5" t="n"/>
    </row>
    <row r="70" outlineLevel="1" ht="14.1" customHeight="1">
      <c r="C70" s="432" t="inlineStr">
        <is>
          <t>Uitzonderlijke kosten</t>
        </is>
      </c>
      <c r="D70" s="5">
        <f>-Historiek!D188/1000</f>
        <v/>
      </c>
      <c r="E70" s="5">
        <f>-Historiek!E188/1000</f>
        <v/>
      </c>
      <c r="F70" s="5">
        <f>-Historiek!F188/1000</f>
        <v/>
      </c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  <c r="AX70" s="5" t="n"/>
      <c r="AY70" s="5" t="n"/>
      <c r="AZ70" s="5" t="n"/>
      <c r="BA70" s="5" t="n"/>
      <c r="BB70" s="5" t="n"/>
      <c r="BC70" s="5" t="n"/>
      <c r="BD70" s="5" t="n"/>
      <c r="BE70" s="5" t="n"/>
      <c r="BF70" s="5" t="n"/>
      <c r="BG70" s="5" t="n"/>
      <c r="BH70" s="5" t="n"/>
      <c r="BI70" s="5" t="n"/>
      <c r="BJ70" s="5" t="n"/>
      <c r="BK70" s="5" t="n"/>
      <c r="BL70" s="5" t="n"/>
      <c r="BM70" s="5" t="n"/>
      <c r="BN70" s="5" t="n"/>
    </row>
    <row r="71" ht="14.1" customHeight="1">
      <c r="C71" s="414" t="inlineStr">
        <is>
          <t>Uitzonderlijk resultaat</t>
        </is>
      </c>
      <c r="D71" s="5">
        <f>SUM(D69:D70)</f>
        <v/>
      </c>
      <c r="E71" s="5">
        <f>SUM(E69:E70)</f>
        <v/>
      </c>
      <c r="F71" s="5">
        <f>SUM(F69:F70)</f>
        <v/>
      </c>
      <c r="G71" s="5">
        <f>SUM(G69:G70)</f>
        <v/>
      </c>
      <c r="H71" s="5">
        <f>SUM(H69:H70)</f>
        <v/>
      </c>
      <c r="I71" s="5">
        <f>SUM(I69:I70)</f>
        <v/>
      </c>
      <c r="J71" s="5">
        <f>SUM(J69:J70)</f>
        <v/>
      </c>
      <c r="K71" s="5">
        <f>SUM(K69:K70)</f>
        <v/>
      </c>
      <c r="L71" s="5">
        <f>SUM(L69:L70)</f>
        <v/>
      </c>
      <c r="M71" s="5">
        <f>SUM(M69:M70)</f>
        <v/>
      </c>
      <c r="N71" s="5">
        <f>SUM(N69:N70)</f>
        <v/>
      </c>
      <c r="O71" s="5">
        <f>SUM(O69:O70)</f>
        <v/>
      </c>
      <c r="P71" s="5">
        <f>SUM(P69:P70)</f>
        <v/>
      </c>
      <c r="Q71" s="5">
        <f>SUM(Q69:Q70)</f>
        <v/>
      </c>
      <c r="R71" s="5">
        <f>SUM(R69:R70)</f>
        <v/>
      </c>
      <c r="S71" s="5">
        <f>SUM(S69:S70)</f>
        <v/>
      </c>
      <c r="T71" s="5">
        <f>SUM(T69:T70)</f>
        <v/>
      </c>
      <c r="U71" s="5">
        <f>SUM(U69:U70)</f>
        <v/>
      </c>
      <c r="V71" s="5">
        <f>SUM(V69:V70)</f>
        <v/>
      </c>
      <c r="W71" s="5">
        <f>SUM(W69:W70)</f>
        <v/>
      </c>
      <c r="X71" s="5">
        <f>SUM(X69:X70)</f>
        <v/>
      </c>
      <c r="Y71" s="5">
        <f>SUM(Y69:Y70)</f>
        <v/>
      </c>
      <c r="Z71" s="5">
        <f>SUM(Z69:Z70)</f>
        <v/>
      </c>
      <c r="AA71" s="5">
        <f>SUM(AA69:AA70)</f>
        <v/>
      </c>
      <c r="AB71" s="5">
        <f>SUM(AB69:AB70)</f>
        <v/>
      </c>
      <c r="AC71" s="5">
        <f>SUM(AC69:AC70)</f>
        <v/>
      </c>
      <c r="AD71" s="5">
        <f>SUM(AD69:AD70)</f>
        <v/>
      </c>
      <c r="AE71" s="5">
        <f>SUM(AE69:AE70)</f>
        <v/>
      </c>
      <c r="AF71" s="5">
        <f>SUM(AF69:AF70)</f>
        <v/>
      </c>
      <c r="AG71" s="5">
        <f>SUM(AG69:AG70)</f>
        <v/>
      </c>
      <c r="AH71" s="5">
        <f>SUM(AH69:AH70)</f>
        <v/>
      </c>
      <c r="AI71" s="5">
        <f>SUM(AI69:AI70)</f>
        <v/>
      </c>
      <c r="AJ71" s="5">
        <f>SUM(AJ69:AJ70)</f>
        <v/>
      </c>
      <c r="AK71" s="5">
        <f>SUM(AK69:AK70)</f>
        <v/>
      </c>
      <c r="AL71" s="5">
        <f>SUM(AL69:AL70)</f>
        <v/>
      </c>
      <c r="AM71" s="5">
        <f>SUM(AM69:AM70)</f>
        <v/>
      </c>
      <c r="AN71" s="5">
        <f>SUM(AN69:AN70)</f>
        <v/>
      </c>
      <c r="AO71" s="5">
        <f>SUM(AO69:AO70)</f>
        <v/>
      </c>
      <c r="AP71" s="5">
        <f>SUM(AP69:AP70)</f>
        <v/>
      </c>
      <c r="AQ71" s="5">
        <f>SUM(AQ69:AQ70)</f>
        <v/>
      </c>
      <c r="AR71" s="5">
        <f>SUM(AR69:AR70)</f>
        <v/>
      </c>
      <c r="AS71" s="5">
        <f>SUM(AS69:AS70)</f>
        <v/>
      </c>
      <c r="AT71" s="5">
        <f>SUM(AT69:AT70)</f>
        <v/>
      </c>
      <c r="AU71" s="5">
        <f>SUM(AU69:AU70)</f>
        <v/>
      </c>
      <c r="AV71" s="5">
        <f>SUM(AV69:AV70)</f>
        <v/>
      </c>
      <c r="AW71" s="5">
        <f>SUM(AW69:AW70)</f>
        <v/>
      </c>
      <c r="AX71" s="5">
        <f>SUM(AX69:AX70)</f>
        <v/>
      </c>
      <c r="AY71" s="5">
        <f>SUM(AY69:AY70)</f>
        <v/>
      </c>
      <c r="AZ71" s="5">
        <f>SUM(AZ69:AZ70)</f>
        <v/>
      </c>
      <c r="BA71" s="5">
        <f>SUM(BA69:BA70)</f>
        <v/>
      </c>
      <c r="BB71" s="5">
        <f>SUM(BB69:BB70)</f>
        <v/>
      </c>
      <c r="BC71" s="5">
        <f>SUM(BC69:BC70)</f>
        <v/>
      </c>
      <c r="BD71" s="5">
        <f>SUM(BD69:BD70)</f>
        <v/>
      </c>
      <c r="BE71" s="5">
        <f>SUM(BE69:BE70)</f>
        <v/>
      </c>
      <c r="BF71" s="5">
        <f>SUM(BF69:BF70)</f>
        <v/>
      </c>
      <c r="BG71" s="5">
        <f>SUM(BG69:BG70)</f>
        <v/>
      </c>
      <c r="BH71" s="5">
        <f>SUM(BH69:BH70)</f>
        <v/>
      </c>
      <c r="BI71" s="5">
        <f>SUM(BI69:BI70)</f>
        <v/>
      </c>
      <c r="BJ71" s="5">
        <f>SUM(BJ69:BJ70)</f>
        <v/>
      </c>
      <c r="BK71" s="5">
        <f>SUM(BK69:BK70)</f>
        <v/>
      </c>
      <c r="BL71" s="5">
        <f>SUM(BL69:BL70)</f>
        <v/>
      </c>
      <c r="BM71" s="5">
        <f>SUM(BM69:BM70)</f>
        <v/>
      </c>
      <c r="BN71" s="5">
        <f>SUM(BN69:BN70)</f>
        <v/>
      </c>
    </row>
    <row r="72" ht="14.1" customHeight="1">
      <c r="C72" s="417" t="inlineStr">
        <is>
          <t>EBT</t>
        </is>
      </c>
      <c r="D72" s="7">
        <f>SUM(D64,D68,D71)</f>
        <v/>
      </c>
      <c r="E72" s="7">
        <f>SUM(E64,E68,E71)</f>
        <v/>
      </c>
      <c r="F72" s="22">
        <f>SUM(F64,F68,F71)</f>
        <v/>
      </c>
      <c r="G72" s="7">
        <f>SUM(G64,G68,G71)</f>
        <v/>
      </c>
      <c r="H72" s="7">
        <f>SUM(H64,H68,H71)</f>
        <v/>
      </c>
      <c r="I72" s="7">
        <f>SUM(I64,I68,I71)</f>
        <v/>
      </c>
      <c r="J72" s="7">
        <f>SUM(J64,J68,J71)</f>
        <v/>
      </c>
      <c r="K72" s="7">
        <f>SUM(K64,K68,K71)</f>
        <v/>
      </c>
      <c r="L72" s="7">
        <f>SUM(L64,L68,L71)</f>
        <v/>
      </c>
      <c r="M72" s="7">
        <f>SUM(M64,M68,M71)</f>
        <v/>
      </c>
      <c r="N72" s="7">
        <f>SUM(N64,N68,N71)</f>
        <v/>
      </c>
      <c r="O72" s="7">
        <f>SUM(O64,O68,O71)</f>
        <v/>
      </c>
      <c r="P72" s="7">
        <f>SUM(P64,P68,P71)</f>
        <v/>
      </c>
      <c r="Q72" s="7">
        <f>SUM(Q64,Q68,Q71)</f>
        <v/>
      </c>
      <c r="R72" s="7">
        <f>SUM(R64,R68,R71)</f>
        <v/>
      </c>
      <c r="S72" s="7">
        <f>SUM(S64,S68,S71)</f>
        <v/>
      </c>
      <c r="T72" s="7">
        <f>SUM(T64,T68,T71)</f>
        <v/>
      </c>
      <c r="U72" s="7">
        <f>SUM(U64,U68,U71)</f>
        <v/>
      </c>
      <c r="V72" s="7">
        <f>SUM(V64,V68,V71)</f>
        <v/>
      </c>
      <c r="W72" s="7">
        <f>SUM(W64,W68,W71)</f>
        <v/>
      </c>
      <c r="X72" s="7">
        <f>SUM(X64,X68,X71)</f>
        <v/>
      </c>
      <c r="Y72" s="7">
        <f>SUM(Y64,Y68,Y71)</f>
        <v/>
      </c>
      <c r="Z72" s="7">
        <f>SUM(Z64,Z68,Z71)</f>
        <v/>
      </c>
      <c r="AA72" s="7">
        <f>SUM(AA64,AA68,AA71)</f>
        <v/>
      </c>
      <c r="AB72" s="7">
        <f>SUM(AB64,AB68,AB71)</f>
        <v/>
      </c>
      <c r="AC72" s="7">
        <f>SUM(AC64,AC68,AC71)</f>
        <v/>
      </c>
      <c r="AD72" s="7">
        <f>SUM(AD64,AD68,AD71)</f>
        <v/>
      </c>
      <c r="AE72" s="7">
        <f>SUM(AE64,AE68,AE71)</f>
        <v/>
      </c>
      <c r="AF72" s="7">
        <f>SUM(AF64,AF68,AF71)</f>
        <v/>
      </c>
      <c r="AG72" s="7">
        <f>SUM(AG64,AG68,AG71)</f>
        <v/>
      </c>
      <c r="AH72" s="7">
        <f>SUM(AH64,AH68,AH71)</f>
        <v/>
      </c>
      <c r="AI72" s="7">
        <f>SUM(AI64,AI68,AI71)</f>
        <v/>
      </c>
      <c r="AJ72" s="7">
        <f>SUM(AJ64,AJ68,AJ71)</f>
        <v/>
      </c>
      <c r="AK72" s="7">
        <f>SUM(AK64,AK68,AK71)</f>
        <v/>
      </c>
      <c r="AL72" s="7">
        <f>SUM(AL64,AL68,AL71)</f>
        <v/>
      </c>
      <c r="AM72" s="7">
        <f>SUM(AM64,AM68,AM71)</f>
        <v/>
      </c>
      <c r="AN72" s="7">
        <f>SUM(AN64,AN68,AN71)</f>
        <v/>
      </c>
      <c r="AO72" s="7">
        <f>SUM(AO64,AO68,AO71)</f>
        <v/>
      </c>
      <c r="AP72" s="7">
        <f>SUM(AP64,AP68,AP71)</f>
        <v/>
      </c>
      <c r="AQ72" s="7">
        <f>SUM(AQ64,AQ68,AQ71)</f>
        <v/>
      </c>
      <c r="AR72" s="7">
        <f>SUM(AR64,AR68,AR71)</f>
        <v/>
      </c>
      <c r="AS72" s="7">
        <f>SUM(AS64,AS68,AS71)</f>
        <v/>
      </c>
      <c r="AT72" s="7">
        <f>SUM(AT64,AT68,AT71)</f>
        <v/>
      </c>
      <c r="AU72" s="7">
        <f>SUM(AU64,AU68,AU71)</f>
        <v/>
      </c>
      <c r="AV72" s="7">
        <f>SUM(AV64,AV68,AV71)</f>
        <v/>
      </c>
      <c r="AW72" s="7">
        <f>SUM(AW64,AW68,AW71)</f>
        <v/>
      </c>
      <c r="AX72" s="7">
        <f>SUM(AX64,AX68,AX71)</f>
        <v/>
      </c>
      <c r="AY72" s="7">
        <f>SUM(AY64,AY68,AY71)</f>
        <v/>
      </c>
      <c r="AZ72" s="7">
        <f>SUM(AZ64,AZ68,AZ71)</f>
        <v/>
      </c>
      <c r="BA72" s="7">
        <f>SUM(BA64,BA68,BA71)</f>
        <v/>
      </c>
      <c r="BB72" s="7">
        <f>SUM(BB64,BB68,BB71)</f>
        <v/>
      </c>
      <c r="BC72" s="7">
        <f>SUM(BC64,BC68,BC71)</f>
        <v/>
      </c>
      <c r="BD72" s="7">
        <f>SUM(BD64,BD68,BD71)</f>
        <v/>
      </c>
      <c r="BE72" s="7">
        <f>SUM(BE64,BE68,BE71)</f>
        <v/>
      </c>
      <c r="BF72" s="7">
        <f>SUM(BF64,BF68,BF71)</f>
        <v/>
      </c>
      <c r="BG72" s="7">
        <f>SUM(BG64,BG68,BG71)</f>
        <v/>
      </c>
      <c r="BH72" s="7">
        <f>SUM(BH64,BH68,BH71)</f>
        <v/>
      </c>
      <c r="BI72" s="7">
        <f>SUM(BI64,BI68,BI71)</f>
        <v/>
      </c>
      <c r="BJ72" s="7">
        <f>SUM(BJ64,BJ68,BJ71)</f>
        <v/>
      </c>
      <c r="BK72" s="7">
        <f>SUM(BK64,BK68,BK71)</f>
        <v/>
      </c>
      <c r="BL72" s="7">
        <f>SUM(BL64,BL68,BL71)</f>
        <v/>
      </c>
      <c r="BM72" s="7">
        <f>SUM(BM64,BM68,BM71)</f>
        <v/>
      </c>
      <c r="BN72" s="7">
        <f>SUM(BN64,BN68,BN71)</f>
        <v/>
      </c>
    </row>
    <row r="73" ht="14.1" customHeight="1">
      <c r="C73" s="414" t="inlineStr">
        <is>
          <t>Belastingen</t>
        </is>
      </c>
      <c r="D73" s="5">
        <f>Resultaten!D46</f>
        <v/>
      </c>
      <c r="E73" s="5">
        <f>Resultaten!E46</f>
        <v/>
      </c>
      <c r="F73" s="21">
        <f>Resultaten!F46</f>
        <v/>
      </c>
      <c r="G73" s="5" t="n"/>
      <c r="H73" s="5" t="n"/>
      <c r="I73" s="5" t="n"/>
      <c r="J73" s="5" t="n"/>
      <c r="K73" s="5" t="n"/>
      <c r="L73" s="3" t="n"/>
    </row>
    <row r="74" ht="14.1" customHeight="1">
      <c r="C74" s="747" t="inlineStr">
        <is>
          <t>Netto resultaat</t>
        </is>
      </c>
      <c r="D74" s="748">
        <f>SUM(D72:D73)</f>
        <v/>
      </c>
      <c r="E74" s="748">
        <f>SUM(E72:E73)</f>
        <v/>
      </c>
      <c r="F74" s="749">
        <f>SUM(F72:F73)</f>
        <v/>
      </c>
      <c r="G74" s="748">
        <f>SUM(G72:G73)</f>
        <v/>
      </c>
      <c r="H74" s="748">
        <f>SUM(H72:H73)</f>
        <v/>
      </c>
      <c r="I74" s="748">
        <f>SUM(I72:I73)</f>
        <v/>
      </c>
      <c r="J74" s="748">
        <f>SUM(J72:J73)</f>
        <v/>
      </c>
      <c r="K74" s="748">
        <f>SUM(K72:K73)</f>
        <v/>
      </c>
      <c r="L74" s="748">
        <f>SUM(L72:L73)</f>
        <v/>
      </c>
      <c r="M74" s="748">
        <f>SUM(M72:M73)</f>
        <v/>
      </c>
      <c r="N74" s="748">
        <f>SUM(N72:N73)</f>
        <v/>
      </c>
      <c r="O74" s="748">
        <f>SUM(O72:O73)</f>
        <v/>
      </c>
      <c r="P74" s="748">
        <f>SUM(P72:P73)</f>
        <v/>
      </c>
      <c r="Q74" s="748">
        <f>SUM(Q72:Q73)</f>
        <v/>
      </c>
      <c r="R74" s="748">
        <f>SUM(R72:R73)</f>
        <v/>
      </c>
      <c r="S74" s="748">
        <f>SUM(S72:S73)</f>
        <v/>
      </c>
      <c r="T74" s="748">
        <f>SUM(T72:T73)</f>
        <v/>
      </c>
      <c r="U74" s="748">
        <f>SUM(U72:U73)</f>
        <v/>
      </c>
      <c r="V74" s="748">
        <f>SUM(V72:V73)</f>
        <v/>
      </c>
      <c r="W74" s="748">
        <f>SUM(W72:W73)</f>
        <v/>
      </c>
      <c r="X74" s="748">
        <f>SUM(X72:X73)</f>
        <v/>
      </c>
      <c r="Y74" s="748">
        <f>SUM(Y72:Y73)</f>
        <v/>
      </c>
      <c r="Z74" s="748">
        <f>SUM(Z72:Z73)</f>
        <v/>
      </c>
      <c r="AA74" s="748">
        <f>SUM(AA72:AA73)</f>
        <v/>
      </c>
      <c r="AB74" s="748">
        <f>SUM(AB72:AB73)</f>
        <v/>
      </c>
      <c r="AC74" s="748">
        <f>SUM(AC72:AC73)</f>
        <v/>
      </c>
      <c r="AD74" s="748">
        <f>SUM(AD72:AD73)</f>
        <v/>
      </c>
      <c r="AE74" s="748">
        <f>SUM(AE72:AE73)</f>
        <v/>
      </c>
      <c r="AF74" s="748">
        <f>SUM(AF72:AF73)</f>
        <v/>
      </c>
      <c r="AG74" s="748">
        <f>SUM(AG72:AG73)</f>
        <v/>
      </c>
      <c r="AH74" s="748">
        <f>SUM(AH72:AH73)</f>
        <v/>
      </c>
      <c r="AI74" s="748">
        <f>SUM(AI72:AI73)</f>
        <v/>
      </c>
      <c r="AJ74" s="748">
        <f>SUM(AJ72:AJ73)</f>
        <v/>
      </c>
      <c r="AK74" s="748">
        <f>SUM(AK72:AK73)</f>
        <v/>
      </c>
      <c r="AL74" s="748">
        <f>SUM(AL72:AL73)</f>
        <v/>
      </c>
      <c r="AM74" s="748">
        <f>SUM(AM72:AM73)</f>
        <v/>
      </c>
      <c r="AN74" s="748">
        <f>SUM(AN72:AN73)</f>
        <v/>
      </c>
      <c r="AO74" s="748">
        <f>SUM(AO72:AO73)</f>
        <v/>
      </c>
      <c r="AP74" s="748">
        <f>SUM(AP72:AP73)</f>
        <v/>
      </c>
      <c r="AQ74" s="748">
        <f>SUM(AQ72:AQ73)</f>
        <v/>
      </c>
      <c r="AR74" s="748">
        <f>SUM(AR72:AR73)</f>
        <v/>
      </c>
      <c r="AS74" s="748">
        <f>SUM(AS72:AS73)</f>
        <v/>
      </c>
      <c r="AT74" s="748">
        <f>SUM(AT72:AT73)</f>
        <v/>
      </c>
      <c r="AU74" s="748">
        <f>SUM(AU72:AU73)</f>
        <v/>
      </c>
      <c r="AV74" s="748">
        <f>SUM(AV72:AV73)</f>
        <v/>
      </c>
      <c r="AW74" s="748">
        <f>SUM(AW72:AW73)</f>
        <v/>
      </c>
      <c r="AX74" s="748">
        <f>SUM(AX72:AX73)</f>
        <v/>
      </c>
      <c r="AY74" s="748">
        <f>SUM(AY72:AY73)</f>
        <v/>
      </c>
      <c r="AZ74" s="748">
        <f>SUM(AZ72:AZ73)</f>
        <v/>
      </c>
      <c r="BA74" s="748">
        <f>SUM(BA72:BA73)</f>
        <v/>
      </c>
      <c r="BB74" s="748">
        <f>SUM(BB72:BB73)</f>
        <v/>
      </c>
      <c r="BC74" s="748">
        <f>SUM(BC72:BC73)</f>
        <v/>
      </c>
      <c r="BD74" s="748">
        <f>SUM(BD72:BD73)</f>
        <v/>
      </c>
      <c r="BE74" s="748">
        <f>SUM(BE72:BE73)</f>
        <v/>
      </c>
      <c r="BF74" s="748">
        <f>SUM(BF72:BF73)</f>
        <v/>
      </c>
      <c r="BG74" s="748">
        <f>SUM(BG72:BG73)</f>
        <v/>
      </c>
      <c r="BH74" s="748">
        <f>SUM(BH72:BH73)</f>
        <v/>
      </c>
      <c r="BI74" s="748">
        <f>SUM(BI72:BI73)</f>
        <v/>
      </c>
      <c r="BJ74" s="748">
        <f>SUM(BJ72:BJ73)</f>
        <v/>
      </c>
      <c r="BK74" s="748">
        <f>SUM(BK72:BK73)</f>
        <v/>
      </c>
      <c r="BL74" s="748">
        <f>SUM(BL72:BL73)</f>
        <v/>
      </c>
      <c r="BM74" s="748">
        <f>SUM(BM72:BM73)</f>
        <v/>
      </c>
      <c r="BN74" s="748">
        <f>SUM(BN72:BN73)</f>
        <v/>
      </c>
    </row>
    <row r="75" ht="14.1" customHeight="1">
      <c r="C75" s="2" t="inlineStr">
        <is>
          <t>Resultaatverwerking</t>
        </is>
      </c>
      <c r="D75" s="5">
        <f>(Historiek!D225+Historiek!D229+Historiek!D238+Historiek!D240)/1000</f>
        <v/>
      </c>
      <c r="E75" s="5">
        <f>(Historiek!E225+Historiek!E229+Historiek!E238+Historiek!E240)/1000</f>
        <v/>
      </c>
      <c r="F75" s="5">
        <f>(Historiek!F225+Historiek!F229+Historiek!F238+Historiek!F240)/1000</f>
        <v/>
      </c>
      <c r="H75" s="422" t="n"/>
      <c r="I75" s="422" t="n"/>
      <c r="J75" s="3" t="n"/>
      <c r="K75" s="3" t="n"/>
      <c r="L75" s="3" t="n"/>
    </row>
    <row r="76" ht="14.1" customHeight="1">
      <c r="C76" s="24" t="inlineStr">
        <is>
          <t>Netto resultaat na resultaatverwerking</t>
        </is>
      </c>
      <c r="D76" s="420">
        <f>SUM(D74:D75)</f>
        <v/>
      </c>
      <c r="E76" s="420">
        <f>SUM(E74:E75)</f>
        <v/>
      </c>
      <c r="F76" s="420">
        <f>SUM(F74:F75)</f>
        <v/>
      </c>
      <c r="G76" s="420">
        <f>SUM(G74:G75)</f>
        <v/>
      </c>
      <c r="H76" s="420">
        <f>SUM(H74:H75)</f>
        <v/>
      </c>
      <c r="I76" s="420">
        <f>SUM(I74:I75)</f>
        <v/>
      </c>
      <c r="J76" s="420">
        <f>SUM(J74:J75)</f>
        <v/>
      </c>
      <c r="K76" s="420">
        <f>SUM(K74:K75)</f>
        <v/>
      </c>
      <c r="L76" s="420">
        <f>SUM(L74:L75)</f>
        <v/>
      </c>
      <c r="M76" s="420">
        <f>SUM(M74:M75)</f>
        <v/>
      </c>
      <c r="N76" s="420">
        <f>SUM(N74:N75)</f>
        <v/>
      </c>
      <c r="O76" s="420">
        <f>SUM(O74:O75)</f>
        <v/>
      </c>
      <c r="P76" s="420">
        <f>SUM(P74:P75)</f>
        <v/>
      </c>
      <c r="Q76" s="420">
        <f>SUM(Q74:Q75)</f>
        <v/>
      </c>
      <c r="R76" s="420">
        <f>SUM(R74:R75)</f>
        <v/>
      </c>
      <c r="S76" s="420">
        <f>SUM(S74:S75)</f>
        <v/>
      </c>
      <c r="T76" s="420">
        <f>SUM(T74:T75)</f>
        <v/>
      </c>
      <c r="U76" s="420">
        <f>SUM(U74:U75)</f>
        <v/>
      </c>
      <c r="V76" s="420">
        <f>SUM(V74:V75)</f>
        <v/>
      </c>
      <c r="W76" s="420">
        <f>SUM(W74:W75)</f>
        <v/>
      </c>
      <c r="X76" s="420">
        <f>SUM(X74:X75)</f>
        <v/>
      </c>
      <c r="Y76" s="420">
        <f>SUM(Y74:Y75)</f>
        <v/>
      </c>
      <c r="Z76" s="420">
        <f>SUM(Z74:Z75)</f>
        <v/>
      </c>
      <c r="AA76" s="420">
        <f>SUM(AA74:AA75)</f>
        <v/>
      </c>
      <c r="AB76" s="420">
        <f>SUM(AB74:AB75)</f>
        <v/>
      </c>
      <c r="AC76" s="420">
        <f>SUM(AC74:AC75)</f>
        <v/>
      </c>
      <c r="AD76" s="420">
        <f>SUM(AD74:AD75)</f>
        <v/>
      </c>
      <c r="AE76" s="420">
        <f>SUM(AE74:AE75)</f>
        <v/>
      </c>
      <c r="AF76" s="420">
        <f>SUM(AF74:AF75)</f>
        <v/>
      </c>
      <c r="AG76" s="420">
        <f>SUM(AG74:AG75)</f>
        <v/>
      </c>
      <c r="AH76" s="420">
        <f>SUM(AH74:AH75)</f>
        <v/>
      </c>
      <c r="AI76" s="420">
        <f>SUM(AI74:AI75)</f>
        <v/>
      </c>
      <c r="AJ76" s="420">
        <f>SUM(AJ74:AJ75)</f>
        <v/>
      </c>
      <c r="AK76" s="420">
        <f>SUM(AK74:AK75)</f>
        <v/>
      </c>
      <c r="AL76" s="420">
        <f>SUM(AL74:AL75)</f>
        <v/>
      </c>
      <c r="AM76" s="420">
        <f>SUM(AM74:AM75)</f>
        <v/>
      </c>
      <c r="AN76" s="420">
        <f>SUM(AN74:AN75)</f>
        <v/>
      </c>
      <c r="AO76" s="420">
        <f>SUM(AO74:AO75)</f>
        <v/>
      </c>
      <c r="AP76" s="420">
        <f>SUM(AP74:AP75)</f>
        <v/>
      </c>
      <c r="AQ76" s="420">
        <f>SUM(AQ74:AQ75)</f>
        <v/>
      </c>
      <c r="AR76" s="420">
        <f>SUM(AR74:AR75)</f>
        <v/>
      </c>
      <c r="AS76" s="420">
        <f>SUM(AS74:AS75)</f>
        <v/>
      </c>
      <c r="AT76" s="420">
        <f>SUM(AT74:AT75)</f>
        <v/>
      </c>
      <c r="AU76" s="420">
        <f>SUM(AU74:AU75)</f>
        <v/>
      </c>
      <c r="AV76" s="420">
        <f>SUM(AV74:AV75)</f>
        <v/>
      </c>
      <c r="AW76" s="420">
        <f>SUM(AW74:AW75)</f>
        <v/>
      </c>
      <c r="AX76" s="420">
        <f>SUM(AX74:AX75)</f>
        <v/>
      </c>
      <c r="AY76" s="420">
        <f>SUM(AY74:AY75)</f>
        <v/>
      </c>
      <c r="AZ76" s="420">
        <f>SUM(AZ74:AZ75)</f>
        <v/>
      </c>
      <c r="BA76" s="420">
        <f>SUM(BA74:BA75)</f>
        <v/>
      </c>
      <c r="BB76" s="420">
        <f>SUM(BB74:BB75)</f>
        <v/>
      </c>
      <c r="BC76" s="420">
        <f>SUM(BC74:BC75)</f>
        <v/>
      </c>
      <c r="BD76" s="420">
        <f>SUM(BD74:BD75)</f>
        <v/>
      </c>
      <c r="BE76" s="420">
        <f>SUM(BE74:BE75)</f>
        <v/>
      </c>
      <c r="BF76" s="420">
        <f>SUM(BF74:BF75)</f>
        <v/>
      </c>
      <c r="BG76" s="420">
        <f>SUM(BG74:BG75)</f>
        <v/>
      </c>
      <c r="BH76" s="420">
        <f>SUM(BH74:BH75)</f>
        <v/>
      </c>
      <c r="BI76" s="420">
        <f>SUM(BI74:BI75)</f>
        <v/>
      </c>
      <c r="BJ76" s="420">
        <f>SUM(BJ74:BJ75)</f>
        <v/>
      </c>
      <c r="BK76" s="420">
        <f>SUM(BK74:BK75)</f>
        <v/>
      </c>
      <c r="BL76" s="420">
        <f>SUM(BL74:BL75)</f>
        <v/>
      </c>
      <c r="BM76" s="420">
        <f>SUM(BM74:BM75)</f>
        <v/>
      </c>
      <c r="BN76" s="420">
        <f>SUM(BN74:BN75)</f>
        <v/>
      </c>
    </row>
    <row r="77" ht="14.1" customHeight="1">
      <c r="D77" s="422" t="n"/>
      <c r="E77" s="422" t="n"/>
      <c r="F77" s="26" t="n"/>
      <c r="G77" s="422" t="n"/>
      <c r="H77" s="422" t="n"/>
      <c r="I77" s="422" t="n"/>
      <c r="J77" s="3" t="n"/>
      <c r="K77" s="3" t="n"/>
      <c r="L77" s="3" t="n"/>
    </row>
    <row r="78" outlineLevel="1" ht="14.1" customHeight="1">
      <c r="A78" s="10">
        <f>SUM(D78:BN78)</f>
        <v/>
      </c>
      <c r="C78" s="8" t="inlineStr">
        <is>
          <t>Check</t>
        </is>
      </c>
      <c r="D78" s="8">
        <f>D74-Resultaten!D48</f>
        <v/>
      </c>
      <c r="E78" s="8">
        <f>E74-Resultaten!E48</f>
        <v/>
      </c>
      <c r="F78" s="20">
        <f>F74-Resultaten!F48</f>
        <v/>
      </c>
      <c r="G78" s="8" t="n"/>
      <c r="H78" s="8" t="n"/>
      <c r="I78" s="8" t="n"/>
      <c r="J78" s="3" t="n"/>
      <c r="K78" s="3" t="n"/>
      <c r="L78" s="3" t="n"/>
    </row>
    <row r="79" ht="14.1" customHeight="1">
      <c r="D79" s="422" t="n"/>
      <c r="E79" s="422" t="n"/>
      <c r="F79" s="26" t="n"/>
      <c r="G79" s="422" t="n"/>
      <c r="H79" s="422" t="n"/>
      <c r="I79" s="422" t="n"/>
      <c r="J79" s="3" t="n"/>
      <c r="K79" s="3" t="n"/>
      <c r="L79" s="3" t="n"/>
    </row>
    <row r="80">
      <c r="C80" s="406">
        <f>"Cashflow statement - "&amp;Historiek!$A$2</f>
        <v/>
      </c>
      <c r="D80" s="407" t="n"/>
      <c r="E80" s="407" t="n"/>
      <c r="F80" s="13" t="n"/>
      <c r="G80" s="407" t="n"/>
      <c r="H80" s="407" t="n"/>
      <c r="I80" s="407" t="n"/>
    </row>
    <row r="81">
      <c r="C81" s="738">
        <f>C$4</f>
        <v/>
      </c>
      <c r="D81" s="741">
        <f>D$4</f>
        <v/>
      </c>
      <c r="E81" s="741">
        <f>E$4</f>
        <v/>
      </c>
      <c r="F81" s="743">
        <f>F$4</f>
        <v/>
      </c>
      <c r="G81" s="741">
        <f>G$4</f>
        <v/>
      </c>
      <c r="H81" s="741">
        <f>H$4</f>
        <v/>
      </c>
      <c r="I81" s="741">
        <f>I$4</f>
        <v/>
      </c>
      <c r="J81" s="741">
        <f>J$4</f>
        <v/>
      </c>
      <c r="K81" s="741">
        <f>K$4</f>
        <v/>
      </c>
      <c r="L81" s="741">
        <f>L$4</f>
        <v/>
      </c>
      <c r="M81" s="741">
        <f>M$4</f>
        <v/>
      </c>
      <c r="N81" s="741">
        <f>N$4</f>
        <v/>
      </c>
      <c r="O81" s="741">
        <f>O$4</f>
        <v/>
      </c>
      <c r="P81" s="741">
        <f>P$4</f>
        <v/>
      </c>
      <c r="Q81" s="741">
        <f>Q$4</f>
        <v/>
      </c>
      <c r="R81" s="741">
        <f>R$4</f>
        <v/>
      </c>
      <c r="S81" s="741">
        <f>S$4</f>
        <v/>
      </c>
      <c r="T81" s="741">
        <f>T$4</f>
        <v/>
      </c>
      <c r="U81" s="741">
        <f>U$4</f>
        <v/>
      </c>
      <c r="V81" s="741">
        <f>V$4</f>
        <v/>
      </c>
      <c r="W81" s="741">
        <f>W$4</f>
        <v/>
      </c>
      <c r="X81" s="741">
        <f>X$4</f>
        <v/>
      </c>
      <c r="Y81" s="741">
        <f>Y$4</f>
        <v/>
      </c>
      <c r="Z81" s="741">
        <f>Z$4</f>
        <v/>
      </c>
      <c r="AA81" s="741">
        <f>AA$4</f>
        <v/>
      </c>
      <c r="AB81" s="741">
        <f>AB$4</f>
        <v/>
      </c>
      <c r="AC81" s="741">
        <f>AC$4</f>
        <v/>
      </c>
      <c r="AD81" s="741">
        <f>AD$4</f>
        <v/>
      </c>
      <c r="AE81" s="741">
        <f>AE$4</f>
        <v/>
      </c>
      <c r="AF81" s="741">
        <f>AF$4</f>
        <v/>
      </c>
      <c r="AG81" s="741">
        <f>AG$4</f>
        <v/>
      </c>
      <c r="AH81" s="741">
        <f>AH$4</f>
        <v/>
      </c>
      <c r="AI81" s="741">
        <f>AI$4</f>
        <v/>
      </c>
      <c r="AJ81" s="741">
        <f>AJ$4</f>
        <v/>
      </c>
      <c r="AK81" s="741">
        <f>AK$4</f>
        <v/>
      </c>
      <c r="AL81" s="741">
        <f>AL$4</f>
        <v/>
      </c>
      <c r="AM81" s="741">
        <f>AM$4</f>
        <v/>
      </c>
      <c r="AN81" s="741">
        <f>AN$4</f>
        <v/>
      </c>
      <c r="AO81" s="741">
        <f>AO$4</f>
        <v/>
      </c>
      <c r="AP81" s="741">
        <f>AP$4</f>
        <v/>
      </c>
      <c r="AQ81" s="741">
        <f>AQ$4</f>
        <v/>
      </c>
      <c r="AR81" s="741">
        <f>AR$4</f>
        <v/>
      </c>
      <c r="AS81" s="741">
        <f>AS$4</f>
        <v/>
      </c>
      <c r="AT81" s="741">
        <f>AT$4</f>
        <v/>
      </c>
      <c r="AU81" s="741">
        <f>AU$4</f>
        <v/>
      </c>
      <c r="AV81" s="741">
        <f>AV$4</f>
        <v/>
      </c>
      <c r="AW81" s="741">
        <f>AW$4</f>
        <v/>
      </c>
      <c r="AX81" s="741">
        <f>AX$4</f>
        <v/>
      </c>
      <c r="AY81" s="741">
        <f>AY$4</f>
        <v/>
      </c>
      <c r="AZ81" s="741">
        <f>AZ$4</f>
        <v/>
      </c>
      <c r="BA81" s="741">
        <f>BA$4</f>
        <v/>
      </c>
      <c r="BB81" s="741">
        <f>BB$4</f>
        <v/>
      </c>
      <c r="BC81" s="741">
        <f>BC$4</f>
        <v/>
      </c>
      <c r="BD81" s="741">
        <f>BD$4</f>
        <v/>
      </c>
      <c r="BE81" s="741">
        <f>BE$4</f>
        <v/>
      </c>
      <c r="BF81" s="741">
        <f>BF$4</f>
        <v/>
      </c>
      <c r="BG81" s="741">
        <f>BG$4</f>
        <v/>
      </c>
      <c r="BH81" s="741">
        <f>BH$4</f>
        <v/>
      </c>
      <c r="BI81" s="741">
        <f>BI$4</f>
        <v/>
      </c>
      <c r="BJ81" s="741">
        <f>BJ$4</f>
        <v/>
      </c>
      <c r="BK81" s="741">
        <f>BK$4</f>
        <v/>
      </c>
      <c r="BL81" s="741">
        <f>BL$4</f>
        <v/>
      </c>
      <c r="BM81" s="741">
        <f>BM$4</f>
        <v/>
      </c>
      <c r="BN81" s="741">
        <f>BN$4</f>
        <v/>
      </c>
    </row>
    <row r="82">
      <c r="C82" s="16" t="inlineStr">
        <is>
          <t>Netto resultaat</t>
        </is>
      </c>
      <c r="D82" s="16" t="n"/>
      <c r="E82" s="16">
        <f>E74</f>
        <v/>
      </c>
      <c r="F82" s="17">
        <f>F74</f>
        <v/>
      </c>
      <c r="G82" s="16">
        <f>G74</f>
        <v/>
      </c>
      <c r="H82" s="16">
        <f>H74</f>
        <v/>
      </c>
      <c r="I82" s="16">
        <f>I74</f>
        <v/>
      </c>
      <c r="J82" s="16">
        <f>J74</f>
        <v/>
      </c>
      <c r="K82" s="16">
        <f>K74</f>
        <v/>
      </c>
      <c r="L82" s="16">
        <f>L74</f>
        <v/>
      </c>
      <c r="M82" s="16">
        <f>M74</f>
        <v/>
      </c>
      <c r="N82" s="16">
        <f>N74</f>
        <v/>
      </c>
      <c r="O82" s="16">
        <f>O74</f>
        <v/>
      </c>
      <c r="P82" s="16">
        <f>P74</f>
        <v/>
      </c>
      <c r="Q82" s="16">
        <f>Q74</f>
        <v/>
      </c>
      <c r="R82" s="16">
        <f>R74</f>
        <v/>
      </c>
      <c r="S82" s="16">
        <f>S74</f>
        <v/>
      </c>
      <c r="T82" s="16">
        <f>T74</f>
        <v/>
      </c>
      <c r="U82" s="16">
        <f>U74</f>
        <v/>
      </c>
      <c r="V82" s="16">
        <f>V74</f>
        <v/>
      </c>
      <c r="W82" s="16">
        <f>W74</f>
        <v/>
      </c>
      <c r="X82" s="16">
        <f>X74</f>
        <v/>
      </c>
      <c r="Y82" s="16">
        <f>Y74</f>
        <v/>
      </c>
      <c r="Z82" s="16">
        <f>Z74</f>
        <v/>
      </c>
      <c r="AA82" s="16">
        <f>AA74</f>
        <v/>
      </c>
      <c r="AB82" s="16">
        <f>AB74</f>
        <v/>
      </c>
      <c r="AC82" s="16">
        <f>AC74</f>
        <v/>
      </c>
      <c r="AD82" s="16">
        <f>AD74</f>
        <v/>
      </c>
      <c r="AE82" s="16">
        <f>AE74</f>
        <v/>
      </c>
      <c r="AF82" s="16">
        <f>AF74</f>
        <v/>
      </c>
      <c r="AG82" s="16">
        <f>AG74</f>
        <v/>
      </c>
      <c r="AH82" s="16">
        <f>AH74</f>
        <v/>
      </c>
      <c r="AI82" s="16">
        <f>AI74</f>
        <v/>
      </c>
      <c r="AJ82" s="16">
        <f>AJ74</f>
        <v/>
      </c>
      <c r="AK82" s="16">
        <f>AK74</f>
        <v/>
      </c>
      <c r="AL82" s="16">
        <f>AL74</f>
        <v/>
      </c>
      <c r="AM82" s="16">
        <f>AM74</f>
        <v/>
      </c>
      <c r="AN82" s="16">
        <f>AN74</f>
        <v/>
      </c>
      <c r="AO82" s="16">
        <f>AO74</f>
        <v/>
      </c>
      <c r="AP82" s="16">
        <f>AP74</f>
        <v/>
      </c>
      <c r="AQ82" s="16">
        <f>AQ74</f>
        <v/>
      </c>
      <c r="AR82" s="16">
        <f>AR74</f>
        <v/>
      </c>
      <c r="AS82" s="16">
        <f>AS74</f>
        <v/>
      </c>
      <c r="AT82" s="16">
        <f>AT74</f>
        <v/>
      </c>
      <c r="AU82" s="16">
        <f>AU74</f>
        <v/>
      </c>
      <c r="AV82" s="16">
        <f>AV74</f>
        <v/>
      </c>
      <c r="AW82" s="16">
        <f>AW74</f>
        <v/>
      </c>
      <c r="AX82" s="16">
        <f>AX74</f>
        <v/>
      </c>
      <c r="AY82" s="16">
        <f>AY74</f>
        <v/>
      </c>
      <c r="AZ82" s="16">
        <f>AZ74</f>
        <v/>
      </c>
      <c r="BA82" s="16">
        <f>BA74</f>
        <v/>
      </c>
      <c r="BB82" s="16">
        <f>BB74</f>
        <v/>
      </c>
      <c r="BC82" s="16">
        <f>BC74</f>
        <v/>
      </c>
      <c r="BD82" s="16">
        <f>BD74</f>
        <v/>
      </c>
      <c r="BE82" s="16">
        <f>BE74</f>
        <v/>
      </c>
      <c r="BF82" s="16">
        <f>BF74</f>
        <v/>
      </c>
      <c r="BG82" s="16">
        <f>BG74</f>
        <v/>
      </c>
      <c r="BH82" s="16">
        <f>BH74</f>
        <v/>
      </c>
      <c r="BI82" s="16">
        <f>BI74</f>
        <v/>
      </c>
      <c r="BJ82" s="16">
        <f>BJ74</f>
        <v/>
      </c>
      <c r="BK82" s="16">
        <f>BK74</f>
        <v/>
      </c>
      <c r="BL82" s="16">
        <f>BL74</f>
        <v/>
      </c>
      <c r="BM82" s="16">
        <f>BM74</f>
        <v/>
      </c>
      <c r="BN82" s="16">
        <f>BN74</f>
        <v/>
      </c>
    </row>
    <row r="83">
      <c r="C83" s="418" t="inlineStr">
        <is>
          <t>+ Afschrijvingen &amp; waardeverminderingen</t>
        </is>
      </c>
      <c r="D83" s="4" t="n"/>
      <c r="E83" s="4">
        <f>-E63</f>
        <v/>
      </c>
      <c r="F83" s="14">
        <f>-F63</f>
        <v/>
      </c>
      <c r="G83" s="14">
        <f>-G63</f>
        <v/>
      </c>
      <c r="H83" s="14">
        <f>-H63</f>
        <v/>
      </c>
      <c r="I83" s="14">
        <f>-I63</f>
        <v/>
      </c>
      <c r="J83" s="14">
        <f>-J63</f>
        <v/>
      </c>
      <c r="K83" s="14">
        <f>-K63</f>
        <v/>
      </c>
      <c r="L83" s="14">
        <f>-L63</f>
        <v/>
      </c>
      <c r="M83" s="14">
        <f>-M63</f>
        <v/>
      </c>
      <c r="N83" s="14">
        <f>-N63</f>
        <v/>
      </c>
      <c r="O83" s="14">
        <f>-O63</f>
        <v/>
      </c>
      <c r="P83" s="14">
        <f>-P63</f>
        <v/>
      </c>
      <c r="Q83" s="14">
        <f>-Q63</f>
        <v/>
      </c>
      <c r="R83" s="14">
        <f>-R63</f>
        <v/>
      </c>
      <c r="S83" s="14">
        <f>-S63</f>
        <v/>
      </c>
      <c r="T83" s="14">
        <f>-T63</f>
        <v/>
      </c>
      <c r="U83" s="14">
        <f>-U63</f>
        <v/>
      </c>
      <c r="V83" s="14">
        <f>-V63</f>
        <v/>
      </c>
      <c r="W83" s="14">
        <f>-W63</f>
        <v/>
      </c>
      <c r="X83" s="14">
        <f>-X63</f>
        <v/>
      </c>
      <c r="Y83" s="14">
        <f>-Y63</f>
        <v/>
      </c>
      <c r="Z83" s="14">
        <f>-Z63</f>
        <v/>
      </c>
      <c r="AA83" s="14">
        <f>-AA63</f>
        <v/>
      </c>
      <c r="AB83" s="14">
        <f>-AB63</f>
        <v/>
      </c>
      <c r="AC83" s="14">
        <f>-AC63</f>
        <v/>
      </c>
      <c r="AD83" s="14">
        <f>-AD63</f>
        <v/>
      </c>
      <c r="AE83" s="14">
        <f>-AE63</f>
        <v/>
      </c>
      <c r="AF83" s="14">
        <f>-AF63</f>
        <v/>
      </c>
      <c r="AG83" s="14">
        <f>-AG63</f>
        <v/>
      </c>
      <c r="AH83" s="14">
        <f>-AH63</f>
        <v/>
      </c>
      <c r="AI83" s="14">
        <f>-AI63</f>
        <v/>
      </c>
      <c r="AJ83" s="14">
        <f>-AJ63</f>
        <v/>
      </c>
      <c r="AK83" s="14">
        <f>-AK63</f>
        <v/>
      </c>
      <c r="AL83" s="14">
        <f>-AL63</f>
        <v/>
      </c>
      <c r="AM83" s="14">
        <f>-AM63</f>
        <v/>
      </c>
      <c r="AN83" s="14">
        <f>-AN63</f>
        <v/>
      </c>
      <c r="AO83" s="14">
        <f>-AO63</f>
        <v/>
      </c>
      <c r="AP83" s="14">
        <f>-AP63</f>
        <v/>
      </c>
      <c r="AQ83" s="14">
        <f>-AQ63</f>
        <v/>
      </c>
      <c r="AR83" s="14">
        <f>-AR63</f>
        <v/>
      </c>
      <c r="AS83" s="14">
        <f>-AS63</f>
        <v/>
      </c>
      <c r="AT83" s="14">
        <f>-AT63</f>
        <v/>
      </c>
      <c r="AU83" s="14">
        <f>-AU63</f>
        <v/>
      </c>
      <c r="AV83" s="14">
        <f>-AV63</f>
        <v/>
      </c>
      <c r="AW83" s="14">
        <f>-AW63</f>
        <v/>
      </c>
      <c r="AX83" s="14">
        <f>-AX63</f>
        <v/>
      </c>
      <c r="AY83" s="14">
        <f>-AY63</f>
        <v/>
      </c>
      <c r="AZ83" s="14">
        <f>-AZ63</f>
        <v/>
      </c>
      <c r="BA83" s="14">
        <f>-BA63</f>
        <v/>
      </c>
      <c r="BB83" s="14">
        <f>-BB63</f>
        <v/>
      </c>
      <c r="BC83" s="14">
        <f>-BC63</f>
        <v/>
      </c>
      <c r="BD83" s="14">
        <f>-BD63</f>
        <v/>
      </c>
      <c r="BE83" s="14">
        <f>-BE63</f>
        <v/>
      </c>
      <c r="BF83" s="14">
        <f>-BF63</f>
        <v/>
      </c>
      <c r="BG83" s="14">
        <f>-BG63</f>
        <v/>
      </c>
      <c r="BH83" s="14">
        <f>-BH63</f>
        <v/>
      </c>
      <c r="BI83" s="14">
        <f>-BI63</f>
        <v/>
      </c>
      <c r="BJ83" s="14">
        <f>-BJ63</f>
        <v/>
      </c>
      <c r="BK83" s="14">
        <f>-BK63</f>
        <v/>
      </c>
      <c r="BL83" s="14">
        <f>-BL63</f>
        <v/>
      </c>
      <c r="BM83" s="14">
        <f>-BM63</f>
        <v/>
      </c>
      <c r="BN83" s="14">
        <f>-BN63</f>
        <v/>
      </c>
    </row>
    <row r="84">
      <c r="C84" s="419" t="inlineStr">
        <is>
          <t>Δ werkkapitaal</t>
        </is>
      </c>
      <c r="D84" s="4" t="n"/>
      <c r="E84" s="4">
        <f>E113</f>
        <v/>
      </c>
      <c r="F84" s="4">
        <f>F113</f>
        <v/>
      </c>
      <c r="G84" s="4">
        <f>G113</f>
        <v/>
      </c>
      <c r="H84" s="4">
        <f>H113</f>
        <v/>
      </c>
      <c r="I84" s="4">
        <f>I113</f>
        <v/>
      </c>
      <c r="J84" s="4">
        <f>J113</f>
        <v/>
      </c>
      <c r="K84" s="4">
        <f>K113</f>
        <v/>
      </c>
      <c r="L84" s="4">
        <f>L113</f>
        <v/>
      </c>
      <c r="M84" s="4">
        <f>M113</f>
        <v/>
      </c>
      <c r="N84" s="4">
        <f>N113</f>
        <v/>
      </c>
      <c r="O84" s="4">
        <f>O113</f>
        <v/>
      </c>
      <c r="P84" s="4">
        <f>P113</f>
        <v/>
      </c>
      <c r="Q84" s="4">
        <f>Q113</f>
        <v/>
      </c>
      <c r="R84" s="4">
        <f>R113</f>
        <v/>
      </c>
      <c r="S84" s="4">
        <f>S113</f>
        <v/>
      </c>
      <c r="T84" s="4">
        <f>T113</f>
        <v/>
      </c>
      <c r="U84" s="4">
        <f>U113</f>
        <v/>
      </c>
      <c r="V84" s="4">
        <f>V113</f>
        <v/>
      </c>
      <c r="W84" s="4">
        <f>W113</f>
        <v/>
      </c>
      <c r="X84" s="4">
        <f>X113</f>
        <v/>
      </c>
      <c r="Y84" s="4">
        <f>Y113</f>
        <v/>
      </c>
      <c r="Z84" s="4">
        <f>Z113</f>
        <v/>
      </c>
      <c r="AA84" s="4">
        <f>AA113</f>
        <v/>
      </c>
      <c r="AB84" s="4">
        <f>AB113</f>
        <v/>
      </c>
      <c r="AC84" s="4">
        <f>AC113</f>
        <v/>
      </c>
      <c r="AD84" s="4">
        <f>AD113</f>
        <v/>
      </c>
      <c r="AE84" s="4">
        <f>AE113</f>
        <v/>
      </c>
      <c r="AF84" s="4">
        <f>AF113</f>
        <v/>
      </c>
      <c r="AG84" s="4">
        <f>AG113</f>
        <v/>
      </c>
      <c r="AH84" s="4">
        <f>AH113</f>
        <v/>
      </c>
      <c r="AI84" s="4">
        <f>AI113</f>
        <v/>
      </c>
      <c r="AJ84" s="4">
        <f>AJ113</f>
        <v/>
      </c>
      <c r="AK84" s="4">
        <f>AK113</f>
        <v/>
      </c>
      <c r="AL84" s="4">
        <f>AL113</f>
        <v/>
      </c>
      <c r="AM84" s="4">
        <f>AM113</f>
        <v/>
      </c>
      <c r="AN84" s="4">
        <f>AN113</f>
        <v/>
      </c>
      <c r="AO84" s="4">
        <f>AO113</f>
        <v/>
      </c>
      <c r="AP84" s="4">
        <f>AP113</f>
        <v/>
      </c>
      <c r="AQ84" s="4">
        <f>AQ113</f>
        <v/>
      </c>
      <c r="AR84" s="4">
        <f>AR113</f>
        <v/>
      </c>
      <c r="AS84" s="4">
        <f>AS113</f>
        <v/>
      </c>
      <c r="AT84" s="4">
        <f>AT113</f>
        <v/>
      </c>
      <c r="AU84" s="4">
        <f>AU113</f>
        <v/>
      </c>
      <c r="AV84" s="4">
        <f>AV113</f>
        <v/>
      </c>
      <c r="AW84" s="4">
        <f>AW113</f>
        <v/>
      </c>
      <c r="AX84" s="4">
        <f>AX113</f>
        <v/>
      </c>
      <c r="AY84" s="4">
        <f>AY113</f>
        <v/>
      </c>
      <c r="AZ84" s="4">
        <f>AZ113</f>
        <v/>
      </c>
      <c r="BA84" s="4">
        <f>BA113</f>
        <v/>
      </c>
      <c r="BB84" s="4">
        <f>BB113</f>
        <v/>
      </c>
      <c r="BC84" s="4">
        <f>BC113</f>
        <v/>
      </c>
      <c r="BD84" s="4">
        <f>BD113</f>
        <v/>
      </c>
      <c r="BE84" s="4">
        <f>BE113</f>
        <v/>
      </c>
      <c r="BF84" s="4">
        <f>BF113</f>
        <v/>
      </c>
      <c r="BG84" s="4">
        <f>BG113</f>
        <v/>
      </c>
      <c r="BH84" s="4">
        <f>BH113</f>
        <v/>
      </c>
      <c r="BI84" s="4">
        <f>BI113</f>
        <v/>
      </c>
      <c r="BJ84" s="4">
        <f>BJ113</f>
        <v/>
      </c>
      <c r="BK84" s="4">
        <f>BK113</f>
        <v/>
      </c>
      <c r="BL84" s="4">
        <f>BL113</f>
        <v/>
      </c>
      <c r="BM84" s="4">
        <f>BM113</f>
        <v/>
      </c>
      <c r="BN84" s="4">
        <f>BN113</f>
        <v/>
      </c>
    </row>
    <row r="85">
      <c r="C85" s="410" t="inlineStr">
        <is>
          <t>Cashflow uit operationele activiteiten</t>
        </is>
      </c>
      <c r="D85" s="410" t="n"/>
      <c r="E85" s="410">
        <f>SUM(E82:E84)</f>
        <v/>
      </c>
      <c r="F85" s="410">
        <f>SUM(F82:F84)</f>
        <v/>
      </c>
      <c r="G85" s="410">
        <f>SUM(G82:G84)</f>
        <v/>
      </c>
      <c r="H85" s="410">
        <f>SUM(H82:H84)</f>
        <v/>
      </c>
      <c r="I85" s="410">
        <f>SUM(I82:I84)</f>
        <v/>
      </c>
      <c r="J85" s="410">
        <f>SUM(J82:J84)</f>
        <v/>
      </c>
      <c r="K85" s="410">
        <f>SUM(K82:K84)</f>
        <v/>
      </c>
      <c r="L85" s="410">
        <f>SUM(L82:L84)</f>
        <v/>
      </c>
      <c r="M85" s="410">
        <f>SUM(M82:M84)</f>
        <v/>
      </c>
      <c r="N85" s="410">
        <f>SUM(N82:N84)</f>
        <v/>
      </c>
      <c r="O85" s="410">
        <f>SUM(O82:O84)</f>
        <v/>
      </c>
      <c r="P85" s="410">
        <f>SUM(P82:P84)</f>
        <v/>
      </c>
      <c r="Q85" s="410">
        <f>SUM(Q82:Q84)</f>
        <v/>
      </c>
      <c r="R85" s="410">
        <f>SUM(R82:R84)</f>
        <v/>
      </c>
      <c r="S85" s="410">
        <f>SUM(S82:S84)</f>
        <v/>
      </c>
      <c r="T85" s="410">
        <f>SUM(T82:T84)</f>
        <v/>
      </c>
      <c r="U85" s="410">
        <f>SUM(U82:U84)</f>
        <v/>
      </c>
      <c r="V85" s="410">
        <f>SUM(V82:V84)</f>
        <v/>
      </c>
      <c r="W85" s="410">
        <f>SUM(W82:W84)</f>
        <v/>
      </c>
      <c r="X85" s="410">
        <f>SUM(X82:X84)</f>
        <v/>
      </c>
      <c r="Y85" s="410">
        <f>SUM(Y82:Y84)</f>
        <v/>
      </c>
      <c r="Z85" s="410">
        <f>SUM(Z82:Z84)</f>
        <v/>
      </c>
      <c r="AA85" s="410">
        <f>SUM(AA82:AA84)</f>
        <v/>
      </c>
      <c r="AB85" s="410">
        <f>SUM(AB82:AB84)</f>
        <v/>
      </c>
      <c r="AC85" s="410">
        <f>SUM(AC82:AC84)</f>
        <v/>
      </c>
      <c r="AD85" s="410">
        <f>SUM(AD82:AD84)</f>
        <v/>
      </c>
      <c r="AE85" s="410">
        <f>SUM(AE82:AE84)</f>
        <v/>
      </c>
      <c r="AF85" s="410">
        <f>SUM(AF82:AF84)</f>
        <v/>
      </c>
      <c r="AG85" s="410">
        <f>SUM(AG82:AG84)</f>
        <v/>
      </c>
      <c r="AH85" s="410">
        <f>SUM(AH82:AH84)</f>
        <v/>
      </c>
      <c r="AI85" s="410">
        <f>SUM(AI82:AI84)</f>
        <v/>
      </c>
      <c r="AJ85" s="410">
        <f>SUM(AJ82:AJ84)</f>
        <v/>
      </c>
      <c r="AK85" s="410">
        <f>SUM(AK82:AK84)</f>
        <v/>
      </c>
      <c r="AL85" s="410">
        <f>SUM(AL82:AL84)</f>
        <v/>
      </c>
      <c r="AM85" s="410">
        <f>SUM(AM82:AM84)</f>
        <v/>
      </c>
      <c r="AN85" s="410">
        <f>SUM(AN82:AN84)</f>
        <v/>
      </c>
      <c r="AO85" s="410">
        <f>SUM(AO82:AO84)</f>
        <v/>
      </c>
      <c r="AP85" s="410">
        <f>SUM(AP82:AP84)</f>
        <v/>
      </c>
      <c r="AQ85" s="410">
        <f>SUM(AQ82:AQ84)</f>
        <v/>
      </c>
      <c r="AR85" s="410">
        <f>SUM(AR82:AR84)</f>
        <v/>
      </c>
      <c r="AS85" s="410">
        <f>SUM(AS82:AS84)</f>
        <v/>
      </c>
      <c r="AT85" s="410">
        <f>SUM(AT82:AT84)</f>
        <v/>
      </c>
      <c r="AU85" s="410">
        <f>SUM(AU82:AU84)</f>
        <v/>
      </c>
      <c r="AV85" s="410">
        <f>SUM(AV82:AV84)</f>
        <v/>
      </c>
      <c r="AW85" s="410">
        <f>SUM(AW82:AW84)</f>
        <v/>
      </c>
      <c r="AX85" s="410">
        <f>SUM(AX82:AX84)</f>
        <v/>
      </c>
      <c r="AY85" s="410">
        <f>SUM(AY82:AY84)</f>
        <v/>
      </c>
      <c r="AZ85" s="410">
        <f>SUM(AZ82:AZ84)</f>
        <v/>
      </c>
      <c r="BA85" s="410">
        <f>SUM(BA82:BA84)</f>
        <v/>
      </c>
      <c r="BB85" s="410">
        <f>SUM(BB82:BB84)</f>
        <v/>
      </c>
      <c r="BC85" s="410">
        <f>SUM(BC82:BC84)</f>
        <v/>
      </c>
      <c r="BD85" s="410">
        <f>SUM(BD82:BD84)</f>
        <v/>
      </c>
      <c r="BE85" s="410">
        <f>SUM(BE82:BE84)</f>
        <v/>
      </c>
      <c r="BF85" s="410">
        <f>SUM(BF82:BF84)</f>
        <v/>
      </c>
      <c r="BG85" s="410">
        <f>SUM(BG82:BG84)</f>
        <v/>
      </c>
      <c r="BH85" s="410">
        <f>SUM(BH82:BH84)</f>
        <v/>
      </c>
      <c r="BI85" s="410">
        <f>SUM(BI82:BI84)</f>
        <v/>
      </c>
      <c r="BJ85" s="410">
        <f>SUM(BJ82:BJ84)</f>
        <v/>
      </c>
      <c r="BK85" s="410">
        <f>SUM(BK82:BK84)</f>
        <v/>
      </c>
      <c r="BL85" s="410">
        <f>SUM(BL82:BL84)</f>
        <v/>
      </c>
      <c r="BM85" s="410">
        <f>SUM(BM82:BM84)</f>
        <v/>
      </c>
      <c r="BN85" s="410">
        <f>SUM(BN82:BN84)</f>
        <v/>
      </c>
    </row>
    <row r="86">
      <c r="C86" s="6" t="inlineStr">
        <is>
          <t>Capex</t>
        </is>
      </c>
      <c r="D86" s="4" t="n"/>
      <c r="E86" s="413">
        <f>D13-E13-E83</f>
        <v/>
      </c>
      <c r="F86" s="19">
        <f>E13-F13-F83</f>
        <v/>
      </c>
      <c r="G86" s="413" t="n"/>
      <c r="H86" s="413" t="n"/>
      <c r="I86" s="413" t="n"/>
      <c r="J86" s="413" t="n"/>
      <c r="K86" s="413" t="n"/>
      <c r="L86" s="413" t="n"/>
      <c r="M86" s="413" t="n"/>
      <c r="N86" s="413" t="n"/>
      <c r="O86" s="413" t="n"/>
      <c r="P86" s="413" t="n"/>
      <c r="Q86" s="413" t="n"/>
      <c r="R86" s="413" t="n"/>
      <c r="S86" s="413" t="n"/>
      <c r="T86" s="413" t="n"/>
      <c r="U86" s="413" t="n"/>
      <c r="V86" s="413" t="n"/>
      <c r="W86" s="413" t="n"/>
      <c r="X86" s="413" t="n"/>
      <c r="Y86" s="413" t="n"/>
      <c r="Z86" s="413" t="n"/>
      <c r="AA86" s="413" t="n"/>
      <c r="AB86" s="413" t="n"/>
      <c r="AC86" s="413" t="n"/>
      <c r="AD86" s="413" t="n"/>
      <c r="AE86" s="413" t="n"/>
      <c r="AF86" s="413" t="n"/>
      <c r="AG86" s="413" t="n"/>
      <c r="AH86" s="413" t="n"/>
      <c r="AI86" s="413" t="n"/>
      <c r="AJ86" s="413" t="n"/>
      <c r="AK86" s="413" t="n"/>
      <c r="AL86" s="413" t="n"/>
      <c r="AM86" s="413" t="n"/>
      <c r="AN86" s="413" t="n"/>
      <c r="AO86" s="413" t="n"/>
      <c r="AP86" s="413" t="n"/>
      <c r="AQ86" s="413" t="n"/>
      <c r="AR86" s="413" t="n"/>
      <c r="AS86" s="413" t="n"/>
      <c r="AT86" s="413" t="n"/>
      <c r="AU86" s="413" t="n"/>
      <c r="AV86" s="413" t="n"/>
      <c r="AW86" s="413" t="n"/>
      <c r="AX86" s="413" t="n"/>
      <c r="AY86" s="413" t="n"/>
      <c r="AZ86" s="413" t="n"/>
      <c r="BA86" s="413" t="n"/>
      <c r="BB86" s="413" t="n"/>
      <c r="BC86" s="413" t="n"/>
      <c r="BD86" s="413" t="n"/>
      <c r="BE86" s="413" t="n"/>
      <c r="BF86" s="413" t="n"/>
      <c r="BG86" s="413" t="n"/>
      <c r="BH86" s="413" t="n"/>
      <c r="BI86" s="413" t="n"/>
      <c r="BJ86" s="413" t="n"/>
      <c r="BK86" s="413" t="n"/>
      <c r="BL86" s="413" t="n"/>
      <c r="BM86" s="413" t="n"/>
      <c r="BN86" s="413" t="n"/>
    </row>
    <row r="87">
      <c r="C87" s="410" t="inlineStr">
        <is>
          <t>Cashflow uit investeringsactiviteiten</t>
        </is>
      </c>
      <c r="D87" s="410" t="n"/>
      <c r="E87" s="410">
        <f>E86</f>
        <v/>
      </c>
      <c r="F87" s="15">
        <f>F86</f>
        <v/>
      </c>
      <c r="G87" s="410">
        <f>G86</f>
        <v/>
      </c>
      <c r="H87" s="410">
        <f>H86</f>
        <v/>
      </c>
      <c r="I87" s="410">
        <f>I86</f>
        <v/>
      </c>
      <c r="J87" s="410">
        <f>J86</f>
        <v/>
      </c>
      <c r="K87" s="410">
        <f>K86</f>
        <v/>
      </c>
      <c r="L87" s="410">
        <f>L86</f>
        <v/>
      </c>
      <c r="M87" s="410">
        <f>M86</f>
        <v/>
      </c>
      <c r="N87" s="410">
        <f>N86</f>
        <v/>
      </c>
      <c r="O87" s="410">
        <f>O86</f>
        <v/>
      </c>
      <c r="P87" s="410">
        <f>P86</f>
        <v/>
      </c>
      <c r="Q87" s="410">
        <f>Q86</f>
        <v/>
      </c>
      <c r="R87" s="410">
        <f>R86</f>
        <v/>
      </c>
      <c r="S87" s="410">
        <f>S86</f>
        <v/>
      </c>
      <c r="T87" s="410">
        <f>T86</f>
        <v/>
      </c>
      <c r="U87" s="410">
        <f>U86</f>
        <v/>
      </c>
      <c r="V87" s="410">
        <f>V86</f>
        <v/>
      </c>
      <c r="W87" s="410">
        <f>W86</f>
        <v/>
      </c>
      <c r="X87" s="410">
        <f>X86</f>
        <v/>
      </c>
      <c r="Y87" s="410">
        <f>Y86</f>
        <v/>
      </c>
      <c r="Z87" s="410">
        <f>Z86</f>
        <v/>
      </c>
      <c r="AA87" s="410">
        <f>AA86</f>
        <v/>
      </c>
      <c r="AB87" s="410">
        <f>AB86</f>
        <v/>
      </c>
      <c r="AC87" s="410">
        <f>AC86</f>
        <v/>
      </c>
      <c r="AD87" s="410">
        <f>AD86</f>
        <v/>
      </c>
      <c r="AE87" s="410">
        <f>AE86</f>
        <v/>
      </c>
      <c r="AF87" s="410">
        <f>AF86</f>
        <v/>
      </c>
      <c r="AG87" s="410">
        <f>AG86</f>
        <v/>
      </c>
      <c r="AH87" s="410">
        <f>AH86</f>
        <v/>
      </c>
      <c r="AI87" s="410">
        <f>AI86</f>
        <v/>
      </c>
      <c r="AJ87" s="410">
        <f>AJ86</f>
        <v/>
      </c>
      <c r="AK87" s="410">
        <f>AK86</f>
        <v/>
      </c>
      <c r="AL87" s="410">
        <f>AL86</f>
        <v/>
      </c>
      <c r="AM87" s="410">
        <f>AM86</f>
        <v/>
      </c>
      <c r="AN87" s="410">
        <f>AN86</f>
        <v/>
      </c>
      <c r="AO87" s="410">
        <f>AO86</f>
        <v/>
      </c>
      <c r="AP87" s="410">
        <f>AP86</f>
        <v/>
      </c>
      <c r="AQ87" s="410">
        <f>AQ86</f>
        <v/>
      </c>
      <c r="AR87" s="410">
        <f>AR86</f>
        <v/>
      </c>
      <c r="AS87" s="410">
        <f>AS86</f>
        <v/>
      </c>
      <c r="AT87" s="410">
        <f>AT86</f>
        <v/>
      </c>
      <c r="AU87" s="410">
        <f>AU86</f>
        <v/>
      </c>
      <c r="AV87" s="410">
        <f>AV86</f>
        <v/>
      </c>
      <c r="AW87" s="410">
        <f>AW86</f>
        <v/>
      </c>
      <c r="AX87" s="410">
        <f>AX86</f>
        <v/>
      </c>
      <c r="AY87" s="410">
        <f>AY86</f>
        <v/>
      </c>
      <c r="AZ87" s="410">
        <f>AZ86</f>
        <v/>
      </c>
      <c r="BA87" s="410">
        <f>BA86</f>
        <v/>
      </c>
      <c r="BB87" s="410">
        <f>BB86</f>
        <v/>
      </c>
      <c r="BC87" s="410">
        <f>BC86</f>
        <v/>
      </c>
      <c r="BD87" s="410">
        <f>BD86</f>
        <v/>
      </c>
      <c r="BE87" s="410">
        <f>BE86</f>
        <v/>
      </c>
      <c r="BF87" s="410">
        <f>BF86</f>
        <v/>
      </c>
      <c r="BG87" s="410">
        <f>BG86</f>
        <v/>
      </c>
      <c r="BH87" s="410">
        <f>BH86</f>
        <v/>
      </c>
      <c r="BI87" s="410">
        <f>BI86</f>
        <v/>
      </c>
      <c r="BJ87" s="410">
        <f>BJ86</f>
        <v/>
      </c>
      <c r="BK87" s="410">
        <f>BK86</f>
        <v/>
      </c>
      <c r="BL87" s="410">
        <f>BL86</f>
        <v/>
      </c>
      <c r="BM87" s="410">
        <f>BM86</f>
        <v/>
      </c>
      <c r="BN87" s="410">
        <f>BN86</f>
        <v/>
      </c>
    </row>
    <row r="88">
      <c r="C88" s="414" t="inlineStr">
        <is>
          <t>Δ Uit te keren winst</t>
        </is>
      </c>
      <c r="D88" s="4" t="n"/>
      <c r="E88" s="4">
        <f>Historiek!E240/1000</f>
        <v/>
      </c>
      <c r="F88" s="4">
        <f>Historiek!F240/1000</f>
        <v/>
      </c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  <c r="AF88" s="4" t="n"/>
      <c r="AG88" s="4" t="n"/>
      <c r="AH88" s="4" t="n"/>
      <c r="AI88" s="4" t="n"/>
      <c r="AJ88" s="4" t="n"/>
      <c r="AK88" s="4" t="n"/>
      <c r="AL88" s="4" t="n"/>
      <c r="AM88" s="4" t="n"/>
      <c r="AN88" s="4" t="n"/>
      <c r="AO88" s="4" t="n"/>
      <c r="AP88" s="4" t="n"/>
      <c r="AQ88" s="4" t="n"/>
      <c r="AR88" s="4" t="n"/>
      <c r="AS88" s="4" t="n"/>
      <c r="AT88" s="4" t="n"/>
      <c r="AU88" s="4" t="n"/>
      <c r="AV88" s="4" t="n"/>
      <c r="AW88" s="4" t="n"/>
      <c r="AX88" s="4" t="n"/>
      <c r="AY88" s="4" t="n"/>
      <c r="AZ88" s="4" t="n"/>
      <c r="BA88" s="4" t="n"/>
      <c r="BB88" s="4" t="n"/>
      <c r="BC88" s="4" t="n"/>
      <c r="BD88" s="4" t="n"/>
      <c r="BE88" s="4" t="n"/>
      <c r="BF88" s="4" t="n"/>
      <c r="BG88" s="4" t="n"/>
      <c r="BH88" s="4" t="n"/>
      <c r="BI88" s="4" t="n"/>
      <c r="BJ88" s="4" t="n"/>
      <c r="BK88" s="4" t="n"/>
      <c r="BL88" s="4" t="n"/>
      <c r="BM88" s="4" t="n"/>
      <c r="BN88" s="4" t="n"/>
    </row>
    <row r="89">
      <c r="C89" s="414" t="inlineStr">
        <is>
          <t>Δ Provisies</t>
        </is>
      </c>
      <c r="D89" s="4" t="n"/>
      <c r="E89" s="4">
        <f>D30-E30</f>
        <v/>
      </c>
      <c r="F89" s="4">
        <f>E30-F30</f>
        <v/>
      </c>
      <c r="G89" s="4">
        <f>F30-G30</f>
        <v/>
      </c>
      <c r="H89" s="4">
        <f>G30-H30</f>
        <v/>
      </c>
      <c r="I89" s="4">
        <f>H30-I30</f>
        <v/>
      </c>
      <c r="J89" s="4">
        <f>I30-J30</f>
        <v/>
      </c>
      <c r="K89" s="4">
        <f>J30-K30</f>
        <v/>
      </c>
      <c r="L89" s="4">
        <f>K30-L30</f>
        <v/>
      </c>
      <c r="M89" s="4">
        <f>L30-M30</f>
        <v/>
      </c>
      <c r="N89" s="4">
        <f>M30-N30</f>
        <v/>
      </c>
      <c r="O89" s="4">
        <f>N30-O30</f>
        <v/>
      </c>
      <c r="P89" s="4">
        <f>O30-P30</f>
        <v/>
      </c>
      <c r="Q89" s="4">
        <f>P30-Q30</f>
        <v/>
      </c>
      <c r="R89" s="4">
        <f>Q30-R30</f>
        <v/>
      </c>
      <c r="S89" s="4">
        <f>R30-S30</f>
        <v/>
      </c>
      <c r="T89" s="4">
        <f>S30-T30</f>
        <v/>
      </c>
      <c r="U89" s="4">
        <f>T30-U30</f>
        <v/>
      </c>
      <c r="V89" s="4">
        <f>U30-V30</f>
        <v/>
      </c>
      <c r="W89" s="4">
        <f>V30-W30</f>
        <v/>
      </c>
      <c r="X89" s="4">
        <f>W30-X30</f>
        <v/>
      </c>
      <c r="Y89" s="4">
        <f>X30-Y30</f>
        <v/>
      </c>
      <c r="Z89" s="4">
        <f>Y30-Z30</f>
        <v/>
      </c>
      <c r="AA89" s="4">
        <f>Z30-AA30</f>
        <v/>
      </c>
      <c r="AB89" s="4">
        <f>AA30-AB30</f>
        <v/>
      </c>
      <c r="AC89" s="4">
        <f>AB30-AC30</f>
        <v/>
      </c>
      <c r="AD89" s="4">
        <f>AC30-AD30</f>
        <v/>
      </c>
      <c r="AE89" s="4">
        <f>AD30-AE30</f>
        <v/>
      </c>
      <c r="AF89" s="4">
        <f>AE30-AF30</f>
        <v/>
      </c>
      <c r="AG89" s="4">
        <f>AF30-AG30</f>
        <v/>
      </c>
      <c r="AH89" s="4">
        <f>AG30-AH30</f>
        <v/>
      </c>
      <c r="AI89" s="4">
        <f>AH30-AI30</f>
        <v/>
      </c>
      <c r="AJ89" s="4">
        <f>AI30-AJ30</f>
        <v/>
      </c>
      <c r="AK89" s="4">
        <f>AJ30-AK30</f>
        <v/>
      </c>
      <c r="AL89" s="4">
        <f>AK30-AL30</f>
        <v/>
      </c>
      <c r="AM89" s="4">
        <f>AL30-AM30</f>
        <v/>
      </c>
      <c r="AN89" s="4">
        <f>AM30-AN30</f>
        <v/>
      </c>
      <c r="AO89" s="4">
        <f>AN30-AO30</f>
        <v/>
      </c>
      <c r="AP89" s="4">
        <f>AO30-AP30</f>
        <v/>
      </c>
      <c r="AQ89" s="4">
        <f>AP30-AQ30</f>
        <v/>
      </c>
      <c r="AR89" s="4">
        <f>AQ30-AR30</f>
        <v/>
      </c>
      <c r="AS89" s="4">
        <f>AR30-AS30</f>
        <v/>
      </c>
      <c r="AT89" s="4">
        <f>AS30-AT30</f>
        <v/>
      </c>
      <c r="AU89" s="4">
        <f>AT30-AU30</f>
        <v/>
      </c>
      <c r="AV89" s="4">
        <f>AU30-AV30</f>
        <v/>
      </c>
      <c r="AW89" s="4">
        <f>AV30-AW30</f>
        <v/>
      </c>
      <c r="AX89" s="4">
        <f>AW30-AX30</f>
        <v/>
      </c>
      <c r="AY89" s="4">
        <f>AX30-AY30</f>
        <v/>
      </c>
      <c r="AZ89" s="4">
        <f>AY30-AZ30</f>
        <v/>
      </c>
      <c r="BA89" s="4">
        <f>AZ30-BA30</f>
        <v/>
      </c>
      <c r="BB89" s="4">
        <f>BA30-BB30</f>
        <v/>
      </c>
      <c r="BC89" s="4">
        <f>BB30-BC30</f>
        <v/>
      </c>
      <c r="BD89" s="4">
        <f>BC30-BD30</f>
        <v/>
      </c>
      <c r="BE89" s="4">
        <f>BD30-BE30</f>
        <v/>
      </c>
      <c r="BF89" s="4">
        <f>BE30-BF30</f>
        <v/>
      </c>
      <c r="BG89" s="4">
        <f>BF30-BG30</f>
        <v/>
      </c>
      <c r="BH89" s="4">
        <f>BG30-BH30</f>
        <v/>
      </c>
      <c r="BI89" s="4">
        <f>BH30-BI30</f>
        <v/>
      </c>
      <c r="BJ89" s="4">
        <f>BI30-BJ30</f>
        <v/>
      </c>
      <c r="BK89" s="4">
        <f>BJ30-BK30</f>
        <v/>
      </c>
      <c r="BL89" s="4">
        <f>BK30-BL30</f>
        <v/>
      </c>
      <c r="BM89" s="4">
        <f>BL30-BM30</f>
        <v/>
      </c>
      <c r="BN89" s="4">
        <f>BM30-BN30</f>
        <v/>
      </c>
    </row>
    <row r="90">
      <c r="C90" s="414" t="inlineStr">
        <is>
          <t>Δ LT schulden</t>
        </is>
      </c>
      <c r="D90" s="4" t="n"/>
      <c r="E90" s="4">
        <f>E33-D33</f>
        <v/>
      </c>
      <c r="F90" s="4">
        <f>F33-E33</f>
        <v/>
      </c>
      <c r="G90" s="4">
        <f>G33-F33</f>
        <v/>
      </c>
      <c r="H90" s="4">
        <f>H33-G33</f>
        <v/>
      </c>
      <c r="I90" s="4">
        <f>I33-H33</f>
        <v/>
      </c>
      <c r="J90" s="4">
        <f>J33-I33</f>
        <v/>
      </c>
      <c r="K90" s="4">
        <f>K33-J33</f>
        <v/>
      </c>
      <c r="L90" s="4">
        <f>L33-K33</f>
        <v/>
      </c>
      <c r="M90" s="4">
        <f>M33-L33</f>
        <v/>
      </c>
      <c r="N90" s="4">
        <f>N33-M33</f>
        <v/>
      </c>
      <c r="O90" s="4">
        <f>O33-N33</f>
        <v/>
      </c>
      <c r="P90" s="4">
        <f>P33-O33</f>
        <v/>
      </c>
      <c r="Q90" s="4">
        <f>Q33-P33</f>
        <v/>
      </c>
      <c r="R90" s="4">
        <f>R33-Q33</f>
        <v/>
      </c>
      <c r="S90" s="4">
        <f>S33-R33</f>
        <v/>
      </c>
      <c r="T90" s="4">
        <f>T33-S33</f>
        <v/>
      </c>
      <c r="U90" s="4">
        <f>U33-T33</f>
        <v/>
      </c>
      <c r="V90" s="4">
        <f>V33-U33</f>
        <v/>
      </c>
      <c r="W90" s="4">
        <f>W33-V33</f>
        <v/>
      </c>
      <c r="X90" s="4">
        <f>X33-W33</f>
        <v/>
      </c>
      <c r="Y90" s="4">
        <f>Y33-X33</f>
        <v/>
      </c>
      <c r="Z90" s="4">
        <f>Z33-Y33</f>
        <v/>
      </c>
      <c r="AA90" s="4">
        <f>AA33-Z33</f>
        <v/>
      </c>
      <c r="AB90" s="4">
        <f>AB33-AA33</f>
        <v/>
      </c>
      <c r="AC90" s="4">
        <f>AC33-AB33</f>
        <v/>
      </c>
      <c r="AD90" s="4">
        <f>AD33-AC33</f>
        <v/>
      </c>
      <c r="AE90" s="4">
        <f>AE33-AD33</f>
        <v/>
      </c>
      <c r="AF90" s="4">
        <f>AF33-AE33</f>
        <v/>
      </c>
      <c r="AG90" s="4">
        <f>AG33-AF33</f>
        <v/>
      </c>
      <c r="AH90" s="4">
        <f>AH33-AG33</f>
        <v/>
      </c>
      <c r="AI90" s="4">
        <f>AI33-AH33</f>
        <v/>
      </c>
      <c r="AJ90" s="4">
        <f>AJ33-AI33</f>
        <v/>
      </c>
      <c r="AK90" s="4">
        <f>AK33-AJ33</f>
        <v/>
      </c>
      <c r="AL90" s="4">
        <f>AL33-AK33</f>
        <v/>
      </c>
      <c r="AM90" s="4">
        <f>AM33-AL33</f>
        <v/>
      </c>
      <c r="AN90" s="4">
        <f>AN33-AM33</f>
        <v/>
      </c>
      <c r="AO90" s="4">
        <f>AO33-AN33</f>
        <v/>
      </c>
      <c r="AP90" s="4">
        <f>AP33-AO33</f>
        <v/>
      </c>
      <c r="AQ90" s="4">
        <f>AQ33-AP33</f>
        <v/>
      </c>
      <c r="AR90" s="4">
        <f>AR33-AQ33</f>
        <v/>
      </c>
      <c r="AS90" s="4">
        <f>AS33-AR33</f>
        <v/>
      </c>
      <c r="AT90" s="4">
        <f>AT33-AS33</f>
        <v/>
      </c>
      <c r="AU90" s="4">
        <f>AU33-AT33</f>
        <v/>
      </c>
      <c r="AV90" s="4">
        <f>AV33-AU33</f>
        <v/>
      </c>
      <c r="AW90" s="4">
        <f>AW33-AV33</f>
        <v/>
      </c>
      <c r="AX90" s="4">
        <f>AX33-AW33</f>
        <v/>
      </c>
      <c r="AY90" s="4">
        <f>AY33-AX33</f>
        <v/>
      </c>
      <c r="AZ90" s="4">
        <f>AZ33-AY33</f>
        <v/>
      </c>
      <c r="BA90" s="4">
        <f>BA33-AZ33</f>
        <v/>
      </c>
      <c r="BB90" s="4">
        <f>BB33-BA33</f>
        <v/>
      </c>
      <c r="BC90" s="4">
        <f>BC33-BB33</f>
        <v/>
      </c>
      <c r="BD90" s="4">
        <f>BD33-BC33</f>
        <v/>
      </c>
      <c r="BE90" s="4">
        <f>BE33-BD33</f>
        <v/>
      </c>
      <c r="BF90" s="4">
        <f>BF33-BE33</f>
        <v/>
      </c>
      <c r="BG90" s="4">
        <f>BG33-BF33</f>
        <v/>
      </c>
      <c r="BH90" s="4">
        <f>BH33-BG33</f>
        <v/>
      </c>
      <c r="BI90" s="4">
        <f>BI33-BH33</f>
        <v/>
      </c>
      <c r="BJ90" s="4">
        <f>BJ33-BI33</f>
        <v/>
      </c>
      <c r="BK90" s="4">
        <f>BK33-BJ33</f>
        <v/>
      </c>
      <c r="BL90" s="4">
        <f>BL33-BK33</f>
        <v/>
      </c>
      <c r="BM90" s="4">
        <f>BM33-BL33</f>
        <v/>
      </c>
      <c r="BN90" s="4">
        <f>BN33-BM33</f>
        <v/>
      </c>
    </row>
    <row r="91">
      <c r="C91" s="414" t="inlineStr">
        <is>
          <t>Δ KT gedeelte van LT schulden</t>
        </is>
      </c>
      <c r="D91" s="4" t="n"/>
      <c r="E91" s="4">
        <f>E34-D34</f>
        <v/>
      </c>
      <c r="F91" s="4">
        <f>F34-E34</f>
        <v/>
      </c>
      <c r="G91" s="4">
        <f>G34-F34</f>
        <v/>
      </c>
      <c r="H91" s="4">
        <f>H34-G34</f>
        <v/>
      </c>
      <c r="I91" s="4">
        <f>I34-H34</f>
        <v/>
      </c>
      <c r="J91" s="4">
        <f>J34-I34</f>
        <v/>
      </c>
      <c r="K91" s="4">
        <f>K34-J34</f>
        <v/>
      </c>
      <c r="L91" s="4">
        <f>L34-K34</f>
        <v/>
      </c>
      <c r="M91" s="4">
        <f>M34-L34</f>
        <v/>
      </c>
      <c r="N91" s="4">
        <f>N34-M34</f>
        <v/>
      </c>
      <c r="O91" s="4">
        <f>O34-N34</f>
        <v/>
      </c>
      <c r="P91" s="4">
        <f>P34-O34</f>
        <v/>
      </c>
      <c r="Q91" s="4">
        <f>Q34-P34</f>
        <v/>
      </c>
      <c r="R91" s="4">
        <f>R34-Q34</f>
        <v/>
      </c>
      <c r="S91" s="4">
        <f>S34-R34</f>
        <v/>
      </c>
      <c r="T91" s="4">
        <f>T34-S34</f>
        <v/>
      </c>
      <c r="U91" s="4">
        <f>U34-T34</f>
        <v/>
      </c>
      <c r="V91" s="4">
        <f>V34-U34</f>
        <v/>
      </c>
      <c r="W91" s="4">
        <f>W34-V34</f>
        <v/>
      </c>
      <c r="X91" s="4">
        <f>X34-W34</f>
        <v/>
      </c>
      <c r="Y91" s="4">
        <f>Y34-X34</f>
        <v/>
      </c>
      <c r="Z91" s="4">
        <f>Z34-Y34</f>
        <v/>
      </c>
      <c r="AA91" s="4">
        <f>AA34-Z34</f>
        <v/>
      </c>
      <c r="AB91" s="4">
        <f>AB34-AA34</f>
        <v/>
      </c>
      <c r="AC91" s="4">
        <f>AC34-AB34</f>
        <v/>
      </c>
      <c r="AD91" s="4">
        <f>AD34-AC34</f>
        <v/>
      </c>
      <c r="AE91" s="4">
        <f>AE34-AD34</f>
        <v/>
      </c>
      <c r="AF91" s="4">
        <f>AF34-AE34</f>
        <v/>
      </c>
      <c r="AG91" s="4">
        <f>AG34-AF34</f>
        <v/>
      </c>
      <c r="AH91" s="4">
        <f>AH34-AG34</f>
        <v/>
      </c>
      <c r="AI91" s="4">
        <f>AI34-AH34</f>
        <v/>
      </c>
      <c r="AJ91" s="4">
        <f>AJ34-AI34</f>
        <v/>
      </c>
      <c r="AK91" s="4">
        <f>AK34-AJ34</f>
        <v/>
      </c>
      <c r="AL91" s="4">
        <f>AL34-AK34</f>
        <v/>
      </c>
      <c r="AM91" s="4">
        <f>AM34-AL34</f>
        <v/>
      </c>
      <c r="AN91" s="4">
        <f>AN34-AM34</f>
        <v/>
      </c>
      <c r="AO91" s="4">
        <f>AO34-AN34</f>
        <v/>
      </c>
      <c r="AP91" s="4">
        <f>AP34-AO34</f>
        <v/>
      </c>
      <c r="AQ91" s="4">
        <f>AQ34-AP34</f>
        <v/>
      </c>
      <c r="AR91" s="4">
        <f>AR34-AQ34</f>
        <v/>
      </c>
      <c r="AS91" s="4">
        <f>AS34-AR34</f>
        <v/>
      </c>
      <c r="AT91" s="4">
        <f>AT34-AS34</f>
        <v/>
      </c>
      <c r="AU91" s="4">
        <f>AU34-AT34</f>
        <v/>
      </c>
      <c r="AV91" s="4">
        <f>AV34-AU34</f>
        <v/>
      </c>
      <c r="AW91" s="4">
        <f>AW34-AV34</f>
        <v/>
      </c>
      <c r="AX91" s="4">
        <f>AX34-AW34</f>
        <v/>
      </c>
      <c r="AY91" s="4">
        <f>AY34-AX34</f>
        <v/>
      </c>
      <c r="AZ91" s="4">
        <f>AZ34-AY34</f>
        <v/>
      </c>
      <c r="BA91" s="4">
        <f>BA34-AZ34</f>
        <v/>
      </c>
      <c r="BB91" s="4">
        <f>BB34-BA34</f>
        <v/>
      </c>
      <c r="BC91" s="4">
        <f>BC34-BB34</f>
        <v/>
      </c>
      <c r="BD91" s="4">
        <f>BD34-BC34</f>
        <v/>
      </c>
      <c r="BE91" s="4">
        <f>BE34-BD34</f>
        <v/>
      </c>
      <c r="BF91" s="4">
        <f>BF34-BE34</f>
        <v/>
      </c>
      <c r="BG91" s="4">
        <f>BG34-BF34</f>
        <v/>
      </c>
      <c r="BH91" s="4">
        <f>BH34-BG34</f>
        <v/>
      </c>
      <c r="BI91" s="4">
        <f>BI34-BH34</f>
        <v/>
      </c>
      <c r="BJ91" s="4">
        <f>BJ34-BI34</f>
        <v/>
      </c>
      <c r="BK91" s="4">
        <f>BK34-BJ34</f>
        <v/>
      </c>
      <c r="BL91" s="4">
        <f>BL34-BK34</f>
        <v/>
      </c>
      <c r="BM91" s="4">
        <f>BM34-BL34</f>
        <v/>
      </c>
      <c r="BN91" s="4">
        <f>BN34-BM34</f>
        <v/>
      </c>
    </row>
    <row r="92">
      <c r="C92" s="414" t="inlineStr">
        <is>
          <t>Δ KT Financiële schulden</t>
        </is>
      </c>
      <c r="D92" s="4" t="n"/>
      <c r="E92" s="4">
        <f>E35-D35</f>
        <v/>
      </c>
      <c r="F92" s="4">
        <f>F35-E35</f>
        <v/>
      </c>
      <c r="G92" s="4">
        <f>G35-F35</f>
        <v/>
      </c>
      <c r="H92" s="4">
        <f>H35-G35</f>
        <v/>
      </c>
      <c r="I92" s="4">
        <f>I35-H35</f>
        <v/>
      </c>
      <c r="J92" s="4">
        <f>J35-I35</f>
        <v/>
      </c>
      <c r="K92" s="4">
        <f>K35-J35</f>
        <v/>
      </c>
      <c r="L92" s="4">
        <f>L35-K35</f>
        <v/>
      </c>
      <c r="M92" s="4">
        <f>M35-L35</f>
        <v/>
      </c>
      <c r="N92" s="4">
        <f>N35-M35</f>
        <v/>
      </c>
      <c r="O92" s="4">
        <f>O35-N35</f>
        <v/>
      </c>
      <c r="P92" s="4">
        <f>P35-O35</f>
        <v/>
      </c>
      <c r="Q92" s="4">
        <f>Q35-P35</f>
        <v/>
      </c>
      <c r="R92" s="4">
        <f>R35-Q35</f>
        <v/>
      </c>
      <c r="S92" s="4">
        <f>S35-R35</f>
        <v/>
      </c>
      <c r="T92" s="4">
        <f>T35-S35</f>
        <v/>
      </c>
      <c r="U92" s="4">
        <f>U35-T35</f>
        <v/>
      </c>
      <c r="V92" s="4">
        <f>V35-U35</f>
        <v/>
      </c>
      <c r="W92" s="4">
        <f>W35-V35</f>
        <v/>
      </c>
      <c r="X92" s="4">
        <f>X35-W35</f>
        <v/>
      </c>
      <c r="Y92" s="4">
        <f>Y35-X35</f>
        <v/>
      </c>
      <c r="Z92" s="4">
        <f>Z35-Y35</f>
        <v/>
      </c>
      <c r="AA92" s="4">
        <f>AA35-Z35</f>
        <v/>
      </c>
      <c r="AB92" s="4">
        <f>AB35-AA35</f>
        <v/>
      </c>
      <c r="AC92" s="4">
        <f>AC35-AB35</f>
        <v/>
      </c>
      <c r="AD92" s="4">
        <f>AD35-AC35</f>
        <v/>
      </c>
      <c r="AE92" s="4">
        <f>AE35-AD35</f>
        <v/>
      </c>
      <c r="AF92" s="4">
        <f>AF35-AE35</f>
        <v/>
      </c>
      <c r="AG92" s="4">
        <f>AG35-AF35</f>
        <v/>
      </c>
      <c r="AH92" s="4">
        <f>AH35-AG35</f>
        <v/>
      </c>
      <c r="AI92" s="4">
        <f>AI35-AH35</f>
        <v/>
      </c>
      <c r="AJ92" s="4">
        <f>AJ35-AI35</f>
        <v/>
      </c>
      <c r="AK92" s="4">
        <f>AK35-AJ35</f>
        <v/>
      </c>
      <c r="AL92" s="4">
        <f>AL35-AK35</f>
        <v/>
      </c>
      <c r="AM92" s="4">
        <f>AM35-AL35</f>
        <v/>
      </c>
      <c r="AN92" s="4">
        <f>AN35-AM35</f>
        <v/>
      </c>
      <c r="AO92" s="4">
        <f>AO35-AN35</f>
        <v/>
      </c>
      <c r="AP92" s="4">
        <f>AP35-AO35</f>
        <v/>
      </c>
      <c r="AQ92" s="4">
        <f>AQ35-AP35</f>
        <v/>
      </c>
      <c r="AR92" s="4">
        <f>AR35-AQ35</f>
        <v/>
      </c>
      <c r="AS92" s="4">
        <f>AS35-AR35</f>
        <v/>
      </c>
      <c r="AT92" s="4">
        <f>AT35-AS35</f>
        <v/>
      </c>
      <c r="AU92" s="4">
        <f>AU35-AT35</f>
        <v/>
      </c>
      <c r="AV92" s="4">
        <f>AV35-AU35</f>
        <v/>
      </c>
      <c r="AW92" s="4">
        <f>AW35-AV35</f>
        <v/>
      </c>
      <c r="AX92" s="4">
        <f>AX35-AW35</f>
        <v/>
      </c>
      <c r="AY92" s="4">
        <f>AY35-AX35</f>
        <v/>
      </c>
      <c r="AZ92" s="4">
        <f>AZ35-AY35</f>
        <v/>
      </c>
      <c r="BA92" s="4">
        <f>BA35-AZ35</f>
        <v/>
      </c>
      <c r="BB92" s="4">
        <f>BB35-BA35</f>
        <v/>
      </c>
      <c r="BC92" s="4">
        <f>BC35-BB35</f>
        <v/>
      </c>
      <c r="BD92" s="4">
        <f>BD35-BC35</f>
        <v/>
      </c>
      <c r="BE92" s="4">
        <f>BE35-BD35</f>
        <v/>
      </c>
      <c r="BF92" s="4">
        <f>BF35-BE35</f>
        <v/>
      </c>
      <c r="BG92" s="4">
        <f>BG35-BF35</f>
        <v/>
      </c>
      <c r="BH92" s="4">
        <f>BH35-BG35</f>
        <v/>
      </c>
      <c r="BI92" s="4">
        <f>BI35-BH35</f>
        <v/>
      </c>
      <c r="BJ92" s="4">
        <f>BJ35-BI35</f>
        <v/>
      </c>
      <c r="BK92" s="4">
        <f>BK35-BJ35</f>
        <v/>
      </c>
      <c r="BL92" s="4">
        <f>BL35-BK35</f>
        <v/>
      </c>
      <c r="BM92" s="4">
        <f>BM35-BL35</f>
        <v/>
      </c>
      <c r="BN92" s="4">
        <f>BN35-BM35</f>
        <v/>
      </c>
    </row>
    <row r="93">
      <c r="C93" s="417" t="inlineStr">
        <is>
          <t>Cashflow uit financieringsactiviteiten</t>
        </is>
      </c>
      <c r="D93" s="410" t="n"/>
      <c r="E93" s="410">
        <f>SUM(E88:E92)</f>
        <v/>
      </c>
      <c r="F93" s="410">
        <f>SUM(F88:F92)</f>
        <v/>
      </c>
      <c r="G93" s="410">
        <f>SUM(G88:G92)</f>
        <v/>
      </c>
      <c r="H93" s="410">
        <f>SUM(H88:H92)</f>
        <v/>
      </c>
      <c r="I93" s="410">
        <f>SUM(I88:I92)</f>
        <v/>
      </c>
      <c r="J93" s="410">
        <f>SUM(J88:J92)</f>
        <v/>
      </c>
      <c r="K93" s="410">
        <f>SUM(K88:K92)</f>
        <v/>
      </c>
      <c r="L93" s="410">
        <f>SUM(L88:L92)</f>
        <v/>
      </c>
      <c r="M93" s="410">
        <f>SUM(M88:M92)</f>
        <v/>
      </c>
      <c r="N93" s="410">
        <f>SUM(N88:N92)</f>
        <v/>
      </c>
      <c r="O93" s="410">
        <f>SUM(O88:O92)</f>
        <v/>
      </c>
      <c r="P93" s="410">
        <f>SUM(P88:P92)</f>
        <v/>
      </c>
      <c r="Q93" s="410">
        <f>SUM(Q88:Q92)</f>
        <v/>
      </c>
      <c r="R93" s="410">
        <f>SUM(R88:R92)</f>
        <v/>
      </c>
      <c r="S93" s="410">
        <f>SUM(S88:S92)</f>
        <v/>
      </c>
      <c r="T93" s="410">
        <f>SUM(T88:T92)</f>
        <v/>
      </c>
      <c r="U93" s="410">
        <f>SUM(U88:U92)</f>
        <v/>
      </c>
      <c r="V93" s="410">
        <f>SUM(V88:V92)</f>
        <v/>
      </c>
      <c r="W93" s="410">
        <f>SUM(W88:W92)</f>
        <v/>
      </c>
      <c r="X93" s="410">
        <f>SUM(X88:X92)</f>
        <v/>
      </c>
      <c r="Y93" s="410">
        <f>SUM(Y88:Y92)</f>
        <v/>
      </c>
      <c r="Z93" s="410">
        <f>SUM(Z88:Z92)</f>
        <v/>
      </c>
      <c r="AA93" s="410">
        <f>SUM(AA88:AA92)</f>
        <v/>
      </c>
      <c r="AB93" s="410">
        <f>SUM(AB88:AB92)</f>
        <v/>
      </c>
      <c r="AC93" s="410">
        <f>SUM(AC88:AC92)</f>
        <v/>
      </c>
      <c r="AD93" s="410">
        <f>SUM(AD88:AD92)</f>
        <v/>
      </c>
      <c r="AE93" s="410">
        <f>SUM(AE88:AE92)</f>
        <v/>
      </c>
      <c r="AF93" s="410">
        <f>SUM(AF88:AF92)</f>
        <v/>
      </c>
      <c r="AG93" s="410">
        <f>SUM(AG88:AG92)</f>
        <v/>
      </c>
      <c r="AH93" s="410">
        <f>SUM(AH88:AH92)</f>
        <v/>
      </c>
      <c r="AI93" s="410">
        <f>SUM(AI88:AI92)</f>
        <v/>
      </c>
      <c r="AJ93" s="410">
        <f>SUM(AJ88:AJ92)</f>
        <v/>
      </c>
      <c r="AK93" s="410">
        <f>SUM(AK88:AK92)</f>
        <v/>
      </c>
      <c r="AL93" s="410">
        <f>SUM(AL88:AL92)</f>
        <v/>
      </c>
      <c r="AM93" s="410">
        <f>SUM(AM88:AM92)</f>
        <v/>
      </c>
      <c r="AN93" s="410">
        <f>SUM(AN88:AN92)</f>
        <v/>
      </c>
      <c r="AO93" s="410">
        <f>SUM(AO88:AO92)</f>
        <v/>
      </c>
      <c r="AP93" s="410">
        <f>SUM(AP88:AP92)</f>
        <v/>
      </c>
      <c r="AQ93" s="410">
        <f>SUM(AQ88:AQ92)</f>
        <v/>
      </c>
      <c r="AR93" s="410">
        <f>SUM(AR88:AR92)</f>
        <v/>
      </c>
      <c r="AS93" s="410">
        <f>SUM(AS88:AS92)</f>
        <v/>
      </c>
      <c r="AT93" s="410">
        <f>SUM(AT88:AT92)</f>
        <v/>
      </c>
      <c r="AU93" s="410">
        <f>SUM(AU88:AU92)</f>
        <v/>
      </c>
      <c r="AV93" s="410">
        <f>SUM(AV88:AV92)</f>
        <v/>
      </c>
      <c r="AW93" s="410">
        <f>SUM(AW88:AW92)</f>
        <v/>
      </c>
      <c r="AX93" s="410">
        <f>SUM(AX88:AX92)</f>
        <v/>
      </c>
      <c r="AY93" s="410">
        <f>SUM(AY88:AY92)</f>
        <v/>
      </c>
      <c r="AZ93" s="410">
        <f>SUM(AZ88:AZ92)</f>
        <v/>
      </c>
      <c r="BA93" s="410">
        <f>SUM(BA88:BA92)</f>
        <v/>
      </c>
      <c r="BB93" s="410">
        <f>SUM(BB88:BB92)</f>
        <v/>
      </c>
      <c r="BC93" s="410">
        <f>SUM(BC88:BC92)</f>
        <v/>
      </c>
      <c r="BD93" s="410">
        <f>SUM(BD88:BD92)</f>
        <v/>
      </c>
      <c r="BE93" s="410">
        <f>SUM(BE88:BE92)</f>
        <v/>
      </c>
      <c r="BF93" s="410">
        <f>SUM(BF88:BF92)</f>
        <v/>
      </c>
      <c r="BG93" s="410">
        <f>SUM(BG88:BG92)</f>
        <v/>
      </c>
      <c r="BH93" s="410">
        <f>SUM(BH88:BH92)</f>
        <v/>
      </c>
      <c r="BI93" s="410">
        <f>SUM(BI88:BI92)</f>
        <v/>
      </c>
      <c r="BJ93" s="410">
        <f>SUM(BJ88:BJ92)</f>
        <v/>
      </c>
      <c r="BK93" s="410">
        <f>SUM(BK88:BK92)</f>
        <v/>
      </c>
      <c r="BL93" s="410">
        <f>SUM(BL88:BL92)</f>
        <v/>
      </c>
      <c r="BM93" s="410">
        <f>SUM(BM88:BM92)</f>
        <v/>
      </c>
      <c r="BN93" s="410">
        <f>SUM(BN88:BN92)</f>
        <v/>
      </c>
    </row>
    <row r="94">
      <c r="C94" s="750" t="inlineStr">
        <is>
          <t>Totale cashflow</t>
        </is>
      </c>
      <c r="D94" s="748" t="n"/>
      <c r="E94" s="748">
        <f>SUM(E85,E87,E93)</f>
        <v/>
      </c>
      <c r="F94" s="749">
        <f>SUM(F85,F87,F93)</f>
        <v/>
      </c>
      <c r="G94" s="748">
        <f>SUM(G85,G87,G93)</f>
        <v/>
      </c>
      <c r="H94" s="748">
        <f>SUM(H85,H87,H93)</f>
        <v/>
      </c>
      <c r="I94" s="748">
        <f>SUM(I85,I87,I93)</f>
        <v/>
      </c>
      <c r="J94" s="748">
        <f>SUM(J85,J87,J93)</f>
        <v/>
      </c>
      <c r="K94" s="748">
        <f>SUM(K85,K87,K93)</f>
        <v/>
      </c>
      <c r="L94" s="748">
        <f>SUM(L85,L87,L93)</f>
        <v/>
      </c>
      <c r="M94" s="748">
        <f>SUM(M85,M87,M93)</f>
        <v/>
      </c>
      <c r="N94" s="748">
        <f>SUM(N85,N87,N93)</f>
        <v/>
      </c>
      <c r="O94" s="748">
        <f>SUM(O85,O87,O93)</f>
        <v/>
      </c>
      <c r="P94" s="748">
        <f>SUM(P85,P87,P93)</f>
        <v/>
      </c>
      <c r="Q94" s="748">
        <f>SUM(Q85,Q87,Q93)</f>
        <v/>
      </c>
      <c r="R94" s="748">
        <f>SUM(R85,R87,R93)</f>
        <v/>
      </c>
      <c r="S94" s="748">
        <f>SUM(S85,S87,S93)</f>
        <v/>
      </c>
      <c r="T94" s="748">
        <f>SUM(T85,T87,T93)</f>
        <v/>
      </c>
      <c r="U94" s="748">
        <f>SUM(U85,U87,U93)</f>
        <v/>
      </c>
      <c r="V94" s="748">
        <f>SUM(V85,V87,V93)</f>
        <v/>
      </c>
      <c r="W94" s="748">
        <f>SUM(W85,W87,W93)</f>
        <v/>
      </c>
      <c r="X94" s="748">
        <f>SUM(X85,X87,X93)</f>
        <v/>
      </c>
      <c r="Y94" s="748">
        <f>SUM(Y85,Y87,Y93)</f>
        <v/>
      </c>
      <c r="Z94" s="748">
        <f>SUM(Z85,Z87,Z93)</f>
        <v/>
      </c>
      <c r="AA94" s="748">
        <f>SUM(AA85,AA87,AA93)</f>
        <v/>
      </c>
      <c r="AB94" s="748">
        <f>SUM(AB85,AB87,AB93)</f>
        <v/>
      </c>
      <c r="AC94" s="748">
        <f>SUM(AC85,AC87,AC93)</f>
        <v/>
      </c>
      <c r="AD94" s="748">
        <f>SUM(AD85,AD87,AD93)</f>
        <v/>
      </c>
      <c r="AE94" s="748">
        <f>SUM(AE85,AE87,AE93)</f>
        <v/>
      </c>
      <c r="AF94" s="748">
        <f>SUM(AF85,AF87,AF93)</f>
        <v/>
      </c>
      <c r="AG94" s="748">
        <f>SUM(AG85,AG87,AG93)</f>
        <v/>
      </c>
      <c r="AH94" s="748">
        <f>SUM(AH85,AH87,AH93)</f>
        <v/>
      </c>
      <c r="AI94" s="748">
        <f>SUM(AI85,AI87,AI93)</f>
        <v/>
      </c>
      <c r="AJ94" s="748">
        <f>SUM(AJ85,AJ87,AJ93)</f>
        <v/>
      </c>
      <c r="AK94" s="748">
        <f>SUM(AK85,AK87,AK93)</f>
        <v/>
      </c>
      <c r="AL94" s="748">
        <f>SUM(AL85,AL87,AL93)</f>
        <v/>
      </c>
      <c r="AM94" s="748">
        <f>SUM(AM85,AM87,AM93)</f>
        <v/>
      </c>
      <c r="AN94" s="748">
        <f>SUM(AN85,AN87,AN93)</f>
        <v/>
      </c>
      <c r="AO94" s="748">
        <f>SUM(AO85,AO87,AO93)</f>
        <v/>
      </c>
      <c r="AP94" s="748">
        <f>SUM(AP85,AP87,AP93)</f>
        <v/>
      </c>
      <c r="AQ94" s="748">
        <f>SUM(AQ85,AQ87,AQ93)</f>
        <v/>
      </c>
      <c r="AR94" s="748">
        <f>SUM(AR85,AR87,AR93)</f>
        <v/>
      </c>
      <c r="AS94" s="748">
        <f>SUM(AS85,AS87,AS93)</f>
        <v/>
      </c>
      <c r="AT94" s="748">
        <f>SUM(AT85,AT87,AT93)</f>
        <v/>
      </c>
      <c r="AU94" s="748">
        <f>SUM(AU85,AU87,AU93)</f>
        <v/>
      </c>
      <c r="AV94" s="748">
        <f>SUM(AV85,AV87,AV93)</f>
        <v/>
      </c>
      <c r="AW94" s="748">
        <f>SUM(AW85,AW87,AW93)</f>
        <v/>
      </c>
      <c r="AX94" s="748">
        <f>SUM(AX85,AX87,AX93)</f>
        <v/>
      </c>
      <c r="AY94" s="748">
        <f>SUM(AY85,AY87,AY93)</f>
        <v/>
      </c>
      <c r="AZ94" s="748">
        <f>SUM(AZ85,AZ87,AZ93)</f>
        <v/>
      </c>
      <c r="BA94" s="748">
        <f>SUM(BA85,BA87,BA93)</f>
        <v/>
      </c>
      <c r="BB94" s="748">
        <f>SUM(BB85,BB87,BB93)</f>
        <v/>
      </c>
      <c r="BC94" s="748">
        <f>SUM(BC85,BC87,BC93)</f>
        <v/>
      </c>
      <c r="BD94" s="748">
        <f>SUM(BD85,BD87,BD93)</f>
        <v/>
      </c>
      <c r="BE94" s="748">
        <f>SUM(BE85,BE87,BE93)</f>
        <v/>
      </c>
      <c r="BF94" s="748">
        <f>SUM(BF85,BF87,BF93)</f>
        <v/>
      </c>
      <c r="BG94" s="748">
        <f>SUM(BG85,BG87,BG93)</f>
        <v/>
      </c>
      <c r="BH94" s="748">
        <f>SUM(BH85,BH87,BH93)</f>
        <v/>
      </c>
      <c r="BI94" s="748">
        <f>SUM(BI85,BI87,BI93)</f>
        <v/>
      </c>
      <c r="BJ94" s="748">
        <f>SUM(BJ85,BJ87,BJ93)</f>
        <v/>
      </c>
      <c r="BK94" s="748">
        <f>SUM(BK85,BK87,BK93)</f>
        <v/>
      </c>
      <c r="BL94" s="748">
        <f>SUM(BL85,BL87,BL93)</f>
        <v/>
      </c>
      <c r="BM94" s="748">
        <f>SUM(BM85,BM87,BM93)</f>
        <v/>
      </c>
      <c r="BN94" s="748">
        <f>SUM(BN85,BN87,BN93)</f>
        <v/>
      </c>
    </row>
    <row r="95">
      <c r="J95" s="5" t="n"/>
    </row>
    <row r="96">
      <c r="C96" s="24" t="inlineStr">
        <is>
          <t>Liquide middelen BoP</t>
        </is>
      </c>
      <c r="D96" s="420" t="n"/>
      <c r="E96" s="420">
        <f>D98</f>
        <v/>
      </c>
      <c r="F96" s="25">
        <f>E98</f>
        <v/>
      </c>
      <c r="G96" s="420">
        <f>F98</f>
        <v/>
      </c>
      <c r="H96" s="420">
        <f>G98</f>
        <v/>
      </c>
      <c r="I96" s="420">
        <f>H98</f>
        <v/>
      </c>
      <c r="J96" s="420">
        <f>I98</f>
        <v/>
      </c>
      <c r="K96" s="420">
        <f>J98</f>
        <v/>
      </c>
      <c r="L96" s="420">
        <f>K98</f>
        <v/>
      </c>
      <c r="M96" s="420">
        <f>L98</f>
        <v/>
      </c>
      <c r="N96" s="420">
        <f>M98</f>
        <v/>
      </c>
      <c r="O96" s="420">
        <f>N98</f>
        <v/>
      </c>
      <c r="P96" s="420">
        <f>O98</f>
        <v/>
      </c>
      <c r="Q96" s="420">
        <f>P98</f>
        <v/>
      </c>
      <c r="R96" s="420">
        <f>Q98</f>
        <v/>
      </c>
      <c r="S96" s="420">
        <f>R98</f>
        <v/>
      </c>
      <c r="T96" s="420">
        <f>S98</f>
        <v/>
      </c>
      <c r="U96" s="420">
        <f>T98</f>
        <v/>
      </c>
      <c r="V96" s="420">
        <f>U98</f>
        <v/>
      </c>
      <c r="W96" s="420">
        <f>V98</f>
        <v/>
      </c>
      <c r="X96" s="420">
        <f>W98</f>
        <v/>
      </c>
      <c r="Y96" s="420">
        <f>X98</f>
        <v/>
      </c>
      <c r="Z96" s="420">
        <f>Y98</f>
        <v/>
      </c>
      <c r="AA96" s="420">
        <f>Z98</f>
        <v/>
      </c>
      <c r="AB96" s="420">
        <f>AA98</f>
        <v/>
      </c>
      <c r="AC96" s="420">
        <f>AB98</f>
        <v/>
      </c>
      <c r="AD96" s="420">
        <f>AC98</f>
        <v/>
      </c>
      <c r="AE96" s="420">
        <f>AD98</f>
        <v/>
      </c>
      <c r="AF96" s="420">
        <f>AE98</f>
        <v/>
      </c>
      <c r="AG96" s="420">
        <f>AF98</f>
        <v/>
      </c>
      <c r="AH96" s="420">
        <f>AG98</f>
        <v/>
      </c>
      <c r="AI96" s="420">
        <f>AH98</f>
        <v/>
      </c>
      <c r="AJ96" s="420">
        <f>AI98</f>
        <v/>
      </c>
      <c r="AK96" s="420">
        <f>AJ98</f>
        <v/>
      </c>
      <c r="AL96" s="420">
        <f>AK98</f>
        <v/>
      </c>
      <c r="AM96" s="420">
        <f>AL98</f>
        <v/>
      </c>
      <c r="AN96" s="420">
        <f>AM98</f>
        <v/>
      </c>
      <c r="AO96" s="420">
        <f>AN98</f>
        <v/>
      </c>
      <c r="AP96" s="420">
        <f>AO98</f>
        <v/>
      </c>
      <c r="AQ96" s="420">
        <f>AP98</f>
        <v/>
      </c>
      <c r="AR96" s="420">
        <f>AQ98</f>
        <v/>
      </c>
      <c r="AS96" s="420">
        <f>AR98</f>
        <v/>
      </c>
      <c r="AT96" s="420">
        <f>AS98</f>
        <v/>
      </c>
      <c r="AU96" s="420">
        <f>AT98</f>
        <v/>
      </c>
      <c r="AV96" s="420">
        <f>AU98</f>
        <v/>
      </c>
      <c r="AW96" s="420">
        <f>AV98</f>
        <v/>
      </c>
      <c r="AX96" s="420">
        <f>AW98</f>
        <v/>
      </c>
      <c r="AY96" s="420">
        <f>AX98</f>
        <v/>
      </c>
      <c r="AZ96" s="420">
        <f>AY98</f>
        <v/>
      </c>
      <c r="BA96" s="420">
        <f>AZ98</f>
        <v/>
      </c>
      <c r="BB96" s="420">
        <f>BA98</f>
        <v/>
      </c>
      <c r="BC96" s="420">
        <f>BB98</f>
        <v/>
      </c>
      <c r="BD96" s="420">
        <f>BC98</f>
        <v/>
      </c>
      <c r="BE96" s="420">
        <f>BD98</f>
        <v/>
      </c>
      <c r="BF96" s="420">
        <f>BE98</f>
        <v/>
      </c>
      <c r="BG96" s="420">
        <f>BF98</f>
        <v/>
      </c>
      <c r="BH96" s="420">
        <f>BG98</f>
        <v/>
      </c>
      <c r="BI96" s="420">
        <f>BH98</f>
        <v/>
      </c>
      <c r="BJ96" s="420">
        <f>BI98</f>
        <v/>
      </c>
      <c r="BK96" s="420">
        <f>BJ98</f>
        <v/>
      </c>
      <c r="BL96" s="420">
        <f>BK98</f>
        <v/>
      </c>
      <c r="BM96" s="420">
        <f>BL98</f>
        <v/>
      </c>
      <c r="BN96" s="420">
        <f>BM98</f>
        <v/>
      </c>
    </row>
    <row r="97">
      <c r="C97" s="2" t="inlineStr">
        <is>
          <t>Cash flow</t>
        </is>
      </c>
      <c r="D97" s="5" t="n"/>
      <c r="E97" s="5">
        <f>E94</f>
        <v/>
      </c>
      <c r="F97" s="21">
        <f>F94</f>
        <v/>
      </c>
      <c r="G97" s="5">
        <f>G94</f>
        <v/>
      </c>
      <c r="H97" s="5">
        <f>H94</f>
        <v/>
      </c>
      <c r="I97" s="5">
        <f>I94</f>
        <v/>
      </c>
      <c r="J97" s="5">
        <f>J94</f>
        <v/>
      </c>
      <c r="K97" s="5">
        <f>K94</f>
        <v/>
      </c>
      <c r="L97" s="5">
        <f>L94</f>
        <v/>
      </c>
      <c r="M97" s="5">
        <f>M94</f>
        <v/>
      </c>
      <c r="N97" s="5">
        <f>N94</f>
        <v/>
      </c>
      <c r="O97" s="5">
        <f>O94</f>
        <v/>
      </c>
      <c r="P97" s="5">
        <f>P94</f>
        <v/>
      </c>
      <c r="Q97" s="5">
        <f>Q94</f>
        <v/>
      </c>
      <c r="R97" s="5">
        <f>R94</f>
        <v/>
      </c>
      <c r="S97" s="5">
        <f>S94</f>
        <v/>
      </c>
      <c r="T97" s="5">
        <f>T94</f>
        <v/>
      </c>
      <c r="U97" s="5">
        <f>U94</f>
        <v/>
      </c>
      <c r="V97" s="5">
        <f>V94</f>
        <v/>
      </c>
      <c r="W97" s="5">
        <f>W94</f>
        <v/>
      </c>
      <c r="X97" s="5">
        <f>X94</f>
        <v/>
      </c>
      <c r="Y97" s="5">
        <f>Y94</f>
        <v/>
      </c>
      <c r="Z97" s="5">
        <f>Z94</f>
        <v/>
      </c>
      <c r="AA97" s="5">
        <f>AA94</f>
        <v/>
      </c>
      <c r="AB97" s="5">
        <f>AB94</f>
        <v/>
      </c>
      <c r="AC97" s="5">
        <f>AC94</f>
        <v/>
      </c>
      <c r="AD97" s="5">
        <f>AD94</f>
        <v/>
      </c>
      <c r="AE97" s="5">
        <f>AE94</f>
        <v/>
      </c>
      <c r="AF97" s="5">
        <f>AF94</f>
        <v/>
      </c>
      <c r="AG97" s="5">
        <f>AG94</f>
        <v/>
      </c>
      <c r="AH97" s="5">
        <f>AH94</f>
        <v/>
      </c>
      <c r="AI97" s="5">
        <f>AI94</f>
        <v/>
      </c>
      <c r="AJ97" s="5">
        <f>AJ94</f>
        <v/>
      </c>
      <c r="AK97" s="5">
        <f>AK94</f>
        <v/>
      </c>
      <c r="AL97" s="5">
        <f>AL94</f>
        <v/>
      </c>
      <c r="AM97" s="5">
        <f>AM94</f>
        <v/>
      </c>
      <c r="AN97" s="5">
        <f>AN94</f>
        <v/>
      </c>
      <c r="AO97" s="5">
        <f>AO94</f>
        <v/>
      </c>
      <c r="AP97" s="5">
        <f>AP94</f>
        <v/>
      </c>
      <c r="AQ97" s="5">
        <f>AQ94</f>
        <v/>
      </c>
      <c r="AR97" s="5">
        <f>AR94</f>
        <v/>
      </c>
      <c r="AS97" s="5">
        <f>AS94</f>
        <v/>
      </c>
      <c r="AT97" s="5">
        <f>AT94</f>
        <v/>
      </c>
      <c r="AU97" s="5">
        <f>AU94</f>
        <v/>
      </c>
      <c r="AV97" s="5">
        <f>AV94</f>
        <v/>
      </c>
      <c r="AW97" s="5">
        <f>AW94</f>
        <v/>
      </c>
      <c r="AX97" s="5">
        <f>AX94</f>
        <v/>
      </c>
      <c r="AY97" s="5">
        <f>AY94</f>
        <v/>
      </c>
      <c r="AZ97" s="5">
        <f>AZ94</f>
        <v/>
      </c>
      <c r="BA97" s="5">
        <f>BA94</f>
        <v/>
      </c>
      <c r="BB97" s="5">
        <f>BB94</f>
        <v/>
      </c>
      <c r="BC97" s="5">
        <f>BC94</f>
        <v/>
      </c>
      <c r="BD97" s="5">
        <f>BD94</f>
        <v/>
      </c>
      <c r="BE97" s="5">
        <f>BE94</f>
        <v/>
      </c>
      <c r="BF97" s="5">
        <f>BF94</f>
        <v/>
      </c>
      <c r="BG97" s="5">
        <f>BG94</f>
        <v/>
      </c>
      <c r="BH97" s="5">
        <f>BH94</f>
        <v/>
      </c>
      <c r="BI97" s="5">
        <f>BI94</f>
        <v/>
      </c>
      <c r="BJ97" s="5">
        <f>BJ94</f>
        <v/>
      </c>
      <c r="BK97" s="5">
        <f>BK94</f>
        <v/>
      </c>
      <c r="BL97" s="5">
        <f>BL94</f>
        <v/>
      </c>
      <c r="BM97" s="5">
        <f>BM94</f>
        <v/>
      </c>
      <c r="BN97" s="5">
        <f>BN94</f>
        <v/>
      </c>
    </row>
    <row r="98">
      <c r="C98" s="24" t="inlineStr">
        <is>
          <t>Liquide middelen EoP</t>
        </is>
      </c>
      <c r="D98" s="420">
        <f>D17</f>
        <v/>
      </c>
      <c r="E98" s="420">
        <f>SUM(E96:E97)</f>
        <v/>
      </c>
      <c r="F98" s="25">
        <f>SUM(F96:F97)</f>
        <v/>
      </c>
      <c r="G98" s="420">
        <f>SUM(G96:G97)</f>
        <v/>
      </c>
      <c r="H98" s="420">
        <f>SUM(H96:H97)</f>
        <v/>
      </c>
      <c r="I98" s="420">
        <f>SUM(I96:I97)</f>
        <v/>
      </c>
      <c r="J98" s="420">
        <f>SUM(J96:J97)</f>
        <v/>
      </c>
      <c r="K98" s="420">
        <f>SUM(K96:K97)</f>
        <v/>
      </c>
      <c r="L98" s="420">
        <f>SUM(L96:L97)</f>
        <v/>
      </c>
      <c r="M98" s="420">
        <f>SUM(M96:M97)</f>
        <v/>
      </c>
      <c r="N98" s="420">
        <f>SUM(N96:N97)</f>
        <v/>
      </c>
      <c r="O98" s="420">
        <f>SUM(O96:O97)</f>
        <v/>
      </c>
      <c r="P98" s="420">
        <f>SUM(P96:P97)</f>
        <v/>
      </c>
      <c r="Q98" s="420">
        <f>SUM(Q96:Q97)</f>
        <v/>
      </c>
      <c r="R98" s="420">
        <f>SUM(R96:R97)</f>
        <v/>
      </c>
      <c r="S98" s="420">
        <f>SUM(S96:S97)</f>
        <v/>
      </c>
      <c r="T98" s="420">
        <f>SUM(T96:T97)</f>
        <v/>
      </c>
      <c r="U98" s="420">
        <f>SUM(U96:U97)</f>
        <v/>
      </c>
      <c r="V98" s="420">
        <f>SUM(V96:V97)</f>
        <v/>
      </c>
      <c r="W98" s="420">
        <f>SUM(W96:W97)</f>
        <v/>
      </c>
      <c r="X98" s="420">
        <f>SUM(X96:X97)</f>
        <v/>
      </c>
      <c r="Y98" s="420">
        <f>SUM(Y96:Y97)</f>
        <v/>
      </c>
      <c r="Z98" s="420">
        <f>SUM(Z96:Z97)</f>
        <v/>
      </c>
      <c r="AA98" s="420">
        <f>SUM(AA96:AA97)</f>
        <v/>
      </c>
      <c r="AB98" s="420">
        <f>SUM(AB96:AB97)</f>
        <v/>
      </c>
      <c r="AC98" s="420">
        <f>SUM(AC96:AC97)</f>
        <v/>
      </c>
      <c r="AD98" s="420">
        <f>SUM(AD96:AD97)</f>
        <v/>
      </c>
      <c r="AE98" s="420">
        <f>SUM(AE96:AE97)</f>
        <v/>
      </c>
      <c r="AF98" s="420">
        <f>SUM(AF96:AF97)</f>
        <v/>
      </c>
      <c r="AG98" s="420">
        <f>SUM(AG96:AG97)</f>
        <v/>
      </c>
      <c r="AH98" s="420">
        <f>SUM(AH96:AH97)</f>
        <v/>
      </c>
      <c r="AI98" s="420">
        <f>SUM(AI96:AI97)</f>
        <v/>
      </c>
      <c r="AJ98" s="420">
        <f>SUM(AJ96:AJ97)</f>
        <v/>
      </c>
      <c r="AK98" s="420">
        <f>SUM(AK96:AK97)</f>
        <v/>
      </c>
      <c r="AL98" s="420">
        <f>SUM(AL96:AL97)</f>
        <v/>
      </c>
      <c r="AM98" s="420">
        <f>SUM(AM96:AM97)</f>
        <v/>
      </c>
      <c r="AN98" s="420">
        <f>SUM(AN96:AN97)</f>
        <v/>
      </c>
      <c r="AO98" s="420">
        <f>SUM(AO96:AO97)</f>
        <v/>
      </c>
      <c r="AP98" s="420">
        <f>SUM(AP96:AP97)</f>
        <v/>
      </c>
      <c r="AQ98" s="420">
        <f>SUM(AQ96:AQ97)</f>
        <v/>
      </c>
      <c r="AR98" s="420">
        <f>SUM(AR96:AR97)</f>
        <v/>
      </c>
      <c r="AS98" s="420">
        <f>SUM(AS96:AS97)</f>
        <v/>
      </c>
      <c r="AT98" s="420">
        <f>SUM(AT96:AT97)</f>
        <v/>
      </c>
      <c r="AU98" s="420">
        <f>SUM(AU96:AU97)</f>
        <v/>
      </c>
      <c r="AV98" s="420">
        <f>SUM(AV96:AV97)</f>
        <v/>
      </c>
      <c r="AW98" s="420">
        <f>SUM(AW96:AW97)</f>
        <v/>
      </c>
      <c r="AX98" s="420">
        <f>SUM(AX96:AX97)</f>
        <v/>
      </c>
      <c r="AY98" s="420">
        <f>SUM(AY96:AY97)</f>
        <v/>
      </c>
      <c r="AZ98" s="420">
        <f>SUM(AZ96:AZ97)</f>
        <v/>
      </c>
      <c r="BA98" s="420">
        <f>SUM(BA96:BA97)</f>
        <v/>
      </c>
      <c r="BB98" s="420">
        <f>SUM(BB96:BB97)</f>
        <v/>
      </c>
      <c r="BC98" s="420">
        <f>SUM(BC96:BC97)</f>
        <v/>
      </c>
      <c r="BD98" s="420">
        <f>SUM(BD96:BD97)</f>
        <v/>
      </c>
      <c r="BE98" s="420">
        <f>SUM(BE96:BE97)</f>
        <v/>
      </c>
      <c r="BF98" s="420">
        <f>SUM(BF96:BF97)</f>
        <v/>
      </c>
      <c r="BG98" s="420">
        <f>SUM(BG96:BG97)</f>
        <v/>
      </c>
      <c r="BH98" s="420">
        <f>SUM(BH96:BH97)</f>
        <v/>
      </c>
      <c r="BI98" s="420">
        <f>SUM(BI96:BI97)</f>
        <v/>
      </c>
      <c r="BJ98" s="420">
        <f>SUM(BJ96:BJ97)</f>
        <v/>
      </c>
      <c r="BK98" s="420">
        <f>SUM(BK96:BK97)</f>
        <v/>
      </c>
      <c r="BL98" s="420">
        <f>SUM(BL96:BL97)</f>
        <v/>
      </c>
      <c r="BM98" s="420">
        <f>SUM(BM96:BM97)</f>
        <v/>
      </c>
      <c r="BN98" s="420">
        <f>SUM(BN96:BN97)</f>
        <v/>
      </c>
    </row>
    <row r="99">
      <c r="D99" s="5" t="n"/>
      <c r="E99" s="5" t="n"/>
    </row>
    <row r="100" outlineLevel="1">
      <c r="A100" s="10">
        <f>SUM(D100:BN100)</f>
        <v/>
      </c>
      <c r="C100" s="8" t="inlineStr">
        <is>
          <t>Check</t>
        </is>
      </c>
      <c r="D100" s="8">
        <f>D98-D17</f>
        <v/>
      </c>
      <c r="E100" s="8">
        <f>E98-E17</f>
        <v/>
      </c>
      <c r="F100" s="20">
        <f>F98-F17</f>
        <v/>
      </c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  <c r="AA100" s="8" t="n"/>
      <c r="AB100" s="8" t="n"/>
      <c r="AC100" s="8" t="n"/>
      <c r="AD100" s="8" t="n"/>
      <c r="AE100" s="8" t="n"/>
      <c r="AF100" s="8" t="n"/>
      <c r="AG100" s="8" t="n"/>
      <c r="AH100" s="8" t="n"/>
      <c r="AI100" s="8" t="n"/>
      <c r="AJ100" s="8" t="n"/>
      <c r="AK100" s="8" t="n"/>
      <c r="AL100" s="8" t="n"/>
      <c r="AM100" s="8" t="n"/>
      <c r="AN100" s="8" t="n"/>
      <c r="AO100" s="8" t="n"/>
      <c r="AP100" s="8" t="n"/>
      <c r="AQ100" s="8" t="n"/>
      <c r="AR100" s="8" t="n"/>
      <c r="AS100" s="8" t="n"/>
      <c r="AT100" s="8" t="n"/>
      <c r="AU100" s="8" t="n"/>
      <c r="AV100" s="8" t="n"/>
      <c r="AW100" s="8" t="n"/>
      <c r="AX100" s="8" t="n"/>
      <c r="AY100" s="8" t="n"/>
      <c r="AZ100" s="8" t="n"/>
      <c r="BA100" s="8" t="n"/>
      <c r="BB100" s="8" t="n"/>
      <c r="BC100" s="8" t="n"/>
      <c r="BD100" s="8" t="n"/>
      <c r="BE100" s="8" t="n"/>
      <c r="BF100" s="8" t="n"/>
      <c r="BG100" s="8" t="n"/>
      <c r="BH100" s="8" t="n"/>
      <c r="BI100" s="8" t="n"/>
      <c r="BJ100" s="8" t="n"/>
      <c r="BK100" s="8" t="n"/>
      <c r="BL100" s="8" t="n"/>
      <c r="BM100" s="8" t="n"/>
      <c r="BN100" s="8" t="n"/>
    </row>
    <row r="102">
      <c r="C102" s="406">
        <f>"NWK evolutie - "&amp;Historiek!$A$2</f>
        <v/>
      </c>
      <c r="D102" s="407" t="n"/>
      <c r="E102" s="407" t="n"/>
      <c r="F102" s="407" t="n"/>
      <c r="G102" s="407" t="n"/>
      <c r="H102" s="407" t="n"/>
      <c r="I102" s="407" t="n"/>
    </row>
    <row r="103">
      <c r="C103" s="738">
        <f>C$4</f>
        <v/>
      </c>
      <c r="D103" s="741">
        <f>D$4</f>
        <v/>
      </c>
      <c r="E103" s="741">
        <f>E$4</f>
        <v/>
      </c>
      <c r="F103" s="743">
        <f>F$4</f>
        <v/>
      </c>
      <c r="G103" s="741">
        <f>G$4</f>
        <v/>
      </c>
      <c r="H103" s="741">
        <f>H$4</f>
        <v/>
      </c>
      <c r="I103" s="741">
        <f>I$4</f>
        <v/>
      </c>
      <c r="J103" s="741">
        <f>J$4</f>
        <v/>
      </c>
      <c r="K103" s="741">
        <f>K$4</f>
        <v/>
      </c>
      <c r="L103" s="741">
        <f>L$4</f>
        <v/>
      </c>
      <c r="M103" s="741">
        <f>M$4</f>
        <v/>
      </c>
      <c r="N103" s="741">
        <f>N$4</f>
        <v/>
      </c>
      <c r="O103" s="741">
        <f>O$4</f>
        <v/>
      </c>
      <c r="P103" s="741">
        <f>P$4</f>
        <v/>
      </c>
      <c r="Q103" s="741">
        <f>Q$4</f>
        <v/>
      </c>
      <c r="R103" s="741">
        <f>R$4</f>
        <v/>
      </c>
      <c r="S103" s="741">
        <f>S$4</f>
        <v/>
      </c>
      <c r="T103" s="741">
        <f>T$4</f>
        <v/>
      </c>
      <c r="U103" s="741">
        <f>U$4</f>
        <v/>
      </c>
      <c r="V103" s="741">
        <f>V$4</f>
        <v/>
      </c>
      <c r="W103" s="741">
        <f>W$4</f>
        <v/>
      </c>
      <c r="X103" s="741">
        <f>X$4</f>
        <v/>
      </c>
      <c r="Y103" s="741">
        <f>Y$4</f>
        <v/>
      </c>
      <c r="Z103" s="741">
        <f>Z$4</f>
        <v/>
      </c>
      <c r="AA103" s="741">
        <f>AA$4</f>
        <v/>
      </c>
      <c r="AB103" s="741">
        <f>AB$4</f>
        <v/>
      </c>
      <c r="AC103" s="741">
        <f>AC$4</f>
        <v/>
      </c>
      <c r="AD103" s="741">
        <f>AD$4</f>
        <v/>
      </c>
      <c r="AE103" s="741">
        <f>AE$4</f>
        <v/>
      </c>
      <c r="AF103" s="741">
        <f>AF$4</f>
        <v/>
      </c>
      <c r="AG103" s="741">
        <f>AG$4</f>
        <v/>
      </c>
      <c r="AH103" s="741">
        <f>AH$4</f>
        <v/>
      </c>
      <c r="AI103" s="741">
        <f>AI$4</f>
        <v/>
      </c>
      <c r="AJ103" s="741">
        <f>AJ$4</f>
        <v/>
      </c>
      <c r="AK103" s="741">
        <f>AK$4</f>
        <v/>
      </c>
      <c r="AL103" s="741">
        <f>AL$4</f>
        <v/>
      </c>
      <c r="AM103" s="741">
        <f>AM$4</f>
        <v/>
      </c>
      <c r="AN103" s="741">
        <f>AN$4</f>
        <v/>
      </c>
      <c r="AO103" s="741">
        <f>AO$4</f>
        <v/>
      </c>
      <c r="AP103" s="741">
        <f>AP$4</f>
        <v/>
      </c>
      <c r="AQ103" s="741">
        <f>AQ$4</f>
        <v/>
      </c>
      <c r="AR103" s="741">
        <f>AR$4</f>
        <v/>
      </c>
      <c r="AS103" s="741">
        <f>AS$4</f>
        <v/>
      </c>
      <c r="AT103" s="741">
        <f>AT$4</f>
        <v/>
      </c>
      <c r="AU103" s="741">
        <f>AU$4</f>
        <v/>
      </c>
      <c r="AV103" s="741">
        <f>AV$4</f>
        <v/>
      </c>
      <c r="AW103" s="741">
        <f>AW$4</f>
        <v/>
      </c>
      <c r="AX103" s="741">
        <f>AX$4</f>
        <v/>
      </c>
      <c r="AY103" s="741">
        <f>AY$4</f>
        <v/>
      </c>
      <c r="AZ103" s="741">
        <f>AZ$4</f>
        <v/>
      </c>
      <c r="BA103" s="741">
        <f>BA$4</f>
        <v/>
      </c>
      <c r="BB103" s="741">
        <f>BB$4</f>
        <v/>
      </c>
      <c r="BC103" s="741">
        <f>BC$4</f>
        <v/>
      </c>
      <c r="BD103" s="741">
        <f>BD$4</f>
        <v/>
      </c>
      <c r="BE103" s="741">
        <f>BE$4</f>
        <v/>
      </c>
      <c r="BF103" s="741">
        <f>BF$4</f>
        <v/>
      </c>
      <c r="BG103" s="741">
        <f>BG$4</f>
        <v/>
      </c>
      <c r="BH103" s="741">
        <f>BH$4</f>
        <v/>
      </c>
      <c r="BI103" s="741">
        <f>BI$4</f>
        <v/>
      </c>
      <c r="BJ103" s="741">
        <f>BJ$4</f>
        <v/>
      </c>
      <c r="BK103" s="741">
        <f>BK$4</f>
        <v/>
      </c>
      <c r="BL103" s="741">
        <f>BL$4</f>
        <v/>
      </c>
      <c r="BM103" s="741">
        <f>BM$4</f>
        <v/>
      </c>
      <c r="BN103" s="741">
        <f>BN$4</f>
        <v/>
      </c>
    </row>
    <row r="104">
      <c r="C104" s="418" t="inlineStr">
        <is>
          <t>Δ Handelsvorderingen</t>
        </is>
      </c>
      <c r="D104" s="5" t="n"/>
      <c r="E104" s="5">
        <f>D118-E118</f>
        <v/>
      </c>
      <c r="F104" s="5">
        <f>E118-F118</f>
        <v/>
      </c>
      <c r="G104" s="5">
        <f>F118-G118</f>
        <v/>
      </c>
      <c r="H104" s="5">
        <f>G118-H118</f>
        <v/>
      </c>
      <c r="I104" s="5">
        <f>H118-I118</f>
        <v/>
      </c>
      <c r="J104" s="5">
        <f>I118-J118</f>
        <v/>
      </c>
      <c r="K104" s="5">
        <f>J118-K118</f>
        <v/>
      </c>
      <c r="L104" s="5">
        <f>K118-L118</f>
        <v/>
      </c>
      <c r="M104" s="5">
        <f>L118-M118</f>
        <v/>
      </c>
      <c r="N104" s="5">
        <f>M118-N118</f>
        <v/>
      </c>
      <c r="O104" s="5">
        <f>N118-O118</f>
        <v/>
      </c>
      <c r="P104" s="5">
        <f>O118-P118</f>
        <v/>
      </c>
      <c r="Q104" s="5">
        <f>P118-Q118</f>
        <v/>
      </c>
      <c r="R104" s="5">
        <f>Q118-R118</f>
        <v/>
      </c>
      <c r="S104" s="5">
        <f>R118-S118</f>
        <v/>
      </c>
      <c r="T104" s="5">
        <f>S118-T118</f>
        <v/>
      </c>
      <c r="U104" s="5">
        <f>T118-U118</f>
        <v/>
      </c>
      <c r="V104" s="5">
        <f>U118-V118</f>
        <v/>
      </c>
      <c r="W104" s="5">
        <f>V118-W118</f>
        <v/>
      </c>
      <c r="X104" s="5">
        <f>W118-X118</f>
        <v/>
      </c>
      <c r="Y104" s="5">
        <f>X118-Y118</f>
        <v/>
      </c>
      <c r="Z104" s="5">
        <f>Y118-Z118</f>
        <v/>
      </c>
      <c r="AA104" s="5">
        <f>Z118-AA118</f>
        <v/>
      </c>
      <c r="AB104" s="5">
        <f>AA118-AB118</f>
        <v/>
      </c>
      <c r="AC104" s="5">
        <f>AB118-AC118</f>
        <v/>
      </c>
      <c r="AD104" s="5">
        <f>AC118-AD118</f>
        <v/>
      </c>
      <c r="AE104" s="5">
        <f>AD118-AE118</f>
        <v/>
      </c>
      <c r="AF104" s="5">
        <f>AE118-AF118</f>
        <v/>
      </c>
      <c r="AG104" s="5">
        <f>AF118-AG118</f>
        <v/>
      </c>
      <c r="AH104" s="5">
        <f>AG118-AH118</f>
        <v/>
      </c>
      <c r="AI104" s="5">
        <f>AH118-AI118</f>
        <v/>
      </c>
      <c r="AJ104" s="5">
        <f>AI118-AJ118</f>
        <v/>
      </c>
      <c r="AK104" s="5">
        <f>AJ118-AK118</f>
        <v/>
      </c>
      <c r="AL104" s="5">
        <f>AK118-AL118</f>
        <v/>
      </c>
      <c r="AM104" s="5">
        <f>AL118-AM118</f>
        <v/>
      </c>
      <c r="AN104" s="5">
        <f>AM118-AN118</f>
        <v/>
      </c>
      <c r="AO104" s="5">
        <f>AN118-AO118</f>
        <v/>
      </c>
      <c r="AP104" s="5">
        <f>AO118-AP118</f>
        <v/>
      </c>
      <c r="AQ104" s="5">
        <f>AP118-AQ118</f>
        <v/>
      </c>
      <c r="AR104" s="5">
        <f>AQ118-AR118</f>
        <v/>
      </c>
      <c r="AS104" s="5">
        <f>AR118-AS118</f>
        <v/>
      </c>
      <c r="AT104" s="5">
        <f>AS118-AT118</f>
        <v/>
      </c>
      <c r="AU104" s="5">
        <f>AT118-AU118</f>
        <v/>
      </c>
      <c r="AV104" s="5">
        <f>AU118-AV118</f>
        <v/>
      </c>
      <c r="AW104" s="5">
        <f>AV118-AW118</f>
        <v/>
      </c>
      <c r="AX104" s="5">
        <f>AW118-AX118</f>
        <v/>
      </c>
      <c r="AY104" s="5">
        <f>AX118-AY118</f>
        <v/>
      </c>
      <c r="AZ104" s="5">
        <f>AY118-AZ118</f>
        <v/>
      </c>
      <c r="BA104" s="5">
        <f>AZ118-BA118</f>
        <v/>
      </c>
      <c r="BB104" s="5">
        <f>BA118-BB118</f>
        <v/>
      </c>
      <c r="BC104" s="5">
        <f>BB118-BC118</f>
        <v/>
      </c>
      <c r="BD104" s="5">
        <f>BC118-BD118</f>
        <v/>
      </c>
      <c r="BE104" s="5">
        <f>BD118-BE118</f>
        <v/>
      </c>
      <c r="BF104" s="5">
        <f>BE118-BF118</f>
        <v/>
      </c>
      <c r="BG104" s="5">
        <f>BF118-BG118</f>
        <v/>
      </c>
      <c r="BH104" s="5">
        <f>BG118-BH118</f>
        <v/>
      </c>
      <c r="BI104" s="5">
        <f>BH118-BI118</f>
        <v/>
      </c>
      <c r="BJ104" s="5">
        <f>BI118-BJ118</f>
        <v/>
      </c>
      <c r="BK104" s="5">
        <f>BJ118-BK118</f>
        <v/>
      </c>
      <c r="BL104" s="5">
        <f>BK118-BL118</f>
        <v/>
      </c>
      <c r="BM104" s="5">
        <f>BL118-BM118</f>
        <v/>
      </c>
      <c r="BN104" s="5">
        <f>BM118-BN118</f>
        <v/>
      </c>
    </row>
    <row r="105">
      <c r="C105" s="418" t="inlineStr">
        <is>
          <t>Δ Voorraad</t>
        </is>
      </c>
      <c r="D105" s="5" t="n"/>
      <c r="E105" s="5">
        <f>D119-E119</f>
        <v/>
      </c>
      <c r="F105" s="21">
        <f>E119-F119</f>
        <v/>
      </c>
      <c r="G105" s="21">
        <f>F119-G119</f>
        <v/>
      </c>
      <c r="H105" s="21">
        <f>G119-H119</f>
        <v/>
      </c>
      <c r="I105" s="21">
        <f>H119-I119</f>
        <v/>
      </c>
      <c r="J105" s="21">
        <f>I119-J119</f>
        <v/>
      </c>
      <c r="K105" s="21">
        <f>J119-K119</f>
        <v/>
      </c>
      <c r="L105" s="21">
        <f>K119-L119</f>
        <v/>
      </c>
      <c r="M105" s="21">
        <f>L119-M119</f>
        <v/>
      </c>
      <c r="N105" s="21">
        <f>M119-N119</f>
        <v/>
      </c>
      <c r="O105" s="21">
        <f>N119-O119</f>
        <v/>
      </c>
      <c r="P105" s="21">
        <f>O119-P119</f>
        <v/>
      </c>
      <c r="Q105" s="21">
        <f>P119-Q119</f>
        <v/>
      </c>
      <c r="R105" s="21">
        <f>Q119-R119</f>
        <v/>
      </c>
      <c r="S105" s="21">
        <f>R119-S119</f>
        <v/>
      </c>
      <c r="T105" s="21">
        <f>S119-T119</f>
        <v/>
      </c>
      <c r="U105" s="21">
        <f>T119-U119</f>
        <v/>
      </c>
      <c r="V105" s="21">
        <f>U119-V119</f>
        <v/>
      </c>
      <c r="W105" s="21">
        <f>V119-W119</f>
        <v/>
      </c>
      <c r="X105" s="21">
        <f>W119-X119</f>
        <v/>
      </c>
      <c r="Y105" s="21">
        <f>X119-Y119</f>
        <v/>
      </c>
      <c r="Z105" s="21">
        <f>Y119-Z119</f>
        <v/>
      </c>
      <c r="AA105" s="21">
        <f>Z119-AA119</f>
        <v/>
      </c>
      <c r="AB105" s="21">
        <f>AA119-AB119</f>
        <v/>
      </c>
      <c r="AC105" s="21">
        <f>AB119-AC119</f>
        <v/>
      </c>
      <c r="AD105" s="21">
        <f>AC119-AD119</f>
        <v/>
      </c>
      <c r="AE105" s="21">
        <f>AD119-AE119</f>
        <v/>
      </c>
      <c r="AF105" s="21">
        <f>AE119-AF119</f>
        <v/>
      </c>
      <c r="AG105" s="21">
        <f>AF119-AG119</f>
        <v/>
      </c>
      <c r="AH105" s="21">
        <f>AG119-AH119</f>
        <v/>
      </c>
      <c r="AI105" s="21">
        <f>AH119-AI119</f>
        <v/>
      </c>
      <c r="AJ105" s="21">
        <f>AI119-AJ119</f>
        <v/>
      </c>
      <c r="AK105" s="21">
        <f>AJ119-AK119</f>
        <v/>
      </c>
      <c r="AL105" s="21">
        <f>AK119-AL119</f>
        <v/>
      </c>
      <c r="AM105" s="21">
        <f>AL119-AM119</f>
        <v/>
      </c>
      <c r="AN105" s="21">
        <f>AM119-AN119</f>
        <v/>
      </c>
      <c r="AO105" s="21">
        <f>AN119-AO119</f>
        <v/>
      </c>
      <c r="AP105" s="21">
        <f>AO119-AP119</f>
        <v/>
      </c>
      <c r="AQ105" s="21">
        <f>AP119-AQ119</f>
        <v/>
      </c>
      <c r="AR105" s="21">
        <f>AQ119-AR119</f>
        <v/>
      </c>
      <c r="AS105" s="21">
        <f>AR119-AS119</f>
        <v/>
      </c>
      <c r="AT105" s="21">
        <f>AS119-AT119</f>
        <v/>
      </c>
      <c r="AU105" s="21">
        <f>AT119-AU119</f>
        <v/>
      </c>
      <c r="AV105" s="21">
        <f>AU119-AV119</f>
        <v/>
      </c>
      <c r="AW105" s="21">
        <f>AV119-AW119</f>
        <v/>
      </c>
      <c r="AX105" s="21">
        <f>AW119-AX119</f>
        <v/>
      </c>
      <c r="AY105" s="21">
        <f>AX119-AY119</f>
        <v/>
      </c>
      <c r="AZ105" s="21">
        <f>AY119-AZ119</f>
        <v/>
      </c>
      <c r="BA105" s="21">
        <f>AZ119-BA119</f>
        <v/>
      </c>
      <c r="BB105" s="21">
        <f>BA119-BB119</f>
        <v/>
      </c>
      <c r="BC105" s="21">
        <f>BB119-BC119</f>
        <v/>
      </c>
      <c r="BD105" s="21">
        <f>BC119-BD119</f>
        <v/>
      </c>
      <c r="BE105" s="21">
        <f>BD119-BE119</f>
        <v/>
      </c>
      <c r="BF105" s="21">
        <f>BE119-BF119</f>
        <v/>
      </c>
      <c r="BG105" s="21">
        <f>BF119-BG119</f>
        <v/>
      </c>
      <c r="BH105" s="21">
        <f>BG119-BH119</f>
        <v/>
      </c>
      <c r="BI105" s="21">
        <f>BH119-BI119</f>
        <v/>
      </c>
      <c r="BJ105" s="21">
        <f>BI119-BJ119</f>
        <v/>
      </c>
      <c r="BK105" s="21">
        <f>BJ119-BK119</f>
        <v/>
      </c>
      <c r="BL105" s="21">
        <f>BK119-BL119</f>
        <v/>
      </c>
      <c r="BM105" s="21">
        <f>BL119-BM119</f>
        <v/>
      </c>
      <c r="BN105" s="21">
        <f>BM119-BN119</f>
        <v/>
      </c>
    </row>
    <row r="106">
      <c r="C106" s="418" t="inlineStr">
        <is>
          <t>Δ Overige vorderingen</t>
        </is>
      </c>
      <c r="D106" s="5" t="n"/>
      <c r="E106" s="5">
        <f>D120-E120</f>
        <v/>
      </c>
      <c r="F106" s="21">
        <f>E120-F120</f>
        <v/>
      </c>
      <c r="G106" s="21">
        <f>F120-G120</f>
        <v/>
      </c>
      <c r="H106" s="21">
        <f>G120-H120</f>
        <v/>
      </c>
      <c r="I106" s="21">
        <f>H120-I120</f>
        <v/>
      </c>
      <c r="J106" s="21">
        <f>I120-J120</f>
        <v/>
      </c>
      <c r="K106" s="21">
        <f>J120-K120</f>
        <v/>
      </c>
      <c r="L106" s="21">
        <f>K120-L120</f>
        <v/>
      </c>
      <c r="M106" s="21">
        <f>L120-M120</f>
        <v/>
      </c>
      <c r="N106" s="21">
        <f>M120-N120</f>
        <v/>
      </c>
      <c r="O106" s="21">
        <f>N120-O120</f>
        <v/>
      </c>
      <c r="P106" s="21">
        <f>O120-P120</f>
        <v/>
      </c>
      <c r="Q106" s="21">
        <f>P120-Q120</f>
        <v/>
      </c>
      <c r="R106" s="21">
        <f>Q120-R120</f>
        <v/>
      </c>
      <c r="S106" s="21">
        <f>R120-S120</f>
        <v/>
      </c>
      <c r="T106" s="21">
        <f>S120-T120</f>
        <v/>
      </c>
      <c r="U106" s="21">
        <f>T120-U120</f>
        <v/>
      </c>
      <c r="V106" s="21">
        <f>U120-V120</f>
        <v/>
      </c>
      <c r="W106" s="21">
        <f>V120-W120</f>
        <v/>
      </c>
      <c r="X106" s="21">
        <f>W120-X120</f>
        <v/>
      </c>
      <c r="Y106" s="21">
        <f>X120-Y120</f>
        <v/>
      </c>
      <c r="Z106" s="21">
        <f>Y120-Z120</f>
        <v/>
      </c>
      <c r="AA106" s="21">
        <f>Z120-AA120</f>
        <v/>
      </c>
      <c r="AB106" s="21">
        <f>AA120-AB120</f>
        <v/>
      </c>
      <c r="AC106" s="21">
        <f>AB120-AC120</f>
        <v/>
      </c>
      <c r="AD106" s="21">
        <f>AC120-AD120</f>
        <v/>
      </c>
      <c r="AE106" s="21">
        <f>AD120-AE120</f>
        <v/>
      </c>
      <c r="AF106" s="21">
        <f>AE120-AF120</f>
        <v/>
      </c>
      <c r="AG106" s="21">
        <f>AF120-AG120</f>
        <v/>
      </c>
      <c r="AH106" s="21">
        <f>AG120-AH120</f>
        <v/>
      </c>
      <c r="AI106" s="21">
        <f>AH120-AI120</f>
        <v/>
      </c>
      <c r="AJ106" s="21">
        <f>AI120-AJ120</f>
        <v/>
      </c>
      <c r="AK106" s="21">
        <f>AJ120-AK120</f>
        <v/>
      </c>
      <c r="AL106" s="21">
        <f>AK120-AL120</f>
        <v/>
      </c>
      <c r="AM106" s="21">
        <f>AL120-AM120</f>
        <v/>
      </c>
      <c r="AN106" s="21">
        <f>AM120-AN120</f>
        <v/>
      </c>
      <c r="AO106" s="21">
        <f>AN120-AO120</f>
        <v/>
      </c>
      <c r="AP106" s="21">
        <f>AO120-AP120</f>
        <v/>
      </c>
      <c r="AQ106" s="21">
        <f>AP120-AQ120</f>
        <v/>
      </c>
      <c r="AR106" s="21">
        <f>AQ120-AR120</f>
        <v/>
      </c>
      <c r="AS106" s="21">
        <f>AR120-AS120</f>
        <v/>
      </c>
      <c r="AT106" s="21">
        <f>AS120-AT120</f>
        <v/>
      </c>
      <c r="AU106" s="21">
        <f>AT120-AU120</f>
        <v/>
      </c>
      <c r="AV106" s="21">
        <f>AU120-AV120</f>
        <v/>
      </c>
      <c r="AW106" s="21">
        <f>AV120-AW120</f>
        <v/>
      </c>
      <c r="AX106" s="21">
        <f>AW120-AX120</f>
        <v/>
      </c>
      <c r="AY106" s="21">
        <f>AX120-AY120</f>
        <v/>
      </c>
      <c r="AZ106" s="21">
        <f>AY120-AZ120</f>
        <v/>
      </c>
      <c r="BA106" s="21">
        <f>AZ120-BA120</f>
        <v/>
      </c>
      <c r="BB106" s="21">
        <f>BA120-BB120</f>
        <v/>
      </c>
      <c r="BC106" s="21">
        <f>BB120-BC120</f>
        <v/>
      </c>
      <c r="BD106" s="21">
        <f>BC120-BD120</f>
        <v/>
      </c>
      <c r="BE106" s="21">
        <f>BD120-BE120</f>
        <v/>
      </c>
      <c r="BF106" s="21">
        <f>BE120-BF120</f>
        <v/>
      </c>
      <c r="BG106" s="21">
        <f>BF120-BG120</f>
        <v/>
      </c>
      <c r="BH106" s="21">
        <f>BG120-BH120</f>
        <v/>
      </c>
      <c r="BI106" s="21">
        <f>BH120-BI120</f>
        <v/>
      </c>
      <c r="BJ106" s="21">
        <f>BI120-BJ120</f>
        <v/>
      </c>
      <c r="BK106" s="21">
        <f>BJ120-BK120</f>
        <v/>
      </c>
      <c r="BL106" s="21">
        <f>BK120-BL120</f>
        <v/>
      </c>
      <c r="BM106" s="21">
        <f>BL120-BM120</f>
        <v/>
      </c>
      <c r="BN106" s="21">
        <f>BM120-BN120</f>
        <v/>
      </c>
    </row>
    <row r="107">
      <c r="C107" s="419" t="inlineStr">
        <is>
          <t>Δ Handelsschulden</t>
        </is>
      </c>
      <c r="D107" s="5" t="n"/>
      <c r="E107" s="5">
        <f>D121-E121</f>
        <v/>
      </c>
      <c r="F107" s="21">
        <f>E121-F121</f>
        <v/>
      </c>
      <c r="G107" s="21">
        <f>F121-G121</f>
        <v/>
      </c>
      <c r="H107" s="21">
        <f>G121-H121</f>
        <v/>
      </c>
      <c r="I107" s="21">
        <f>H121-I121</f>
        <v/>
      </c>
      <c r="J107" s="21">
        <f>I121-J121</f>
        <v/>
      </c>
      <c r="K107" s="21">
        <f>J121-K121</f>
        <v/>
      </c>
      <c r="L107" s="21">
        <f>K121-L121</f>
        <v/>
      </c>
      <c r="M107" s="21">
        <f>L121-M121</f>
        <v/>
      </c>
      <c r="N107" s="21">
        <f>M121-N121</f>
        <v/>
      </c>
      <c r="O107" s="21">
        <f>N121-O121</f>
        <v/>
      </c>
      <c r="P107" s="21">
        <f>O121-P121</f>
        <v/>
      </c>
      <c r="Q107" s="21">
        <f>P121-Q121</f>
        <v/>
      </c>
      <c r="R107" s="21">
        <f>Q121-R121</f>
        <v/>
      </c>
      <c r="S107" s="21">
        <f>R121-S121</f>
        <v/>
      </c>
      <c r="T107" s="21">
        <f>S121-T121</f>
        <v/>
      </c>
      <c r="U107" s="21">
        <f>T121-U121</f>
        <v/>
      </c>
      <c r="V107" s="21">
        <f>U121-V121</f>
        <v/>
      </c>
      <c r="W107" s="21">
        <f>V121-W121</f>
        <v/>
      </c>
      <c r="X107" s="21">
        <f>W121-X121</f>
        <v/>
      </c>
      <c r="Y107" s="21">
        <f>X121-Y121</f>
        <v/>
      </c>
      <c r="Z107" s="21">
        <f>Y121-Z121</f>
        <v/>
      </c>
      <c r="AA107" s="21">
        <f>Z121-AA121</f>
        <v/>
      </c>
      <c r="AB107" s="21">
        <f>AA121-AB121</f>
        <v/>
      </c>
      <c r="AC107" s="21">
        <f>AB121-AC121</f>
        <v/>
      </c>
      <c r="AD107" s="21">
        <f>AC121-AD121</f>
        <v/>
      </c>
      <c r="AE107" s="21">
        <f>AD121-AE121</f>
        <v/>
      </c>
      <c r="AF107" s="21">
        <f>AE121-AF121</f>
        <v/>
      </c>
      <c r="AG107" s="21">
        <f>AF121-AG121</f>
        <v/>
      </c>
      <c r="AH107" s="21">
        <f>AG121-AH121</f>
        <v/>
      </c>
      <c r="AI107" s="21">
        <f>AH121-AI121</f>
        <v/>
      </c>
      <c r="AJ107" s="21">
        <f>AI121-AJ121</f>
        <v/>
      </c>
      <c r="AK107" s="21">
        <f>AJ121-AK121</f>
        <v/>
      </c>
      <c r="AL107" s="21">
        <f>AK121-AL121</f>
        <v/>
      </c>
      <c r="AM107" s="21">
        <f>AL121-AM121</f>
        <v/>
      </c>
      <c r="AN107" s="21">
        <f>AM121-AN121</f>
        <v/>
      </c>
      <c r="AO107" s="21">
        <f>AN121-AO121</f>
        <v/>
      </c>
      <c r="AP107" s="21">
        <f>AO121-AP121</f>
        <v/>
      </c>
      <c r="AQ107" s="21">
        <f>AP121-AQ121</f>
        <v/>
      </c>
      <c r="AR107" s="21">
        <f>AQ121-AR121</f>
        <v/>
      </c>
      <c r="AS107" s="21">
        <f>AR121-AS121</f>
        <v/>
      </c>
      <c r="AT107" s="21">
        <f>AS121-AT121</f>
        <v/>
      </c>
      <c r="AU107" s="21">
        <f>AT121-AU121</f>
        <v/>
      </c>
      <c r="AV107" s="21">
        <f>AU121-AV121</f>
        <v/>
      </c>
      <c r="AW107" s="21">
        <f>AV121-AW121</f>
        <v/>
      </c>
      <c r="AX107" s="21">
        <f>AW121-AX121</f>
        <v/>
      </c>
      <c r="AY107" s="21">
        <f>AX121-AY121</f>
        <v/>
      </c>
      <c r="AZ107" s="21">
        <f>AY121-AZ121</f>
        <v/>
      </c>
      <c r="BA107" s="21">
        <f>AZ121-BA121</f>
        <v/>
      </c>
      <c r="BB107" s="21">
        <f>BA121-BB121</f>
        <v/>
      </c>
      <c r="BC107" s="21">
        <f>BB121-BC121</f>
        <v/>
      </c>
      <c r="BD107" s="21">
        <f>BC121-BD121</f>
        <v/>
      </c>
      <c r="BE107" s="21">
        <f>BD121-BE121</f>
        <v/>
      </c>
      <c r="BF107" s="21">
        <f>BE121-BF121</f>
        <v/>
      </c>
      <c r="BG107" s="21">
        <f>BF121-BG121</f>
        <v/>
      </c>
      <c r="BH107" s="21">
        <f>BG121-BH121</f>
        <v/>
      </c>
      <c r="BI107" s="21">
        <f>BH121-BI121</f>
        <v/>
      </c>
      <c r="BJ107" s="21">
        <f>BI121-BJ121</f>
        <v/>
      </c>
      <c r="BK107" s="21">
        <f>BJ121-BK121</f>
        <v/>
      </c>
      <c r="BL107" s="21">
        <f>BK121-BL121</f>
        <v/>
      </c>
      <c r="BM107" s="21">
        <f>BL121-BM121</f>
        <v/>
      </c>
      <c r="BN107" s="21">
        <f>BM121-BN121</f>
        <v/>
      </c>
    </row>
    <row r="108">
      <c r="C108" s="419" t="inlineStr">
        <is>
          <t>Δ Ontvangen vooruitbetalingen</t>
        </is>
      </c>
      <c r="D108" s="5" t="n"/>
      <c r="E108" s="5">
        <f>D122-E122</f>
        <v/>
      </c>
      <c r="F108" s="21">
        <f>E122-F122</f>
        <v/>
      </c>
      <c r="G108" s="21">
        <f>F122-G122</f>
        <v/>
      </c>
      <c r="H108" s="21">
        <f>G122-H122</f>
        <v/>
      </c>
      <c r="I108" s="21">
        <f>H122-I122</f>
        <v/>
      </c>
      <c r="J108" s="21">
        <f>I122-J122</f>
        <v/>
      </c>
      <c r="K108" s="21">
        <f>J122-K122</f>
        <v/>
      </c>
      <c r="L108" s="21">
        <f>K122-L122</f>
        <v/>
      </c>
      <c r="M108" s="21">
        <f>L122-M122</f>
        <v/>
      </c>
      <c r="N108" s="21">
        <f>M122-N122</f>
        <v/>
      </c>
      <c r="O108" s="21">
        <f>N122-O122</f>
        <v/>
      </c>
      <c r="P108" s="21">
        <f>O122-P122</f>
        <v/>
      </c>
      <c r="Q108" s="21">
        <f>P122-Q122</f>
        <v/>
      </c>
      <c r="R108" s="21">
        <f>Q122-R122</f>
        <v/>
      </c>
      <c r="S108" s="21">
        <f>R122-S122</f>
        <v/>
      </c>
      <c r="T108" s="21">
        <f>S122-T122</f>
        <v/>
      </c>
      <c r="U108" s="21">
        <f>T122-U122</f>
        <v/>
      </c>
      <c r="V108" s="21">
        <f>U122-V122</f>
        <v/>
      </c>
      <c r="W108" s="21">
        <f>V122-W122</f>
        <v/>
      </c>
      <c r="X108" s="21">
        <f>W122-X122</f>
        <v/>
      </c>
      <c r="Y108" s="21">
        <f>X122-Y122</f>
        <v/>
      </c>
      <c r="Z108" s="21">
        <f>Y122-Z122</f>
        <v/>
      </c>
      <c r="AA108" s="21">
        <f>Z122-AA122</f>
        <v/>
      </c>
      <c r="AB108" s="21">
        <f>AA122-AB122</f>
        <v/>
      </c>
      <c r="AC108" s="21">
        <f>AB122-AC122</f>
        <v/>
      </c>
      <c r="AD108" s="21">
        <f>AC122-AD122</f>
        <v/>
      </c>
      <c r="AE108" s="21">
        <f>AD122-AE122</f>
        <v/>
      </c>
      <c r="AF108" s="21">
        <f>AE122-AF122</f>
        <v/>
      </c>
      <c r="AG108" s="21">
        <f>AF122-AG122</f>
        <v/>
      </c>
      <c r="AH108" s="21">
        <f>AG122-AH122</f>
        <v/>
      </c>
      <c r="AI108" s="21">
        <f>AH122-AI122</f>
        <v/>
      </c>
      <c r="AJ108" s="21">
        <f>AI122-AJ122</f>
        <v/>
      </c>
      <c r="AK108" s="21">
        <f>AJ122-AK122</f>
        <v/>
      </c>
      <c r="AL108" s="21">
        <f>AK122-AL122</f>
        <v/>
      </c>
      <c r="AM108" s="21">
        <f>AL122-AM122</f>
        <v/>
      </c>
      <c r="AN108" s="21">
        <f>AM122-AN122</f>
        <v/>
      </c>
      <c r="AO108" s="21">
        <f>AN122-AO122</f>
        <v/>
      </c>
      <c r="AP108" s="21">
        <f>AO122-AP122</f>
        <v/>
      </c>
      <c r="AQ108" s="21">
        <f>AP122-AQ122</f>
        <v/>
      </c>
      <c r="AR108" s="21">
        <f>AQ122-AR122</f>
        <v/>
      </c>
      <c r="AS108" s="21">
        <f>AR122-AS122</f>
        <v/>
      </c>
      <c r="AT108" s="21">
        <f>AS122-AT122</f>
        <v/>
      </c>
      <c r="AU108" s="21">
        <f>AT122-AU122</f>
        <v/>
      </c>
      <c r="AV108" s="21">
        <f>AU122-AV122</f>
        <v/>
      </c>
      <c r="AW108" s="21">
        <f>AV122-AW122</f>
        <v/>
      </c>
      <c r="AX108" s="21">
        <f>AW122-AX122</f>
        <v/>
      </c>
      <c r="AY108" s="21">
        <f>AX122-AY122</f>
        <v/>
      </c>
      <c r="AZ108" s="21">
        <f>AY122-AZ122</f>
        <v/>
      </c>
      <c r="BA108" s="21">
        <f>AZ122-BA122</f>
        <v/>
      </c>
      <c r="BB108" s="21">
        <f>BA122-BB122</f>
        <v/>
      </c>
      <c r="BC108" s="21">
        <f>BB122-BC122</f>
        <v/>
      </c>
      <c r="BD108" s="21">
        <f>BC122-BD122</f>
        <v/>
      </c>
      <c r="BE108" s="21">
        <f>BD122-BE122</f>
        <v/>
      </c>
      <c r="BF108" s="21">
        <f>BE122-BF122</f>
        <v/>
      </c>
      <c r="BG108" s="21">
        <f>BF122-BG122</f>
        <v/>
      </c>
      <c r="BH108" s="21">
        <f>BG122-BH122</f>
        <v/>
      </c>
      <c r="BI108" s="21">
        <f>BH122-BI122</f>
        <v/>
      </c>
      <c r="BJ108" s="21">
        <f>BI122-BJ122</f>
        <v/>
      </c>
      <c r="BK108" s="21">
        <f>BJ122-BK122</f>
        <v/>
      </c>
      <c r="BL108" s="21">
        <f>BK122-BL122</f>
        <v/>
      </c>
      <c r="BM108" s="21">
        <f>BL122-BM122</f>
        <v/>
      </c>
      <c r="BN108" s="21">
        <f>BM122-BN122</f>
        <v/>
      </c>
    </row>
    <row r="109">
      <c r="C109" s="421" t="inlineStr">
        <is>
          <t>Δ Sociale &amp; fiscale schulden</t>
        </is>
      </c>
      <c r="D109" s="5" t="n"/>
      <c r="E109" s="5">
        <f>D123-E123</f>
        <v/>
      </c>
      <c r="F109" s="21">
        <f>E123-F123</f>
        <v/>
      </c>
      <c r="G109" s="21">
        <f>F123-G123</f>
        <v/>
      </c>
      <c r="H109" s="21">
        <f>G123-H123</f>
        <v/>
      </c>
      <c r="I109" s="21">
        <f>H123-I123</f>
        <v/>
      </c>
      <c r="J109" s="21">
        <f>I123-J123</f>
        <v/>
      </c>
      <c r="K109" s="21">
        <f>J123-K123</f>
        <v/>
      </c>
      <c r="L109" s="21">
        <f>K123-L123</f>
        <v/>
      </c>
      <c r="M109" s="21">
        <f>L123-M123</f>
        <v/>
      </c>
      <c r="N109" s="21">
        <f>M123-N123</f>
        <v/>
      </c>
      <c r="O109" s="21">
        <f>N123-O123</f>
        <v/>
      </c>
      <c r="P109" s="21">
        <f>O123-P123</f>
        <v/>
      </c>
      <c r="Q109" s="21">
        <f>P123-Q123</f>
        <v/>
      </c>
      <c r="R109" s="21">
        <f>Q123-R123</f>
        <v/>
      </c>
      <c r="S109" s="21">
        <f>R123-S123</f>
        <v/>
      </c>
      <c r="T109" s="21">
        <f>S123-T123</f>
        <v/>
      </c>
      <c r="U109" s="21">
        <f>T123-U123</f>
        <v/>
      </c>
      <c r="V109" s="21">
        <f>U123-V123</f>
        <v/>
      </c>
      <c r="W109" s="21">
        <f>V123-W123</f>
        <v/>
      </c>
      <c r="X109" s="21">
        <f>W123-X123</f>
        <v/>
      </c>
      <c r="Y109" s="21">
        <f>X123-Y123</f>
        <v/>
      </c>
      <c r="Z109" s="21">
        <f>Y123-Z123</f>
        <v/>
      </c>
      <c r="AA109" s="21">
        <f>Z123-AA123</f>
        <v/>
      </c>
      <c r="AB109" s="21">
        <f>AA123-AB123</f>
        <v/>
      </c>
      <c r="AC109" s="21">
        <f>AB123-AC123</f>
        <v/>
      </c>
      <c r="AD109" s="21">
        <f>AC123-AD123</f>
        <v/>
      </c>
      <c r="AE109" s="21">
        <f>AD123-AE123</f>
        <v/>
      </c>
      <c r="AF109" s="21">
        <f>AE123-AF123</f>
        <v/>
      </c>
      <c r="AG109" s="21">
        <f>AF123-AG123</f>
        <v/>
      </c>
      <c r="AH109" s="21">
        <f>AG123-AH123</f>
        <v/>
      </c>
      <c r="AI109" s="21">
        <f>AH123-AI123</f>
        <v/>
      </c>
      <c r="AJ109" s="21">
        <f>AI123-AJ123</f>
        <v/>
      </c>
      <c r="AK109" s="21">
        <f>AJ123-AK123</f>
        <v/>
      </c>
      <c r="AL109" s="21">
        <f>AK123-AL123</f>
        <v/>
      </c>
      <c r="AM109" s="21">
        <f>AL123-AM123</f>
        <v/>
      </c>
      <c r="AN109" s="21">
        <f>AM123-AN123</f>
        <v/>
      </c>
      <c r="AO109" s="21">
        <f>AN123-AO123</f>
        <v/>
      </c>
      <c r="AP109" s="21">
        <f>AO123-AP123</f>
        <v/>
      </c>
      <c r="AQ109" s="21">
        <f>AP123-AQ123</f>
        <v/>
      </c>
      <c r="AR109" s="21">
        <f>AQ123-AR123</f>
        <v/>
      </c>
      <c r="AS109" s="21">
        <f>AR123-AS123</f>
        <v/>
      </c>
      <c r="AT109" s="21">
        <f>AS123-AT123</f>
        <v/>
      </c>
      <c r="AU109" s="21">
        <f>AT123-AU123</f>
        <v/>
      </c>
      <c r="AV109" s="21">
        <f>AU123-AV123</f>
        <v/>
      </c>
      <c r="AW109" s="21">
        <f>AV123-AW123</f>
        <v/>
      </c>
      <c r="AX109" s="21">
        <f>AW123-AX123</f>
        <v/>
      </c>
      <c r="AY109" s="21">
        <f>AX123-AY123</f>
        <v/>
      </c>
      <c r="AZ109" s="21">
        <f>AY123-AZ123</f>
        <v/>
      </c>
      <c r="BA109" s="21">
        <f>AZ123-BA123</f>
        <v/>
      </c>
      <c r="BB109" s="21">
        <f>BA123-BB123</f>
        <v/>
      </c>
      <c r="BC109" s="21">
        <f>BB123-BC123</f>
        <v/>
      </c>
      <c r="BD109" s="21">
        <f>BC123-BD123</f>
        <v/>
      </c>
      <c r="BE109" s="21">
        <f>BD123-BE123</f>
        <v/>
      </c>
      <c r="BF109" s="21">
        <f>BE123-BF123</f>
        <v/>
      </c>
      <c r="BG109" s="21">
        <f>BF123-BG123</f>
        <v/>
      </c>
      <c r="BH109" s="21">
        <f>BG123-BH123</f>
        <v/>
      </c>
      <c r="BI109" s="21">
        <f>BH123-BI123</f>
        <v/>
      </c>
      <c r="BJ109" s="21">
        <f>BI123-BJ123</f>
        <v/>
      </c>
      <c r="BK109" s="21">
        <f>BJ123-BK123</f>
        <v/>
      </c>
      <c r="BL109" s="21">
        <f>BK123-BL123</f>
        <v/>
      </c>
      <c r="BM109" s="21">
        <f>BL123-BM123</f>
        <v/>
      </c>
      <c r="BN109" s="21">
        <f>BM123-BN123</f>
        <v/>
      </c>
    </row>
    <row r="110">
      <c r="C110" s="419" t="inlineStr">
        <is>
          <t>Δ Overige schulden</t>
        </is>
      </c>
      <c r="D110" s="5" t="n"/>
      <c r="E110" s="5">
        <f>D124-E124</f>
        <v/>
      </c>
      <c r="F110" s="21">
        <f>E124-F124</f>
        <v/>
      </c>
      <c r="G110" s="21">
        <f>F124-G124</f>
        <v/>
      </c>
      <c r="H110" s="21">
        <f>G124-H124</f>
        <v/>
      </c>
      <c r="I110" s="21">
        <f>H124-I124</f>
        <v/>
      </c>
      <c r="J110" s="21">
        <f>I124-J124</f>
        <v/>
      </c>
      <c r="K110" s="21">
        <f>J124-K124</f>
        <v/>
      </c>
      <c r="L110" s="21">
        <f>K124-L124</f>
        <v/>
      </c>
      <c r="M110" s="21">
        <f>L124-M124</f>
        <v/>
      </c>
      <c r="N110" s="21">
        <f>M124-N124</f>
        <v/>
      </c>
      <c r="O110" s="21">
        <f>N124-O124</f>
        <v/>
      </c>
      <c r="P110" s="21">
        <f>O124-P124</f>
        <v/>
      </c>
      <c r="Q110" s="21">
        <f>P124-Q124</f>
        <v/>
      </c>
      <c r="R110" s="21">
        <f>Q124-R124</f>
        <v/>
      </c>
      <c r="S110" s="21">
        <f>R124-S124</f>
        <v/>
      </c>
      <c r="T110" s="21">
        <f>S124-T124</f>
        <v/>
      </c>
      <c r="U110" s="21">
        <f>T124-U124</f>
        <v/>
      </c>
      <c r="V110" s="21">
        <f>U124-V124</f>
        <v/>
      </c>
      <c r="W110" s="21">
        <f>V124-W124</f>
        <v/>
      </c>
      <c r="X110" s="21">
        <f>W124-X124</f>
        <v/>
      </c>
      <c r="Y110" s="21">
        <f>X124-Y124</f>
        <v/>
      </c>
      <c r="Z110" s="21">
        <f>Y124-Z124</f>
        <v/>
      </c>
      <c r="AA110" s="21">
        <f>Z124-AA124</f>
        <v/>
      </c>
      <c r="AB110" s="21">
        <f>AA124-AB124</f>
        <v/>
      </c>
      <c r="AC110" s="21">
        <f>AB124-AC124</f>
        <v/>
      </c>
      <c r="AD110" s="21">
        <f>AC124-AD124</f>
        <v/>
      </c>
      <c r="AE110" s="21">
        <f>AD124-AE124</f>
        <v/>
      </c>
      <c r="AF110" s="21">
        <f>AE124-AF124</f>
        <v/>
      </c>
      <c r="AG110" s="21">
        <f>AF124-AG124</f>
        <v/>
      </c>
      <c r="AH110" s="21">
        <f>AG124-AH124</f>
        <v/>
      </c>
      <c r="AI110" s="21">
        <f>AH124-AI124</f>
        <v/>
      </c>
      <c r="AJ110" s="21">
        <f>AI124-AJ124</f>
        <v/>
      </c>
      <c r="AK110" s="21">
        <f>AJ124-AK124</f>
        <v/>
      </c>
      <c r="AL110" s="21">
        <f>AK124-AL124</f>
        <v/>
      </c>
      <c r="AM110" s="21">
        <f>AL124-AM124</f>
        <v/>
      </c>
      <c r="AN110" s="21">
        <f>AM124-AN124</f>
        <v/>
      </c>
      <c r="AO110" s="21">
        <f>AN124-AO124</f>
        <v/>
      </c>
      <c r="AP110" s="21">
        <f>AO124-AP124</f>
        <v/>
      </c>
      <c r="AQ110" s="21">
        <f>AP124-AQ124</f>
        <v/>
      </c>
      <c r="AR110" s="21">
        <f>AQ124-AR124</f>
        <v/>
      </c>
      <c r="AS110" s="21">
        <f>AR124-AS124</f>
        <v/>
      </c>
      <c r="AT110" s="21">
        <f>AS124-AT124</f>
        <v/>
      </c>
      <c r="AU110" s="21">
        <f>AT124-AU124</f>
        <v/>
      </c>
      <c r="AV110" s="21">
        <f>AU124-AV124</f>
        <v/>
      </c>
      <c r="AW110" s="21">
        <f>AV124-AW124</f>
        <v/>
      </c>
      <c r="AX110" s="21">
        <f>AW124-AX124</f>
        <v/>
      </c>
      <c r="AY110" s="21">
        <f>AX124-AY124</f>
        <v/>
      </c>
      <c r="AZ110" s="21">
        <f>AY124-AZ124</f>
        <v/>
      </c>
      <c r="BA110" s="21">
        <f>AZ124-BA124</f>
        <v/>
      </c>
      <c r="BB110" s="21">
        <f>BA124-BB124</f>
        <v/>
      </c>
      <c r="BC110" s="21">
        <f>BB124-BC124</f>
        <v/>
      </c>
      <c r="BD110" s="21">
        <f>BC124-BD124</f>
        <v/>
      </c>
      <c r="BE110" s="21">
        <f>BD124-BE124</f>
        <v/>
      </c>
      <c r="BF110" s="21">
        <f>BE124-BF124</f>
        <v/>
      </c>
      <c r="BG110" s="21">
        <f>BF124-BG124</f>
        <v/>
      </c>
      <c r="BH110" s="21">
        <f>BG124-BH124</f>
        <v/>
      </c>
      <c r="BI110" s="21">
        <f>BH124-BI124</f>
        <v/>
      </c>
      <c r="BJ110" s="21">
        <f>BI124-BJ124</f>
        <v/>
      </c>
      <c r="BK110" s="21">
        <f>BJ124-BK124</f>
        <v/>
      </c>
      <c r="BL110" s="21">
        <f>BK124-BL124</f>
        <v/>
      </c>
      <c r="BM110" s="21">
        <f>BL124-BM124</f>
        <v/>
      </c>
      <c r="BN110" s="21">
        <f>BM124-BN124</f>
        <v/>
      </c>
    </row>
    <row r="111">
      <c r="C111" s="421" t="inlineStr">
        <is>
          <t>Δ Overlopende rekeningen (Activa)</t>
        </is>
      </c>
      <c r="D111" s="5" t="n"/>
      <c r="E111" s="5">
        <f>D125-E125</f>
        <v/>
      </c>
      <c r="F111" s="21">
        <f>E125-F125</f>
        <v/>
      </c>
      <c r="G111" s="21">
        <f>F125-G125</f>
        <v/>
      </c>
      <c r="H111" s="21">
        <f>G125-H125</f>
        <v/>
      </c>
      <c r="I111" s="21">
        <f>H125-I125</f>
        <v/>
      </c>
      <c r="J111" s="21">
        <f>I125-J125</f>
        <v/>
      </c>
      <c r="K111" s="21">
        <f>J125-K125</f>
        <v/>
      </c>
      <c r="L111" s="21">
        <f>K125-L125</f>
        <v/>
      </c>
      <c r="M111" s="21">
        <f>L125-M125</f>
        <v/>
      </c>
      <c r="N111" s="21">
        <f>M125-N125</f>
        <v/>
      </c>
      <c r="O111" s="21">
        <f>N125-O125</f>
        <v/>
      </c>
      <c r="P111" s="21">
        <f>O125-P125</f>
        <v/>
      </c>
      <c r="Q111" s="21">
        <f>P125-Q125</f>
        <v/>
      </c>
      <c r="R111" s="21">
        <f>Q125-R125</f>
        <v/>
      </c>
      <c r="S111" s="21">
        <f>R125-S125</f>
        <v/>
      </c>
      <c r="T111" s="21">
        <f>S125-T125</f>
        <v/>
      </c>
      <c r="U111" s="21">
        <f>T125-U125</f>
        <v/>
      </c>
      <c r="V111" s="21">
        <f>U125-V125</f>
        <v/>
      </c>
      <c r="W111" s="21">
        <f>V125-W125</f>
        <v/>
      </c>
      <c r="X111" s="21">
        <f>W125-X125</f>
        <v/>
      </c>
      <c r="Y111" s="21">
        <f>X125-Y125</f>
        <v/>
      </c>
      <c r="Z111" s="21">
        <f>Y125-Z125</f>
        <v/>
      </c>
      <c r="AA111" s="21">
        <f>Z125-AA125</f>
        <v/>
      </c>
      <c r="AB111" s="21">
        <f>AA125-AB125</f>
        <v/>
      </c>
      <c r="AC111" s="21">
        <f>AB125-AC125</f>
        <v/>
      </c>
      <c r="AD111" s="21">
        <f>AC125-AD125</f>
        <v/>
      </c>
      <c r="AE111" s="21">
        <f>AD125-AE125</f>
        <v/>
      </c>
      <c r="AF111" s="21">
        <f>AE125-AF125</f>
        <v/>
      </c>
      <c r="AG111" s="21">
        <f>AF125-AG125</f>
        <v/>
      </c>
      <c r="AH111" s="21">
        <f>AG125-AH125</f>
        <v/>
      </c>
      <c r="AI111" s="21">
        <f>AH125-AI125</f>
        <v/>
      </c>
      <c r="AJ111" s="21">
        <f>AI125-AJ125</f>
        <v/>
      </c>
      <c r="AK111" s="21">
        <f>AJ125-AK125</f>
        <v/>
      </c>
      <c r="AL111" s="21">
        <f>AK125-AL125</f>
        <v/>
      </c>
      <c r="AM111" s="21">
        <f>AL125-AM125</f>
        <v/>
      </c>
      <c r="AN111" s="21">
        <f>AM125-AN125</f>
        <v/>
      </c>
      <c r="AO111" s="21">
        <f>AN125-AO125</f>
        <v/>
      </c>
      <c r="AP111" s="21">
        <f>AO125-AP125</f>
        <v/>
      </c>
      <c r="AQ111" s="21">
        <f>AP125-AQ125</f>
        <v/>
      </c>
      <c r="AR111" s="21">
        <f>AQ125-AR125</f>
        <v/>
      </c>
      <c r="AS111" s="21">
        <f>AR125-AS125</f>
        <v/>
      </c>
      <c r="AT111" s="21">
        <f>AS125-AT125</f>
        <v/>
      </c>
      <c r="AU111" s="21">
        <f>AT125-AU125</f>
        <v/>
      </c>
      <c r="AV111" s="21">
        <f>AU125-AV125</f>
        <v/>
      </c>
      <c r="AW111" s="21">
        <f>AV125-AW125</f>
        <v/>
      </c>
      <c r="AX111" s="21">
        <f>AW125-AX125</f>
        <v/>
      </c>
      <c r="AY111" s="21">
        <f>AX125-AY125</f>
        <v/>
      </c>
      <c r="AZ111" s="21">
        <f>AY125-AZ125</f>
        <v/>
      </c>
      <c r="BA111" s="21">
        <f>AZ125-BA125</f>
        <v/>
      </c>
      <c r="BB111" s="21">
        <f>BA125-BB125</f>
        <v/>
      </c>
      <c r="BC111" s="21">
        <f>BB125-BC125</f>
        <v/>
      </c>
      <c r="BD111" s="21">
        <f>BC125-BD125</f>
        <v/>
      </c>
      <c r="BE111" s="21">
        <f>BD125-BE125</f>
        <v/>
      </c>
      <c r="BF111" s="21">
        <f>BE125-BF125</f>
        <v/>
      </c>
      <c r="BG111" s="21">
        <f>BF125-BG125</f>
        <v/>
      </c>
      <c r="BH111" s="21">
        <f>BG125-BH125</f>
        <v/>
      </c>
      <c r="BI111" s="21">
        <f>BH125-BI125</f>
        <v/>
      </c>
      <c r="BJ111" s="21">
        <f>BI125-BJ125</f>
        <v/>
      </c>
      <c r="BK111" s="21">
        <f>BJ125-BK125</f>
        <v/>
      </c>
      <c r="BL111" s="21">
        <f>BK125-BL125</f>
        <v/>
      </c>
      <c r="BM111" s="21">
        <f>BL125-BM125</f>
        <v/>
      </c>
      <c r="BN111" s="21">
        <f>BM125-BN125</f>
        <v/>
      </c>
    </row>
    <row r="112">
      <c r="C112" s="421" t="inlineStr">
        <is>
          <t>Δ Overlopende rekeningen (Passiva)</t>
        </is>
      </c>
      <c r="D112" s="5" t="n"/>
      <c r="E112" s="5">
        <f>D126-E126</f>
        <v/>
      </c>
      <c r="F112" s="21">
        <f>E126-F126</f>
        <v/>
      </c>
      <c r="G112" s="21">
        <f>F126-G126</f>
        <v/>
      </c>
      <c r="H112" s="21">
        <f>G126-H126</f>
        <v/>
      </c>
      <c r="I112" s="21">
        <f>H126-I126</f>
        <v/>
      </c>
      <c r="J112" s="21">
        <f>I126-J126</f>
        <v/>
      </c>
      <c r="K112" s="21">
        <f>J126-K126</f>
        <v/>
      </c>
      <c r="L112" s="21">
        <f>K126-L126</f>
        <v/>
      </c>
      <c r="M112" s="21">
        <f>L126-M126</f>
        <v/>
      </c>
      <c r="N112" s="21">
        <f>M126-N126</f>
        <v/>
      </c>
      <c r="O112" s="21">
        <f>N126-O126</f>
        <v/>
      </c>
      <c r="P112" s="21">
        <f>O126-P126</f>
        <v/>
      </c>
      <c r="Q112" s="21">
        <f>P126-Q126</f>
        <v/>
      </c>
      <c r="R112" s="21">
        <f>Q126-R126</f>
        <v/>
      </c>
      <c r="S112" s="21">
        <f>R126-S126</f>
        <v/>
      </c>
      <c r="T112" s="21">
        <f>S126-T126</f>
        <v/>
      </c>
      <c r="U112" s="21">
        <f>T126-U126</f>
        <v/>
      </c>
      <c r="V112" s="21">
        <f>U126-V126</f>
        <v/>
      </c>
      <c r="W112" s="21">
        <f>V126-W126</f>
        <v/>
      </c>
      <c r="X112" s="21">
        <f>W126-X126</f>
        <v/>
      </c>
      <c r="Y112" s="21">
        <f>X126-Y126</f>
        <v/>
      </c>
      <c r="Z112" s="21">
        <f>Y126-Z126</f>
        <v/>
      </c>
      <c r="AA112" s="21">
        <f>Z126-AA126</f>
        <v/>
      </c>
      <c r="AB112" s="21">
        <f>AA126-AB126</f>
        <v/>
      </c>
      <c r="AC112" s="21">
        <f>AB126-AC126</f>
        <v/>
      </c>
      <c r="AD112" s="21">
        <f>AC126-AD126</f>
        <v/>
      </c>
      <c r="AE112" s="21">
        <f>AD126-AE126</f>
        <v/>
      </c>
      <c r="AF112" s="21">
        <f>AE126-AF126</f>
        <v/>
      </c>
      <c r="AG112" s="21">
        <f>AF126-AG126</f>
        <v/>
      </c>
      <c r="AH112" s="21">
        <f>AG126-AH126</f>
        <v/>
      </c>
      <c r="AI112" s="21">
        <f>AH126-AI126</f>
        <v/>
      </c>
      <c r="AJ112" s="21">
        <f>AI126-AJ126</f>
        <v/>
      </c>
      <c r="AK112" s="21">
        <f>AJ126-AK126</f>
        <v/>
      </c>
      <c r="AL112" s="21">
        <f>AK126-AL126</f>
        <v/>
      </c>
      <c r="AM112" s="21">
        <f>AL126-AM126</f>
        <v/>
      </c>
      <c r="AN112" s="21">
        <f>AM126-AN126</f>
        <v/>
      </c>
      <c r="AO112" s="21">
        <f>AN126-AO126</f>
        <v/>
      </c>
      <c r="AP112" s="21">
        <f>AO126-AP126</f>
        <v/>
      </c>
      <c r="AQ112" s="21">
        <f>AP126-AQ126</f>
        <v/>
      </c>
      <c r="AR112" s="21">
        <f>AQ126-AR126</f>
        <v/>
      </c>
      <c r="AS112" s="21">
        <f>AR126-AS126</f>
        <v/>
      </c>
      <c r="AT112" s="21">
        <f>AS126-AT126</f>
        <v/>
      </c>
      <c r="AU112" s="21">
        <f>AT126-AU126</f>
        <v/>
      </c>
      <c r="AV112" s="21">
        <f>AU126-AV126</f>
        <v/>
      </c>
      <c r="AW112" s="21">
        <f>AV126-AW126</f>
        <v/>
      </c>
      <c r="AX112" s="21">
        <f>AW126-AX126</f>
        <v/>
      </c>
      <c r="AY112" s="21">
        <f>AX126-AY126</f>
        <v/>
      </c>
      <c r="AZ112" s="21">
        <f>AY126-AZ126</f>
        <v/>
      </c>
      <c r="BA112" s="21">
        <f>AZ126-BA126</f>
        <v/>
      </c>
      <c r="BB112" s="21">
        <f>BA126-BB126</f>
        <v/>
      </c>
      <c r="BC112" s="21">
        <f>BB126-BC126</f>
        <v/>
      </c>
      <c r="BD112" s="21">
        <f>BC126-BD126</f>
        <v/>
      </c>
      <c r="BE112" s="21">
        <f>BD126-BE126</f>
        <v/>
      </c>
      <c r="BF112" s="21">
        <f>BE126-BF126</f>
        <v/>
      </c>
      <c r="BG112" s="21">
        <f>BF126-BG126</f>
        <v/>
      </c>
      <c r="BH112" s="21">
        <f>BG126-BH126</f>
        <v/>
      </c>
      <c r="BI112" s="21">
        <f>BH126-BI126</f>
        <v/>
      </c>
      <c r="BJ112" s="21">
        <f>BI126-BJ126</f>
        <v/>
      </c>
      <c r="BK112" s="21">
        <f>BJ126-BK126</f>
        <v/>
      </c>
      <c r="BL112" s="21">
        <f>BK126-BL126</f>
        <v/>
      </c>
      <c r="BM112" s="21">
        <f>BL126-BM126</f>
        <v/>
      </c>
      <c r="BN112" s="21">
        <f>BM126-BN126</f>
        <v/>
      </c>
    </row>
    <row r="113">
      <c r="C113" s="410" t="inlineStr">
        <is>
          <t>Delta NWK</t>
        </is>
      </c>
      <c r="D113" s="410" t="n"/>
      <c r="E113" s="410">
        <f>SUM(E104:E112)</f>
        <v/>
      </c>
      <c r="F113" s="15">
        <f>SUM(F104:F112)</f>
        <v/>
      </c>
      <c r="G113" s="15">
        <f>SUM(G104:G112)</f>
        <v/>
      </c>
      <c r="H113" s="15">
        <f>SUM(H104:H112)</f>
        <v/>
      </c>
      <c r="I113" s="15">
        <f>SUM(I104:I112)</f>
        <v/>
      </c>
      <c r="J113" s="15">
        <f>SUM(J104:J112)</f>
        <v/>
      </c>
      <c r="K113" s="15">
        <f>SUM(K104:K112)</f>
        <v/>
      </c>
      <c r="L113" s="15">
        <f>SUM(L104:L112)</f>
        <v/>
      </c>
      <c r="M113" s="15">
        <f>SUM(M104:M112)</f>
        <v/>
      </c>
      <c r="N113" s="15">
        <f>SUM(N104:N112)</f>
        <v/>
      </c>
      <c r="O113" s="15">
        <f>SUM(O104:O112)</f>
        <v/>
      </c>
      <c r="P113" s="15">
        <f>SUM(P104:P112)</f>
        <v/>
      </c>
      <c r="Q113" s="15">
        <f>SUM(Q104:Q112)</f>
        <v/>
      </c>
      <c r="R113" s="15">
        <f>SUM(R104:R112)</f>
        <v/>
      </c>
      <c r="S113" s="15">
        <f>SUM(S104:S112)</f>
        <v/>
      </c>
      <c r="T113" s="15">
        <f>SUM(T104:T112)</f>
        <v/>
      </c>
      <c r="U113" s="15">
        <f>SUM(U104:U112)</f>
        <v/>
      </c>
      <c r="V113" s="15">
        <f>SUM(V104:V112)</f>
        <v/>
      </c>
      <c r="W113" s="15">
        <f>SUM(W104:W112)</f>
        <v/>
      </c>
      <c r="X113" s="15">
        <f>SUM(X104:X112)</f>
        <v/>
      </c>
      <c r="Y113" s="15">
        <f>SUM(Y104:Y112)</f>
        <v/>
      </c>
      <c r="Z113" s="15">
        <f>SUM(Z104:Z112)</f>
        <v/>
      </c>
      <c r="AA113" s="15">
        <f>SUM(AA104:AA112)</f>
        <v/>
      </c>
      <c r="AB113" s="15">
        <f>SUM(AB104:AB112)</f>
        <v/>
      </c>
      <c r="AC113" s="15">
        <f>SUM(AC104:AC112)</f>
        <v/>
      </c>
      <c r="AD113" s="15">
        <f>SUM(AD104:AD112)</f>
        <v/>
      </c>
      <c r="AE113" s="15">
        <f>SUM(AE104:AE112)</f>
        <v/>
      </c>
      <c r="AF113" s="15">
        <f>SUM(AF104:AF112)</f>
        <v/>
      </c>
      <c r="AG113" s="15">
        <f>SUM(AG104:AG112)</f>
        <v/>
      </c>
      <c r="AH113" s="15">
        <f>SUM(AH104:AH112)</f>
        <v/>
      </c>
      <c r="AI113" s="15">
        <f>SUM(AI104:AI112)</f>
        <v/>
      </c>
      <c r="AJ113" s="15">
        <f>SUM(AJ104:AJ112)</f>
        <v/>
      </c>
      <c r="AK113" s="15">
        <f>SUM(AK104:AK112)</f>
        <v/>
      </c>
      <c r="AL113" s="15">
        <f>SUM(AL104:AL112)</f>
        <v/>
      </c>
      <c r="AM113" s="15">
        <f>SUM(AM104:AM112)</f>
        <v/>
      </c>
      <c r="AN113" s="15">
        <f>SUM(AN104:AN112)</f>
        <v/>
      </c>
      <c r="AO113" s="15">
        <f>SUM(AO104:AO112)</f>
        <v/>
      </c>
      <c r="AP113" s="15">
        <f>SUM(AP104:AP112)</f>
        <v/>
      </c>
      <c r="AQ113" s="15">
        <f>SUM(AQ104:AQ112)</f>
        <v/>
      </c>
      <c r="AR113" s="15">
        <f>SUM(AR104:AR112)</f>
        <v/>
      </c>
      <c r="AS113" s="15">
        <f>SUM(AS104:AS112)</f>
        <v/>
      </c>
      <c r="AT113" s="15">
        <f>SUM(AT104:AT112)</f>
        <v/>
      </c>
      <c r="AU113" s="15">
        <f>SUM(AU104:AU112)</f>
        <v/>
      </c>
      <c r="AV113" s="15">
        <f>SUM(AV104:AV112)</f>
        <v/>
      </c>
      <c r="AW113" s="15">
        <f>SUM(AW104:AW112)</f>
        <v/>
      </c>
      <c r="AX113" s="15">
        <f>SUM(AX104:AX112)</f>
        <v/>
      </c>
      <c r="AY113" s="15">
        <f>SUM(AY104:AY112)</f>
        <v/>
      </c>
      <c r="AZ113" s="15">
        <f>SUM(AZ104:AZ112)</f>
        <v/>
      </c>
      <c r="BA113" s="15">
        <f>SUM(BA104:BA112)</f>
        <v/>
      </c>
      <c r="BB113" s="15">
        <f>SUM(BB104:BB112)</f>
        <v/>
      </c>
      <c r="BC113" s="15">
        <f>SUM(BC104:BC112)</f>
        <v/>
      </c>
      <c r="BD113" s="15">
        <f>SUM(BD104:BD112)</f>
        <v/>
      </c>
      <c r="BE113" s="15">
        <f>SUM(BE104:BE112)</f>
        <v/>
      </c>
      <c r="BF113" s="15">
        <f>SUM(BF104:BF112)</f>
        <v/>
      </c>
      <c r="BG113" s="15">
        <f>SUM(BG104:BG112)</f>
        <v/>
      </c>
      <c r="BH113" s="15">
        <f>SUM(BH104:BH112)</f>
        <v/>
      </c>
      <c r="BI113" s="15">
        <f>SUM(BI104:BI112)</f>
        <v/>
      </c>
      <c r="BJ113" s="15">
        <f>SUM(BJ104:BJ112)</f>
        <v/>
      </c>
      <c r="BK113" s="15">
        <f>SUM(BK104:BK112)</f>
        <v/>
      </c>
      <c r="BL113" s="15">
        <f>SUM(BL104:BL112)</f>
        <v/>
      </c>
      <c r="BM113" s="15">
        <f>SUM(BM104:BM112)</f>
        <v/>
      </c>
      <c r="BN113" s="15">
        <f>SUM(BN104:BN112)</f>
        <v/>
      </c>
    </row>
    <row r="116">
      <c r="C116" s="406">
        <f>"NWK - "&amp;Historiek!$A$2</f>
        <v/>
      </c>
      <c r="D116" s="407" t="n"/>
      <c r="E116" s="407" t="n"/>
      <c r="F116" s="13" t="n"/>
      <c r="G116" s="407" t="n"/>
      <c r="H116" s="407" t="n"/>
      <c r="I116" s="407" t="n"/>
    </row>
    <row r="117">
      <c r="C117" s="738">
        <f>C$6</f>
        <v/>
      </c>
      <c r="D117" s="742">
        <f>D$6</f>
        <v/>
      </c>
      <c r="E117" s="742">
        <f>E$6</f>
        <v/>
      </c>
      <c r="F117" s="740">
        <f>F$6</f>
        <v/>
      </c>
      <c r="G117" s="741">
        <f>G$6</f>
        <v/>
      </c>
      <c r="H117" s="741">
        <f>H$6</f>
        <v/>
      </c>
      <c r="I117" s="741">
        <f>I$6</f>
        <v/>
      </c>
      <c r="J117" s="741">
        <f>J$6</f>
        <v/>
      </c>
      <c r="K117" s="741">
        <f>K$6</f>
        <v/>
      </c>
      <c r="L117" s="741">
        <f>L$6</f>
        <v/>
      </c>
      <c r="M117" s="741">
        <f>M$6</f>
        <v/>
      </c>
      <c r="N117" s="741">
        <f>N$6</f>
        <v/>
      </c>
      <c r="O117" s="741">
        <f>O$6</f>
        <v/>
      </c>
      <c r="P117" s="741">
        <f>P$6</f>
        <v/>
      </c>
      <c r="Q117" s="741">
        <f>Q$6</f>
        <v/>
      </c>
      <c r="R117" s="741">
        <f>R$6</f>
        <v/>
      </c>
      <c r="S117" s="741">
        <f>S$6</f>
        <v/>
      </c>
      <c r="T117" s="741">
        <f>T$6</f>
        <v/>
      </c>
      <c r="U117" s="741">
        <f>U$6</f>
        <v/>
      </c>
      <c r="V117" s="741">
        <f>V$6</f>
        <v/>
      </c>
      <c r="W117" s="741">
        <f>W$6</f>
        <v/>
      </c>
      <c r="X117" s="741">
        <f>X$6</f>
        <v/>
      </c>
      <c r="Y117" s="741">
        <f>Y$6</f>
        <v/>
      </c>
      <c r="Z117" s="741">
        <f>Z$6</f>
        <v/>
      </c>
      <c r="AA117" s="741">
        <f>AA$6</f>
        <v/>
      </c>
      <c r="AB117" s="741">
        <f>AB$6</f>
        <v/>
      </c>
      <c r="AC117" s="741">
        <f>AC$6</f>
        <v/>
      </c>
      <c r="AD117" s="741">
        <f>AD$6</f>
        <v/>
      </c>
      <c r="AE117" s="741">
        <f>AE$6</f>
        <v/>
      </c>
      <c r="AF117" s="741">
        <f>AF$6</f>
        <v/>
      </c>
      <c r="AG117" s="741">
        <f>AG$6</f>
        <v/>
      </c>
      <c r="AH117" s="741">
        <f>AH$6</f>
        <v/>
      </c>
      <c r="AI117" s="741">
        <f>AI$6</f>
        <v/>
      </c>
      <c r="AJ117" s="741">
        <f>AJ$6</f>
        <v/>
      </c>
      <c r="AK117" s="741">
        <f>AK$6</f>
        <v/>
      </c>
      <c r="AL117" s="741">
        <f>AL$6</f>
        <v/>
      </c>
      <c r="AM117" s="741">
        <f>AM$6</f>
        <v/>
      </c>
      <c r="AN117" s="741">
        <f>AN$6</f>
        <v/>
      </c>
      <c r="AO117" s="741">
        <f>AO$6</f>
        <v/>
      </c>
      <c r="AP117" s="741">
        <f>AP$6</f>
        <v/>
      </c>
      <c r="AQ117" s="741">
        <f>AQ$6</f>
        <v/>
      </c>
      <c r="AR117" s="741">
        <f>AR$6</f>
        <v/>
      </c>
      <c r="AS117" s="741">
        <f>AS$6</f>
        <v/>
      </c>
      <c r="AT117" s="741">
        <f>AT$6</f>
        <v/>
      </c>
      <c r="AU117" s="741">
        <f>AU$6</f>
        <v/>
      </c>
      <c r="AV117" s="741">
        <f>AV$6</f>
        <v/>
      </c>
      <c r="AW117" s="741">
        <f>AW$6</f>
        <v/>
      </c>
      <c r="AX117" s="741">
        <f>AX$6</f>
        <v/>
      </c>
      <c r="AY117" s="741">
        <f>AY$6</f>
        <v/>
      </c>
      <c r="AZ117" s="741">
        <f>AZ$6</f>
        <v/>
      </c>
      <c r="BA117" s="741">
        <f>BA$6</f>
        <v/>
      </c>
      <c r="BB117" s="741">
        <f>BB$6</f>
        <v/>
      </c>
      <c r="BC117" s="741">
        <f>BC$6</f>
        <v/>
      </c>
      <c r="BD117" s="741">
        <f>BD$6</f>
        <v/>
      </c>
      <c r="BE117" s="741">
        <f>BE$6</f>
        <v/>
      </c>
      <c r="BF117" s="741">
        <f>BF$6</f>
        <v/>
      </c>
      <c r="BG117" s="741">
        <f>BG$6</f>
        <v/>
      </c>
      <c r="BH117" s="741">
        <f>BH$6</f>
        <v/>
      </c>
      <c r="BI117" s="741">
        <f>BI$6</f>
        <v/>
      </c>
      <c r="BJ117" s="741">
        <f>BJ$6</f>
        <v/>
      </c>
      <c r="BK117" s="741">
        <f>BK$6</f>
        <v/>
      </c>
      <c r="BL117" s="741">
        <f>BL$6</f>
        <v/>
      </c>
      <c r="BM117" s="741">
        <f>BM$6</f>
        <v/>
      </c>
      <c r="BN117" s="741">
        <f>BN$6</f>
        <v/>
      </c>
    </row>
    <row r="118">
      <c r="C118" s="418" t="inlineStr">
        <is>
          <t>Handelsvorderingen</t>
        </is>
      </c>
      <c r="D118" s="5">
        <f>D14</f>
        <v/>
      </c>
      <c r="E118" s="5">
        <f>E14</f>
        <v/>
      </c>
      <c r="F118" s="21">
        <f>F14</f>
        <v/>
      </c>
      <c r="G118" s="5">
        <f>G14</f>
        <v/>
      </c>
      <c r="H118" s="5">
        <f>H14</f>
        <v/>
      </c>
      <c r="I118" s="5">
        <f>I14</f>
        <v/>
      </c>
      <c r="J118" s="5">
        <f>J14</f>
        <v/>
      </c>
      <c r="K118" s="5">
        <f>K14</f>
        <v/>
      </c>
      <c r="L118" s="5">
        <f>L14</f>
        <v/>
      </c>
      <c r="M118" s="5">
        <f>M14</f>
        <v/>
      </c>
      <c r="N118" s="5">
        <f>N14</f>
        <v/>
      </c>
      <c r="O118" s="5">
        <f>O14</f>
        <v/>
      </c>
      <c r="P118" s="5">
        <f>P14</f>
        <v/>
      </c>
      <c r="Q118" s="5">
        <f>Q14</f>
        <v/>
      </c>
      <c r="R118" s="5">
        <f>R14</f>
        <v/>
      </c>
      <c r="S118" s="5">
        <f>S14</f>
        <v/>
      </c>
      <c r="T118" s="5">
        <f>T14</f>
        <v/>
      </c>
      <c r="U118" s="5">
        <f>U14</f>
        <v/>
      </c>
      <c r="V118" s="5">
        <f>V14</f>
        <v/>
      </c>
      <c r="W118" s="5">
        <f>W14</f>
        <v/>
      </c>
      <c r="X118" s="5">
        <f>X14</f>
        <v/>
      </c>
      <c r="Y118" s="5">
        <f>Y14</f>
        <v/>
      </c>
      <c r="Z118" s="5">
        <f>Z14</f>
        <v/>
      </c>
      <c r="AA118" s="5">
        <f>AA14</f>
        <v/>
      </c>
      <c r="AB118" s="5">
        <f>AB14</f>
        <v/>
      </c>
      <c r="AC118" s="5">
        <f>AC14</f>
        <v/>
      </c>
      <c r="AD118" s="5">
        <f>AD14</f>
        <v/>
      </c>
      <c r="AE118" s="5">
        <f>AE14</f>
        <v/>
      </c>
      <c r="AF118" s="5">
        <f>AF14</f>
        <v/>
      </c>
      <c r="AG118" s="5">
        <f>AG14</f>
        <v/>
      </c>
      <c r="AH118" s="5">
        <f>AH14</f>
        <v/>
      </c>
      <c r="AI118" s="5">
        <f>AI14</f>
        <v/>
      </c>
      <c r="AJ118" s="5">
        <f>AJ14</f>
        <v/>
      </c>
      <c r="AK118" s="5">
        <f>AK14</f>
        <v/>
      </c>
      <c r="AL118" s="5">
        <f>AL14</f>
        <v/>
      </c>
      <c r="AM118" s="5">
        <f>AM14</f>
        <v/>
      </c>
      <c r="AN118" s="5">
        <f>AN14</f>
        <v/>
      </c>
      <c r="AO118" s="5">
        <f>AO14</f>
        <v/>
      </c>
      <c r="AP118" s="5">
        <f>AP14</f>
        <v/>
      </c>
      <c r="AQ118" s="5">
        <f>AQ14</f>
        <v/>
      </c>
      <c r="AR118" s="5">
        <f>AR14</f>
        <v/>
      </c>
      <c r="AS118" s="5">
        <f>AS14</f>
        <v/>
      </c>
      <c r="AT118" s="5">
        <f>AT14</f>
        <v/>
      </c>
      <c r="AU118" s="5">
        <f>AU14</f>
        <v/>
      </c>
      <c r="AV118" s="5">
        <f>AV14</f>
        <v/>
      </c>
      <c r="AW118" s="5">
        <f>AW14</f>
        <v/>
      </c>
      <c r="AX118" s="5">
        <f>AX14</f>
        <v/>
      </c>
      <c r="AY118" s="5">
        <f>AY14</f>
        <v/>
      </c>
      <c r="AZ118" s="5">
        <f>AZ14</f>
        <v/>
      </c>
      <c r="BA118" s="5">
        <f>BA14</f>
        <v/>
      </c>
      <c r="BB118" s="5">
        <f>BB14</f>
        <v/>
      </c>
      <c r="BC118" s="5">
        <f>BC14</f>
        <v/>
      </c>
      <c r="BD118" s="5">
        <f>BD14</f>
        <v/>
      </c>
      <c r="BE118" s="5">
        <f>BE14</f>
        <v/>
      </c>
      <c r="BF118" s="5">
        <f>BF14</f>
        <v/>
      </c>
      <c r="BG118" s="5">
        <f>BG14</f>
        <v/>
      </c>
      <c r="BH118" s="5">
        <f>BH14</f>
        <v/>
      </c>
      <c r="BI118" s="5">
        <f>BI14</f>
        <v/>
      </c>
      <c r="BJ118" s="5">
        <f>BJ14</f>
        <v/>
      </c>
      <c r="BK118" s="5">
        <f>BK14</f>
        <v/>
      </c>
      <c r="BL118" s="5">
        <f>BL14</f>
        <v/>
      </c>
      <c r="BM118" s="5">
        <f>BM14</f>
        <v/>
      </c>
      <c r="BN118" s="5">
        <f>BN14</f>
        <v/>
      </c>
    </row>
    <row r="119">
      <c r="C119" s="418" t="inlineStr">
        <is>
          <t>Voorraad</t>
        </is>
      </c>
      <c r="D119" s="5">
        <f>D15</f>
        <v/>
      </c>
      <c r="E119" s="5">
        <f>E15</f>
        <v/>
      </c>
      <c r="F119" s="21">
        <f>F15</f>
        <v/>
      </c>
      <c r="G119" s="5">
        <f>G15</f>
        <v/>
      </c>
      <c r="H119" s="5">
        <f>H15</f>
        <v/>
      </c>
      <c r="I119" s="5">
        <f>I15</f>
        <v/>
      </c>
      <c r="J119" s="5">
        <f>J15</f>
        <v/>
      </c>
      <c r="K119" s="5">
        <f>K15</f>
        <v/>
      </c>
      <c r="L119" s="5">
        <f>L15</f>
        <v/>
      </c>
      <c r="M119" s="5">
        <f>M15</f>
        <v/>
      </c>
      <c r="N119" s="5">
        <f>N15</f>
        <v/>
      </c>
      <c r="O119" s="5">
        <f>O15</f>
        <v/>
      </c>
      <c r="P119" s="5">
        <f>P15</f>
        <v/>
      </c>
      <c r="Q119" s="5">
        <f>Q15</f>
        <v/>
      </c>
      <c r="R119" s="5">
        <f>R15</f>
        <v/>
      </c>
      <c r="S119" s="5">
        <f>S15</f>
        <v/>
      </c>
      <c r="T119" s="5">
        <f>T15</f>
        <v/>
      </c>
      <c r="U119" s="5">
        <f>U15</f>
        <v/>
      </c>
      <c r="V119" s="5">
        <f>V15</f>
        <v/>
      </c>
      <c r="W119" s="5">
        <f>W15</f>
        <v/>
      </c>
      <c r="X119" s="5">
        <f>X15</f>
        <v/>
      </c>
      <c r="Y119" s="5">
        <f>Y15</f>
        <v/>
      </c>
      <c r="Z119" s="5">
        <f>Z15</f>
        <v/>
      </c>
      <c r="AA119" s="5">
        <f>AA15</f>
        <v/>
      </c>
      <c r="AB119" s="5">
        <f>AB15</f>
        <v/>
      </c>
      <c r="AC119" s="5">
        <f>AC15</f>
        <v/>
      </c>
      <c r="AD119" s="5">
        <f>AD15</f>
        <v/>
      </c>
      <c r="AE119" s="5">
        <f>AE15</f>
        <v/>
      </c>
      <c r="AF119" s="5">
        <f>AF15</f>
        <v/>
      </c>
      <c r="AG119" s="5">
        <f>AG15</f>
        <v/>
      </c>
      <c r="AH119" s="5">
        <f>AH15</f>
        <v/>
      </c>
      <c r="AI119" s="5">
        <f>AI15</f>
        <v/>
      </c>
      <c r="AJ119" s="5">
        <f>AJ15</f>
        <v/>
      </c>
      <c r="AK119" s="5">
        <f>AK15</f>
        <v/>
      </c>
      <c r="AL119" s="5">
        <f>AL15</f>
        <v/>
      </c>
      <c r="AM119" s="5">
        <f>AM15</f>
        <v/>
      </c>
      <c r="AN119" s="5">
        <f>AN15</f>
        <v/>
      </c>
      <c r="AO119" s="5">
        <f>AO15</f>
        <v/>
      </c>
      <c r="AP119" s="5">
        <f>AP15</f>
        <v/>
      </c>
      <c r="AQ119" s="5">
        <f>AQ15</f>
        <v/>
      </c>
      <c r="AR119" s="5">
        <f>AR15</f>
        <v/>
      </c>
      <c r="AS119" s="5">
        <f>AS15</f>
        <v/>
      </c>
      <c r="AT119" s="5">
        <f>AT15</f>
        <v/>
      </c>
      <c r="AU119" s="5">
        <f>AU15</f>
        <v/>
      </c>
      <c r="AV119" s="5">
        <f>AV15</f>
        <v/>
      </c>
      <c r="AW119" s="5">
        <f>AW15</f>
        <v/>
      </c>
      <c r="AX119" s="5">
        <f>AX15</f>
        <v/>
      </c>
      <c r="AY119" s="5">
        <f>AY15</f>
        <v/>
      </c>
      <c r="AZ119" s="5">
        <f>AZ15</f>
        <v/>
      </c>
      <c r="BA119" s="5">
        <f>BA15</f>
        <v/>
      </c>
      <c r="BB119" s="5">
        <f>BB15</f>
        <v/>
      </c>
      <c r="BC119" s="5">
        <f>BC15</f>
        <v/>
      </c>
      <c r="BD119" s="5">
        <f>BD15</f>
        <v/>
      </c>
      <c r="BE119" s="5">
        <f>BE15</f>
        <v/>
      </c>
      <c r="BF119" s="5">
        <f>BF15</f>
        <v/>
      </c>
      <c r="BG119" s="5">
        <f>BG15</f>
        <v/>
      </c>
      <c r="BH119" s="5">
        <f>BH15</f>
        <v/>
      </c>
      <c r="BI119" s="5">
        <f>BI15</f>
        <v/>
      </c>
      <c r="BJ119" s="5">
        <f>BJ15</f>
        <v/>
      </c>
      <c r="BK119" s="5">
        <f>BK15</f>
        <v/>
      </c>
      <c r="BL119" s="5">
        <f>BL15</f>
        <v/>
      </c>
      <c r="BM119" s="5">
        <f>BM15</f>
        <v/>
      </c>
      <c r="BN119" s="5">
        <f>BN15</f>
        <v/>
      </c>
    </row>
    <row r="120">
      <c r="C120" s="418" t="inlineStr">
        <is>
          <t>Overige vorderingen</t>
        </is>
      </c>
      <c r="D120" s="5">
        <f>D16</f>
        <v/>
      </c>
      <c r="E120" s="5">
        <f>E16</f>
        <v/>
      </c>
      <c r="F120" s="21">
        <f>F16</f>
        <v/>
      </c>
      <c r="G120" s="5">
        <f>G16</f>
        <v/>
      </c>
      <c r="H120" s="5">
        <f>H16</f>
        <v/>
      </c>
      <c r="I120" s="5">
        <f>I16</f>
        <v/>
      </c>
      <c r="J120" s="5">
        <f>J16</f>
        <v/>
      </c>
      <c r="K120" s="5">
        <f>K16</f>
        <v/>
      </c>
      <c r="L120" s="5">
        <f>L16</f>
        <v/>
      </c>
      <c r="M120" s="5">
        <f>M16</f>
        <v/>
      </c>
      <c r="N120" s="5">
        <f>N16</f>
        <v/>
      </c>
      <c r="O120" s="5">
        <f>O16</f>
        <v/>
      </c>
      <c r="P120" s="5">
        <f>P16</f>
        <v/>
      </c>
      <c r="Q120" s="5">
        <f>Q16</f>
        <v/>
      </c>
      <c r="R120" s="5">
        <f>R16</f>
        <v/>
      </c>
      <c r="S120" s="5">
        <f>S16</f>
        <v/>
      </c>
      <c r="T120" s="5">
        <f>T16</f>
        <v/>
      </c>
      <c r="U120" s="5">
        <f>U16</f>
        <v/>
      </c>
      <c r="V120" s="5">
        <f>V16</f>
        <v/>
      </c>
      <c r="W120" s="5">
        <f>W16</f>
        <v/>
      </c>
      <c r="X120" s="5">
        <f>X16</f>
        <v/>
      </c>
      <c r="Y120" s="5">
        <f>Y16</f>
        <v/>
      </c>
      <c r="Z120" s="5">
        <f>Z16</f>
        <v/>
      </c>
      <c r="AA120" s="5">
        <f>AA16</f>
        <v/>
      </c>
      <c r="AB120" s="5">
        <f>AB16</f>
        <v/>
      </c>
      <c r="AC120" s="5">
        <f>AC16</f>
        <v/>
      </c>
      <c r="AD120" s="5">
        <f>AD16</f>
        <v/>
      </c>
      <c r="AE120" s="5">
        <f>AE16</f>
        <v/>
      </c>
      <c r="AF120" s="5">
        <f>AF16</f>
        <v/>
      </c>
      <c r="AG120" s="5">
        <f>AG16</f>
        <v/>
      </c>
      <c r="AH120" s="5">
        <f>AH16</f>
        <v/>
      </c>
      <c r="AI120" s="5">
        <f>AI16</f>
        <v/>
      </c>
      <c r="AJ120" s="5">
        <f>AJ16</f>
        <v/>
      </c>
      <c r="AK120" s="5">
        <f>AK16</f>
        <v/>
      </c>
      <c r="AL120" s="5">
        <f>AL16</f>
        <v/>
      </c>
      <c r="AM120" s="5">
        <f>AM16</f>
        <v/>
      </c>
      <c r="AN120" s="5">
        <f>AN16</f>
        <v/>
      </c>
      <c r="AO120" s="5">
        <f>AO16</f>
        <v/>
      </c>
      <c r="AP120" s="5">
        <f>AP16</f>
        <v/>
      </c>
      <c r="AQ120" s="5">
        <f>AQ16</f>
        <v/>
      </c>
      <c r="AR120" s="5">
        <f>AR16</f>
        <v/>
      </c>
      <c r="AS120" s="5">
        <f>AS16</f>
        <v/>
      </c>
      <c r="AT120" s="5">
        <f>AT16</f>
        <v/>
      </c>
      <c r="AU120" s="5">
        <f>AU16</f>
        <v/>
      </c>
      <c r="AV120" s="5">
        <f>AV16</f>
        <v/>
      </c>
      <c r="AW120" s="5">
        <f>AW16</f>
        <v/>
      </c>
      <c r="AX120" s="5">
        <f>AX16</f>
        <v/>
      </c>
      <c r="AY120" s="5">
        <f>AY16</f>
        <v/>
      </c>
      <c r="AZ120" s="5">
        <f>AZ16</f>
        <v/>
      </c>
      <c r="BA120" s="5">
        <f>BA16</f>
        <v/>
      </c>
      <c r="BB120" s="5">
        <f>BB16</f>
        <v/>
      </c>
      <c r="BC120" s="5">
        <f>BC16</f>
        <v/>
      </c>
      <c r="BD120" s="5">
        <f>BD16</f>
        <v/>
      </c>
      <c r="BE120" s="5">
        <f>BE16</f>
        <v/>
      </c>
      <c r="BF120" s="5">
        <f>BF16</f>
        <v/>
      </c>
      <c r="BG120" s="5">
        <f>BG16</f>
        <v/>
      </c>
      <c r="BH120" s="5">
        <f>BH16</f>
        <v/>
      </c>
      <c r="BI120" s="5">
        <f>BI16</f>
        <v/>
      </c>
      <c r="BJ120" s="5">
        <f>BJ16</f>
        <v/>
      </c>
      <c r="BK120" s="5">
        <f>BK16</f>
        <v/>
      </c>
      <c r="BL120" s="5">
        <f>BL16</f>
        <v/>
      </c>
      <c r="BM120" s="5">
        <f>BM16</f>
        <v/>
      </c>
      <c r="BN120" s="5">
        <f>BN16</f>
        <v/>
      </c>
    </row>
    <row r="121">
      <c r="C121" s="419" t="inlineStr">
        <is>
          <t>Handelsschulden</t>
        </is>
      </c>
      <c r="D121" s="5">
        <f>-D36</f>
        <v/>
      </c>
      <c r="E121" s="5">
        <f>-E36</f>
        <v/>
      </c>
      <c r="F121" s="21">
        <f>-F36</f>
        <v/>
      </c>
      <c r="G121" s="5">
        <f>-G36</f>
        <v/>
      </c>
      <c r="H121" s="5">
        <f>-H36</f>
        <v/>
      </c>
      <c r="I121" s="5">
        <f>-I36</f>
        <v/>
      </c>
      <c r="J121" s="5">
        <f>-J36</f>
        <v/>
      </c>
      <c r="K121" s="5">
        <f>-K36</f>
        <v/>
      </c>
      <c r="L121" s="5">
        <f>-L36</f>
        <v/>
      </c>
      <c r="M121" s="5">
        <f>-M36</f>
        <v/>
      </c>
      <c r="N121" s="5">
        <f>-N36</f>
        <v/>
      </c>
      <c r="O121" s="5">
        <f>-O36</f>
        <v/>
      </c>
      <c r="P121" s="5">
        <f>-P36</f>
        <v/>
      </c>
      <c r="Q121" s="5">
        <f>-Q36</f>
        <v/>
      </c>
      <c r="R121" s="5">
        <f>-R36</f>
        <v/>
      </c>
      <c r="S121" s="5">
        <f>-S36</f>
        <v/>
      </c>
      <c r="T121" s="5">
        <f>-T36</f>
        <v/>
      </c>
      <c r="U121" s="5">
        <f>-U36</f>
        <v/>
      </c>
      <c r="V121" s="5">
        <f>-V36</f>
        <v/>
      </c>
      <c r="W121" s="5">
        <f>-W36</f>
        <v/>
      </c>
      <c r="X121" s="5">
        <f>-X36</f>
        <v/>
      </c>
      <c r="Y121" s="5">
        <f>-Y36</f>
        <v/>
      </c>
      <c r="Z121" s="5">
        <f>-Z36</f>
        <v/>
      </c>
      <c r="AA121" s="5">
        <f>-AA36</f>
        <v/>
      </c>
      <c r="AB121" s="5">
        <f>-AB36</f>
        <v/>
      </c>
      <c r="AC121" s="5">
        <f>-AC36</f>
        <v/>
      </c>
      <c r="AD121" s="5">
        <f>-AD36</f>
        <v/>
      </c>
      <c r="AE121" s="5">
        <f>-AE36</f>
        <v/>
      </c>
      <c r="AF121" s="5">
        <f>-AF36</f>
        <v/>
      </c>
      <c r="AG121" s="5">
        <f>-AG36</f>
        <v/>
      </c>
      <c r="AH121" s="5">
        <f>-AH36</f>
        <v/>
      </c>
      <c r="AI121" s="5">
        <f>-AI36</f>
        <v/>
      </c>
      <c r="AJ121" s="5">
        <f>-AJ36</f>
        <v/>
      </c>
      <c r="AK121" s="5">
        <f>-AK36</f>
        <v/>
      </c>
      <c r="AL121" s="5">
        <f>-AL36</f>
        <v/>
      </c>
      <c r="AM121" s="5">
        <f>-AM36</f>
        <v/>
      </c>
      <c r="AN121" s="5">
        <f>-AN36</f>
        <v/>
      </c>
      <c r="AO121" s="5">
        <f>-AO36</f>
        <v/>
      </c>
      <c r="AP121" s="5">
        <f>-AP36</f>
        <v/>
      </c>
      <c r="AQ121" s="5">
        <f>-AQ36</f>
        <v/>
      </c>
      <c r="AR121" s="5">
        <f>-AR36</f>
        <v/>
      </c>
      <c r="AS121" s="5">
        <f>-AS36</f>
        <v/>
      </c>
      <c r="AT121" s="5">
        <f>-AT36</f>
        <v/>
      </c>
      <c r="AU121" s="5">
        <f>-AU36</f>
        <v/>
      </c>
      <c r="AV121" s="5">
        <f>-AV36</f>
        <v/>
      </c>
      <c r="AW121" s="5">
        <f>-AW36</f>
        <v/>
      </c>
      <c r="AX121" s="5">
        <f>-AX36</f>
        <v/>
      </c>
      <c r="AY121" s="5">
        <f>-AY36</f>
        <v/>
      </c>
      <c r="AZ121" s="5">
        <f>-AZ36</f>
        <v/>
      </c>
      <c r="BA121" s="5">
        <f>-BA36</f>
        <v/>
      </c>
      <c r="BB121" s="5">
        <f>-BB36</f>
        <v/>
      </c>
      <c r="BC121" s="5">
        <f>-BC36</f>
        <v/>
      </c>
      <c r="BD121" s="5">
        <f>-BD36</f>
        <v/>
      </c>
      <c r="BE121" s="5">
        <f>-BE36</f>
        <v/>
      </c>
      <c r="BF121" s="5">
        <f>-BF36</f>
        <v/>
      </c>
      <c r="BG121" s="5">
        <f>-BG36</f>
        <v/>
      </c>
      <c r="BH121" s="5">
        <f>-BH36</f>
        <v/>
      </c>
      <c r="BI121" s="5">
        <f>-BI36</f>
        <v/>
      </c>
      <c r="BJ121" s="5">
        <f>-BJ36</f>
        <v/>
      </c>
      <c r="BK121" s="5">
        <f>-BK36</f>
        <v/>
      </c>
      <c r="BL121" s="5">
        <f>-BL36</f>
        <v/>
      </c>
      <c r="BM121" s="5">
        <f>-BM36</f>
        <v/>
      </c>
      <c r="BN121" s="5">
        <f>-BN36</f>
        <v/>
      </c>
    </row>
    <row r="122">
      <c r="C122" s="419" t="inlineStr">
        <is>
          <t>Ontvangen vooruitbetalingen</t>
        </is>
      </c>
      <c r="D122" s="5">
        <f>-D37</f>
        <v/>
      </c>
      <c r="E122" s="5">
        <f>-E37</f>
        <v/>
      </c>
      <c r="F122" s="5">
        <f>-F37</f>
        <v/>
      </c>
      <c r="G122" s="5">
        <f>-G37</f>
        <v/>
      </c>
      <c r="H122" s="5">
        <f>-H37</f>
        <v/>
      </c>
      <c r="I122" s="5">
        <f>-I37</f>
        <v/>
      </c>
      <c r="J122" s="5">
        <f>-J37</f>
        <v/>
      </c>
      <c r="K122" s="5">
        <f>-K37</f>
        <v/>
      </c>
      <c r="L122" s="5">
        <f>-L37</f>
        <v/>
      </c>
      <c r="M122" s="5">
        <f>-M37</f>
        <v/>
      </c>
      <c r="N122" s="5">
        <f>-N37</f>
        <v/>
      </c>
      <c r="O122" s="5">
        <f>-O37</f>
        <v/>
      </c>
      <c r="P122" s="5">
        <f>-P37</f>
        <v/>
      </c>
      <c r="Q122" s="5">
        <f>-Q37</f>
        <v/>
      </c>
      <c r="R122" s="5">
        <f>-R37</f>
        <v/>
      </c>
      <c r="S122" s="5">
        <f>-S37</f>
        <v/>
      </c>
      <c r="T122" s="5">
        <f>-T37</f>
        <v/>
      </c>
      <c r="U122" s="5">
        <f>-U37</f>
        <v/>
      </c>
      <c r="V122" s="5">
        <f>-V37</f>
        <v/>
      </c>
      <c r="W122" s="5">
        <f>-W37</f>
        <v/>
      </c>
      <c r="X122" s="5">
        <f>-X37</f>
        <v/>
      </c>
      <c r="Y122" s="5">
        <f>-Y37</f>
        <v/>
      </c>
      <c r="Z122" s="5">
        <f>-Z37</f>
        <v/>
      </c>
      <c r="AA122" s="5">
        <f>-AA37</f>
        <v/>
      </c>
      <c r="AB122" s="5">
        <f>-AB37</f>
        <v/>
      </c>
      <c r="AC122" s="5">
        <f>-AC37</f>
        <v/>
      </c>
      <c r="AD122" s="5">
        <f>-AD37</f>
        <v/>
      </c>
      <c r="AE122" s="5">
        <f>-AE37</f>
        <v/>
      </c>
      <c r="AF122" s="5">
        <f>-AF37</f>
        <v/>
      </c>
      <c r="AG122" s="5">
        <f>-AG37</f>
        <v/>
      </c>
      <c r="AH122" s="5">
        <f>-AH37</f>
        <v/>
      </c>
      <c r="AI122" s="5">
        <f>-AI37</f>
        <v/>
      </c>
      <c r="AJ122" s="5">
        <f>-AJ37</f>
        <v/>
      </c>
      <c r="AK122" s="5">
        <f>-AK37</f>
        <v/>
      </c>
      <c r="AL122" s="5">
        <f>-AL37</f>
        <v/>
      </c>
      <c r="AM122" s="5">
        <f>-AM37</f>
        <v/>
      </c>
      <c r="AN122" s="5">
        <f>-AN37</f>
        <v/>
      </c>
      <c r="AO122" s="5">
        <f>-AO37</f>
        <v/>
      </c>
      <c r="AP122" s="5">
        <f>-AP37</f>
        <v/>
      </c>
      <c r="AQ122" s="5">
        <f>-AQ37</f>
        <v/>
      </c>
      <c r="AR122" s="5">
        <f>-AR37</f>
        <v/>
      </c>
      <c r="AS122" s="5">
        <f>-AS37</f>
        <v/>
      </c>
      <c r="AT122" s="5">
        <f>-AT37</f>
        <v/>
      </c>
      <c r="AU122" s="5">
        <f>-AU37</f>
        <v/>
      </c>
      <c r="AV122" s="5">
        <f>-AV37</f>
        <v/>
      </c>
      <c r="AW122" s="5">
        <f>-AW37</f>
        <v/>
      </c>
      <c r="AX122" s="5">
        <f>-AX37</f>
        <v/>
      </c>
      <c r="AY122" s="5">
        <f>-AY37</f>
        <v/>
      </c>
      <c r="AZ122" s="5">
        <f>-AZ37</f>
        <v/>
      </c>
      <c r="BA122" s="5">
        <f>-BA37</f>
        <v/>
      </c>
      <c r="BB122" s="5">
        <f>-BB37</f>
        <v/>
      </c>
      <c r="BC122" s="5">
        <f>-BC37</f>
        <v/>
      </c>
      <c r="BD122" s="5">
        <f>-BD37</f>
        <v/>
      </c>
      <c r="BE122" s="5">
        <f>-BE37</f>
        <v/>
      </c>
      <c r="BF122" s="5">
        <f>-BF37</f>
        <v/>
      </c>
      <c r="BG122" s="5">
        <f>-BG37</f>
        <v/>
      </c>
      <c r="BH122" s="5">
        <f>-BH37</f>
        <v/>
      </c>
      <c r="BI122" s="5">
        <f>-BI37</f>
        <v/>
      </c>
      <c r="BJ122" s="5">
        <f>-BJ37</f>
        <v/>
      </c>
      <c r="BK122" s="5">
        <f>-BK37</f>
        <v/>
      </c>
      <c r="BL122" s="5">
        <f>-BL37</f>
        <v/>
      </c>
      <c r="BM122" s="5">
        <f>-BM37</f>
        <v/>
      </c>
      <c r="BN122" s="5">
        <f>-BN37</f>
        <v/>
      </c>
    </row>
    <row r="123">
      <c r="C123" s="421" t="inlineStr">
        <is>
          <t>Sociale &amp; fiscale schulden</t>
        </is>
      </c>
      <c r="D123" s="5">
        <f>-D38</f>
        <v/>
      </c>
      <c r="E123" s="5">
        <f>-E38</f>
        <v/>
      </c>
      <c r="F123" s="21">
        <f>-F38</f>
        <v/>
      </c>
      <c r="G123" s="5">
        <f>-G38</f>
        <v/>
      </c>
      <c r="H123" s="5">
        <f>-H38</f>
        <v/>
      </c>
      <c r="I123" s="5">
        <f>-I38</f>
        <v/>
      </c>
      <c r="J123" s="5">
        <f>-J38</f>
        <v/>
      </c>
      <c r="K123" s="5">
        <f>-K38</f>
        <v/>
      </c>
      <c r="L123" s="5">
        <f>-L38</f>
        <v/>
      </c>
      <c r="M123" s="5">
        <f>-M38</f>
        <v/>
      </c>
      <c r="N123" s="5">
        <f>-N38</f>
        <v/>
      </c>
      <c r="O123" s="5">
        <f>-O38</f>
        <v/>
      </c>
      <c r="P123" s="5">
        <f>-P38</f>
        <v/>
      </c>
      <c r="Q123" s="5">
        <f>-Q38</f>
        <v/>
      </c>
      <c r="R123" s="5">
        <f>-R38</f>
        <v/>
      </c>
      <c r="S123" s="5">
        <f>-S38</f>
        <v/>
      </c>
      <c r="T123" s="5">
        <f>-T38</f>
        <v/>
      </c>
      <c r="U123" s="5">
        <f>-U38</f>
        <v/>
      </c>
      <c r="V123" s="5">
        <f>-V38</f>
        <v/>
      </c>
      <c r="W123" s="5">
        <f>-W38</f>
        <v/>
      </c>
      <c r="X123" s="5">
        <f>-X38</f>
        <v/>
      </c>
      <c r="Y123" s="5">
        <f>-Y38</f>
        <v/>
      </c>
      <c r="Z123" s="5">
        <f>-Z38</f>
        <v/>
      </c>
      <c r="AA123" s="5">
        <f>-AA38</f>
        <v/>
      </c>
      <c r="AB123" s="5">
        <f>-AB38</f>
        <v/>
      </c>
      <c r="AC123" s="5">
        <f>-AC38</f>
        <v/>
      </c>
      <c r="AD123" s="5">
        <f>-AD38</f>
        <v/>
      </c>
      <c r="AE123" s="5">
        <f>-AE38</f>
        <v/>
      </c>
      <c r="AF123" s="5">
        <f>-AF38</f>
        <v/>
      </c>
      <c r="AG123" s="5">
        <f>-AG38</f>
        <v/>
      </c>
      <c r="AH123" s="5">
        <f>-AH38</f>
        <v/>
      </c>
      <c r="AI123" s="5">
        <f>-AI38</f>
        <v/>
      </c>
      <c r="AJ123" s="5">
        <f>-AJ38</f>
        <v/>
      </c>
      <c r="AK123" s="5">
        <f>-AK38</f>
        <v/>
      </c>
      <c r="AL123" s="5">
        <f>-AL38</f>
        <v/>
      </c>
      <c r="AM123" s="5">
        <f>-AM38</f>
        <v/>
      </c>
      <c r="AN123" s="5">
        <f>-AN38</f>
        <v/>
      </c>
      <c r="AO123" s="5">
        <f>-AO38</f>
        <v/>
      </c>
      <c r="AP123" s="5">
        <f>-AP38</f>
        <v/>
      </c>
      <c r="AQ123" s="5">
        <f>-AQ38</f>
        <v/>
      </c>
      <c r="AR123" s="5">
        <f>-AR38</f>
        <v/>
      </c>
      <c r="AS123" s="5">
        <f>-AS38</f>
        <v/>
      </c>
      <c r="AT123" s="5">
        <f>-AT38</f>
        <v/>
      </c>
      <c r="AU123" s="5">
        <f>-AU38</f>
        <v/>
      </c>
      <c r="AV123" s="5">
        <f>-AV38</f>
        <v/>
      </c>
      <c r="AW123" s="5">
        <f>-AW38</f>
        <v/>
      </c>
      <c r="AX123" s="5">
        <f>-AX38</f>
        <v/>
      </c>
      <c r="AY123" s="5">
        <f>-AY38</f>
        <v/>
      </c>
      <c r="AZ123" s="5">
        <f>-AZ38</f>
        <v/>
      </c>
      <c r="BA123" s="5">
        <f>-BA38</f>
        <v/>
      </c>
      <c r="BB123" s="5">
        <f>-BB38</f>
        <v/>
      </c>
      <c r="BC123" s="5">
        <f>-BC38</f>
        <v/>
      </c>
      <c r="BD123" s="5">
        <f>-BD38</f>
        <v/>
      </c>
      <c r="BE123" s="5">
        <f>-BE38</f>
        <v/>
      </c>
      <c r="BF123" s="5">
        <f>-BF38</f>
        <v/>
      </c>
      <c r="BG123" s="5">
        <f>-BG38</f>
        <v/>
      </c>
      <c r="BH123" s="5">
        <f>-BH38</f>
        <v/>
      </c>
      <c r="BI123" s="5">
        <f>-BI38</f>
        <v/>
      </c>
      <c r="BJ123" s="5">
        <f>-BJ38</f>
        <v/>
      </c>
      <c r="BK123" s="5">
        <f>-BK38</f>
        <v/>
      </c>
      <c r="BL123" s="5">
        <f>-BL38</f>
        <v/>
      </c>
      <c r="BM123" s="5">
        <f>-BM38</f>
        <v/>
      </c>
      <c r="BN123" s="5">
        <f>-BN38</f>
        <v/>
      </c>
    </row>
    <row r="124">
      <c r="C124" s="419" t="inlineStr">
        <is>
          <t>Overige schulden</t>
        </is>
      </c>
      <c r="D124" s="5">
        <f>-D39</f>
        <v/>
      </c>
      <c r="E124" s="5">
        <f>-E39</f>
        <v/>
      </c>
      <c r="F124" s="21">
        <f>-F39</f>
        <v/>
      </c>
      <c r="G124" s="5">
        <f>-G39</f>
        <v/>
      </c>
      <c r="H124" s="5">
        <f>-H39</f>
        <v/>
      </c>
      <c r="I124" s="5">
        <f>-I39</f>
        <v/>
      </c>
      <c r="J124" s="5">
        <f>-J39</f>
        <v/>
      </c>
      <c r="K124" s="5">
        <f>-K39</f>
        <v/>
      </c>
      <c r="L124" s="5">
        <f>-L39</f>
        <v/>
      </c>
      <c r="M124" s="5">
        <f>-M39</f>
        <v/>
      </c>
      <c r="N124" s="5">
        <f>-N39</f>
        <v/>
      </c>
      <c r="O124" s="5">
        <f>-O39</f>
        <v/>
      </c>
      <c r="P124" s="5">
        <f>-P39</f>
        <v/>
      </c>
      <c r="Q124" s="5">
        <f>-Q39</f>
        <v/>
      </c>
      <c r="R124" s="5">
        <f>-R39</f>
        <v/>
      </c>
      <c r="S124" s="5">
        <f>-S39</f>
        <v/>
      </c>
      <c r="T124" s="5">
        <f>-T39</f>
        <v/>
      </c>
      <c r="U124" s="5">
        <f>-U39</f>
        <v/>
      </c>
      <c r="V124" s="5">
        <f>-V39</f>
        <v/>
      </c>
      <c r="W124" s="5">
        <f>-W39</f>
        <v/>
      </c>
      <c r="X124" s="5">
        <f>-X39</f>
        <v/>
      </c>
      <c r="Y124" s="5">
        <f>-Y39</f>
        <v/>
      </c>
      <c r="Z124" s="5">
        <f>-Z39</f>
        <v/>
      </c>
      <c r="AA124" s="5">
        <f>-AA39</f>
        <v/>
      </c>
      <c r="AB124" s="5">
        <f>-AB39</f>
        <v/>
      </c>
      <c r="AC124" s="5">
        <f>-AC39</f>
        <v/>
      </c>
      <c r="AD124" s="5">
        <f>-AD39</f>
        <v/>
      </c>
      <c r="AE124" s="5">
        <f>-AE39</f>
        <v/>
      </c>
      <c r="AF124" s="5">
        <f>-AF39</f>
        <v/>
      </c>
      <c r="AG124" s="5">
        <f>-AG39</f>
        <v/>
      </c>
      <c r="AH124" s="5">
        <f>-AH39</f>
        <v/>
      </c>
      <c r="AI124" s="5">
        <f>-AI39</f>
        <v/>
      </c>
      <c r="AJ124" s="5">
        <f>-AJ39</f>
        <v/>
      </c>
      <c r="AK124" s="5">
        <f>-AK39</f>
        <v/>
      </c>
      <c r="AL124" s="5">
        <f>-AL39</f>
        <v/>
      </c>
      <c r="AM124" s="5">
        <f>-AM39</f>
        <v/>
      </c>
      <c r="AN124" s="5">
        <f>-AN39</f>
        <v/>
      </c>
      <c r="AO124" s="5">
        <f>-AO39</f>
        <v/>
      </c>
      <c r="AP124" s="5">
        <f>-AP39</f>
        <v/>
      </c>
      <c r="AQ124" s="5">
        <f>-AQ39</f>
        <v/>
      </c>
      <c r="AR124" s="5">
        <f>-AR39</f>
        <v/>
      </c>
      <c r="AS124" s="5">
        <f>-AS39</f>
        <v/>
      </c>
      <c r="AT124" s="5">
        <f>-AT39</f>
        <v/>
      </c>
      <c r="AU124" s="5">
        <f>-AU39</f>
        <v/>
      </c>
      <c r="AV124" s="5">
        <f>-AV39</f>
        <v/>
      </c>
      <c r="AW124" s="5">
        <f>-AW39</f>
        <v/>
      </c>
      <c r="AX124" s="5">
        <f>-AX39</f>
        <v/>
      </c>
      <c r="AY124" s="5">
        <f>-AY39</f>
        <v/>
      </c>
      <c r="AZ124" s="5">
        <f>-AZ39</f>
        <v/>
      </c>
      <c r="BA124" s="5">
        <f>-BA39</f>
        <v/>
      </c>
      <c r="BB124" s="5">
        <f>-BB39</f>
        <v/>
      </c>
      <c r="BC124" s="5">
        <f>-BC39</f>
        <v/>
      </c>
      <c r="BD124" s="5">
        <f>-BD39</f>
        <v/>
      </c>
      <c r="BE124" s="5">
        <f>-BE39</f>
        <v/>
      </c>
      <c r="BF124" s="5">
        <f>-BF39</f>
        <v/>
      </c>
      <c r="BG124" s="5">
        <f>-BG39</f>
        <v/>
      </c>
      <c r="BH124" s="5">
        <f>-BH39</f>
        <v/>
      </c>
      <c r="BI124" s="5">
        <f>-BI39</f>
        <v/>
      </c>
      <c r="BJ124" s="5">
        <f>-BJ39</f>
        <v/>
      </c>
      <c r="BK124" s="5">
        <f>-BK39</f>
        <v/>
      </c>
      <c r="BL124" s="5">
        <f>-BL39</f>
        <v/>
      </c>
      <c r="BM124" s="5">
        <f>-BM39</f>
        <v/>
      </c>
      <c r="BN124" s="5">
        <f>-BN39</f>
        <v/>
      </c>
    </row>
    <row r="125">
      <c r="C125" s="421" t="inlineStr">
        <is>
          <t>Overlopende rekeningen (Activa)</t>
        </is>
      </c>
      <c r="D125" s="5">
        <f>D18</f>
        <v/>
      </c>
      <c r="E125" s="5">
        <f>E18</f>
        <v/>
      </c>
      <c r="F125" s="21">
        <f>F18</f>
        <v/>
      </c>
      <c r="G125" s="5">
        <f>G18</f>
        <v/>
      </c>
      <c r="H125" s="5">
        <f>H18</f>
        <v/>
      </c>
      <c r="I125" s="5">
        <f>I18</f>
        <v/>
      </c>
      <c r="J125" s="5">
        <f>J18</f>
        <v/>
      </c>
      <c r="K125" s="5">
        <f>K18</f>
        <v/>
      </c>
      <c r="L125" s="5">
        <f>L18</f>
        <v/>
      </c>
      <c r="M125" s="5">
        <f>M18</f>
        <v/>
      </c>
      <c r="N125" s="5">
        <f>N18</f>
        <v/>
      </c>
      <c r="O125" s="5">
        <f>O18</f>
        <v/>
      </c>
      <c r="P125" s="5">
        <f>P18</f>
        <v/>
      </c>
      <c r="Q125" s="5">
        <f>Q18</f>
        <v/>
      </c>
      <c r="R125" s="5">
        <f>R18</f>
        <v/>
      </c>
      <c r="S125" s="5">
        <f>S18</f>
        <v/>
      </c>
      <c r="T125" s="5">
        <f>T18</f>
        <v/>
      </c>
      <c r="U125" s="5">
        <f>U18</f>
        <v/>
      </c>
      <c r="V125" s="5">
        <f>V18</f>
        <v/>
      </c>
      <c r="W125" s="5">
        <f>W18</f>
        <v/>
      </c>
      <c r="X125" s="5">
        <f>X18</f>
        <v/>
      </c>
      <c r="Y125" s="5">
        <f>Y18</f>
        <v/>
      </c>
      <c r="Z125" s="5">
        <f>Z18</f>
        <v/>
      </c>
      <c r="AA125" s="5">
        <f>AA18</f>
        <v/>
      </c>
      <c r="AB125" s="5">
        <f>AB18</f>
        <v/>
      </c>
      <c r="AC125" s="5">
        <f>AC18</f>
        <v/>
      </c>
      <c r="AD125" s="5">
        <f>AD18</f>
        <v/>
      </c>
      <c r="AE125" s="5">
        <f>AE18</f>
        <v/>
      </c>
      <c r="AF125" s="5">
        <f>AF18</f>
        <v/>
      </c>
      <c r="AG125" s="5">
        <f>AG18</f>
        <v/>
      </c>
      <c r="AH125" s="5">
        <f>AH18</f>
        <v/>
      </c>
      <c r="AI125" s="5">
        <f>AI18</f>
        <v/>
      </c>
      <c r="AJ125" s="5">
        <f>AJ18</f>
        <v/>
      </c>
      <c r="AK125" s="5">
        <f>AK18</f>
        <v/>
      </c>
      <c r="AL125" s="5">
        <f>AL18</f>
        <v/>
      </c>
      <c r="AM125" s="5">
        <f>AM18</f>
        <v/>
      </c>
      <c r="AN125" s="5">
        <f>AN18</f>
        <v/>
      </c>
      <c r="AO125" s="5">
        <f>AO18</f>
        <v/>
      </c>
      <c r="AP125" s="5">
        <f>AP18</f>
        <v/>
      </c>
      <c r="AQ125" s="5">
        <f>AQ18</f>
        <v/>
      </c>
      <c r="AR125" s="5">
        <f>AR18</f>
        <v/>
      </c>
      <c r="AS125" s="5">
        <f>AS18</f>
        <v/>
      </c>
      <c r="AT125" s="5">
        <f>AT18</f>
        <v/>
      </c>
      <c r="AU125" s="5">
        <f>AU18</f>
        <v/>
      </c>
      <c r="AV125" s="5">
        <f>AV18</f>
        <v/>
      </c>
      <c r="AW125" s="5">
        <f>AW18</f>
        <v/>
      </c>
      <c r="AX125" s="5">
        <f>AX18</f>
        <v/>
      </c>
      <c r="AY125" s="5">
        <f>AY18</f>
        <v/>
      </c>
      <c r="AZ125" s="5">
        <f>AZ18</f>
        <v/>
      </c>
      <c r="BA125" s="5">
        <f>BA18</f>
        <v/>
      </c>
      <c r="BB125" s="5">
        <f>BB18</f>
        <v/>
      </c>
      <c r="BC125" s="5">
        <f>BC18</f>
        <v/>
      </c>
      <c r="BD125" s="5">
        <f>BD18</f>
        <v/>
      </c>
      <c r="BE125" s="5">
        <f>BE18</f>
        <v/>
      </c>
      <c r="BF125" s="5">
        <f>BF18</f>
        <v/>
      </c>
      <c r="BG125" s="5">
        <f>BG18</f>
        <v/>
      </c>
      <c r="BH125" s="5">
        <f>BH18</f>
        <v/>
      </c>
      <c r="BI125" s="5">
        <f>BI18</f>
        <v/>
      </c>
      <c r="BJ125" s="5">
        <f>BJ18</f>
        <v/>
      </c>
      <c r="BK125" s="5">
        <f>BK18</f>
        <v/>
      </c>
      <c r="BL125" s="5">
        <f>BL18</f>
        <v/>
      </c>
      <c r="BM125" s="5">
        <f>BM18</f>
        <v/>
      </c>
      <c r="BN125" s="5">
        <f>BN18</f>
        <v/>
      </c>
    </row>
    <row r="126">
      <c r="C126" s="421" t="inlineStr">
        <is>
          <t>Overlopende rekeningen (Passiva)</t>
        </is>
      </c>
      <c r="D126" s="5">
        <f>-D40</f>
        <v/>
      </c>
      <c r="E126" s="5">
        <f>-E40</f>
        <v/>
      </c>
      <c r="F126" s="21">
        <f>-F40</f>
        <v/>
      </c>
      <c r="G126" s="5">
        <f>-G40</f>
        <v/>
      </c>
      <c r="H126" s="5">
        <f>-H40</f>
        <v/>
      </c>
      <c r="I126" s="5">
        <f>-I40</f>
        <v/>
      </c>
      <c r="J126" s="5">
        <f>-J40</f>
        <v/>
      </c>
      <c r="K126" s="5">
        <f>-K40</f>
        <v/>
      </c>
      <c r="L126" s="5">
        <f>-L40</f>
        <v/>
      </c>
      <c r="M126" s="5">
        <f>-M40</f>
        <v/>
      </c>
      <c r="N126" s="5">
        <f>-N40</f>
        <v/>
      </c>
      <c r="O126" s="5">
        <f>-O40</f>
        <v/>
      </c>
      <c r="P126" s="5">
        <f>-P40</f>
        <v/>
      </c>
      <c r="Q126" s="5">
        <f>-Q40</f>
        <v/>
      </c>
      <c r="R126" s="5">
        <f>-R40</f>
        <v/>
      </c>
      <c r="S126" s="5">
        <f>-S40</f>
        <v/>
      </c>
      <c r="T126" s="5">
        <f>-T40</f>
        <v/>
      </c>
      <c r="U126" s="5">
        <f>-U40</f>
        <v/>
      </c>
      <c r="V126" s="5">
        <f>-V40</f>
        <v/>
      </c>
      <c r="W126" s="5">
        <f>-W40</f>
        <v/>
      </c>
      <c r="X126" s="5">
        <f>-X40</f>
        <v/>
      </c>
      <c r="Y126" s="5">
        <f>-Y40</f>
        <v/>
      </c>
      <c r="Z126" s="5">
        <f>-Z40</f>
        <v/>
      </c>
      <c r="AA126" s="5">
        <f>-AA40</f>
        <v/>
      </c>
      <c r="AB126" s="5">
        <f>-AB40</f>
        <v/>
      </c>
      <c r="AC126" s="5">
        <f>-AC40</f>
        <v/>
      </c>
      <c r="AD126" s="5">
        <f>-AD40</f>
        <v/>
      </c>
      <c r="AE126" s="5">
        <f>-AE40</f>
        <v/>
      </c>
      <c r="AF126" s="5">
        <f>-AF40</f>
        <v/>
      </c>
      <c r="AG126" s="5">
        <f>-AG40</f>
        <v/>
      </c>
      <c r="AH126" s="5">
        <f>-AH40</f>
        <v/>
      </c>
      <c r="AI126" s="5">
        <f>-AI40</f>
        <v/>
      </c>
      <c r="AJ126" s="5">
        <f>-AJ40</f>
        <v/>
      </c>
      <c r="AK126" s="5">
        <f>-AK40</f>
        <v/>
      </c>
      <c r="AL126" s="5">
        <f>-AL40</f>
        <v/>
      </c>
      <c r="AM126" s="5">
        <f>-AM40</f>
        <v/>
      </c>
      <c r="AN126" s="5">
        <f>-AN40</f>
        <v/>
      </c>
      <c r="AO126" s="5">
        <f>-AO40</f>
        <v/>
      </c>
      <c r="AP126" s="5">
        <f>-AP40</f>
        <v/>
      </c>
      <c r="AQ126" s="5">
        <f>-AQ40</f>
        <v/>
      </c>
      <c r="AR126" s="5">
        <f>-AR40</f>
        <v/>
      </c>
      <c r="AS126" s="5">
        <f>-AS40</f>
        <v/>
      </c>
      <c r="AT126" s="5">
        <f>-AT40</f>
        <v/>
      </c>
      <c r="AU126" s="5">
        <f>-AU40</f>
        <v/>
      </c>
      <c r="AV126" s="5">
        <f>-AV40</f>
        <v/>
      </c>
      <c r="AW126" s="5">
        <f>-AW40</f>
        <v/>
      </c>
      <c r="AX126" s="5">
        <f>-AX40</f>
        <v/>
      </c>
      <c r="AY126" s="5">
        <f>-AY40</f>
        <v/>
      </c>
      <c r="AZ126" s="5">
        <f>-AZ40</f>
        <v/>
      </c>
      <c r="BA126" s="5">
        <f>-BA40</f>
        <v/>
      </c>
      <c r="BB126" s="5">
        <f>-BB40</f>
        <v/>
      </c>
      <c r="BC126" s="5">
        <f>-BC40</f>
        <v/>
      </c>
      <c r="BD126" s="5">
        <f>-BD40</f>
        <v/>
      </c>
      <c r="BE126" s="5">
        <f>-BE40</f>
        <v/>
      </c>
      <c r="BF126" s="5">
        <f>-BF40</f>
        <v/>
      </c>
      <c r="BG126" s="5">
        <f>-BG40</f>
        <v/>
      </c>
      <c r="BH126" s="5">
        <f>-BH40</f>
        <v/>
      </c>
      <c r="BI126" s="5">
        <f>-BI40</f>
        <v/>
      </c>
      <c r="BJ126" s="5">
        <f>-BJ40</f>
        <v/>
      </c>
      <c r="BK126" s="5">
        <f>-BK40</f>
        <v/>
      </c>
      <c r="BL126" s="5">
        <f>-BL40</f>
        <v/>
      </c>
      <c r="BM126" s="5">
        <f>-BM40</f>
        <v/>
      </c>
      <c r="BN126" s="5">
        <f>-BN40</f>
        <v/>
      </c>
    </row>
    <row r="127">
      <c r="C127" s="410" t="inlineStr">
        <is>
          <t>NWK</t>
        </is>
      </c>
      <c r="D127" s="410">
        <f>SUM(D118:D126)</f>
        <v/>
      </c>
      <c r="E127" s="410">
        <f>SUM(E118:E126)</f>
        <v/>
      </c>
      <c r="F127" s="15">
        <f>SUM(F118:F126)</f>
        <v/>
      </c>
      <c r="G127" s="15">
        <f>SUM(G118:G126)</f>
        <v/>
      </c>
      <c r="H127" s="15">
        <f>SUM(H118:H126)</f>
        <v/>
      </c>
      <c r="I127" s="15">
        <f>SUM(I118:I126)</f>
        <v/>
      </c>
      <c r="J127" s="15">
        <f>SUM(J118:J126)</f>
        <v/>
      </c>
      <c r="K127" s="15">
        <f>SUM(K118:K126)</f>
        <v/>
      </c>
      <c r="L127" s="15">
        <f>SUM(L118:L126)</f>
        <v/>
      </c>
      <c r="M127" s="15">
        <f>SUM(M118:M126)</f>
        <v/>
      </c>
      <c r="N127" s="15">
        <f>SUM(N118:N126)</f>
        <v/>
      </c>
      <c r="O127" s="15">
        <f>SUM(O118:O126)</f>
        <v/>
      </c>
      <c r="P127" s="15">
        <f>SUM(P118:P126)</f>
        <v/>
      </c>
      <c r="Q127" s="15">
        <f>SUM(Q118:Q126)</f>
        <v/>
      </c>
      <c r="R127" s="15">
        <f>SUM(R118:R126)</f>
        <v/>
      </c>
      <c r="S127" s="15">
        <f>SUM(S118:S126)</f>
        <v/>
      </c>
      <c r="T127" s="15">
        <f>SUM(T118:T126)</f>
        <v/>
      </c>
      <c r="U127" s="15">
        <f>SUM(U118:U126)</f>
        <v/>
      </c>
      <c r="V127" s="15">
        <f>SUM(V118:V126)</f>
        <v/>
      </c>
      <c r="W127" s="15">
        <f>SUM(W118:W126)</f>
        <v/>
      </c>
      <c r="X127" s="15">
        <f>SUM(X118:X126)</f>
        <v/>
      </c>
      <c r="Y127" s="15">
        <f>SUM(Y118:Y126)</f>
        <v/>
      </c>
      <c r="Z127" s="15">
        <f>SUM(Z118:Z126)</f>
        <v/>
      </c>
      <c r="AA127" s="15">
        <f>SUM(AA118:AA126)</f>
        <v/>
      </c>
      <c r="AB127" s="15">
        <f>SUM(AB118:AB126)</f>
        <v/>
      </c>
      <c r="AC127" s="15">
        <f>SUM(AC118:AC126)</f>
        <v/>
      </c>
      <c r="AD127" s="15">
        <f>SUM(AD118:AD126)</f>
        <v/>
      </c>
      <c r="AE127" s="15">
        <f>SUM(AE118:AE126)</f>
        <v/>
      </c>
      <c r="AF127" s="15">
        <f>SUM(AF118:AF126)</f>
        <v/>
      </c>
      <c r="AG127" s="15">
        <f>SUM(AG118:AG126)</f>
        <v/>
      </c>
      <c r="AH127" s="15">
        <f>SUM(AH118:AH126)</f>
        <v/>
      </c>
      <c r="AI127" s="15">
        <f>SUM(AI118:AI126)</f>
        <v/>
      </c>
      <c r="AJ127" s="15">
        <f>SUM(AJ118:AJ126)</f>
        <v/>
      </c>
      <c r="AK127" s="15">
        <f>SUM(AK118:AK126)</f>
        <v/>
      </c>
      <c r="AL127" s="15">
        <f>SUM(AL118:AL126)</f>
        <v/>
      </c>
      <c r="AM127" s="15">
        <f>SUM(AM118:AM126)</f>
        <v/>
      </c>
      <c r="AN127" s="15">
        <f>SUM(AN118:AN126)</f>
        <v/>
      </c>
      <c r="AO127" s="15">
        <f>SUM(AO118:AO126)</f>
        <v/>
      </c>
      <c r="AP127" s="15">
        <f>SUM(AP118:AP126)</f>
        <v/>
      </c>
      <c r="AQ127" s="15">
        <f>SUM(AQ118:AQ126)</f>
        <v/>
      </c>
      <c r="AR127" s="15">
        <f>SUM(AR118:AR126)</f>
        <v/>
      </c>
      <c r="AS127" s="15">
        <f>SUM(AS118:AS126)</f>
        <v/>
      </c>
      <c r="AT127" s="15">
        <f>SUM(AT118:AT126)</f>
        <v/>
      </c>
      <c r="AU127" s="15">
        <f>SUM(AU118:AU126)</f>
        <v/>
      </c>
      <c r="AV127" s="15">
        <f>SUM(AV118:AV126)</f>
        <v/>
      </c>
      <c r="AW127" s="15">
        <f>SUM(AW118:AW126)</f>
        <v/>
      </c>
      <c r="AX127" s="15">
        <f>SUM(AX118:AX126)</f>
        <v/>
      </c>
      <c r="AY127" s="15">
        <f>SUM(AY118:AY126)</f>
        <v/>
      </c>
      <c r="AZ127" s="15">
        <f>SUM(AZ118:AZ126)</f>
        <v/>
      </c>
      <c r="BA127" s="15">
        <f>SUM(BA118:BA126)</f>
        <v/>
      </c>
      <c r="BB127" s="15">
        <f>SUM(BB118:BB126)</f>
        <v/>
      </c>
      <c r="BC127" s="15">
        <f>SUM(BC118:BC126)</f>
        <v/>
      </c>
      <c r="BD127" s="15">
        <f>SUM(BD118:BD126)</f>
        <v/>
      </c>
      <c r="BE127" s="15">
        <f>SUM(BE118:BE126)</f>
        <v/>
      </c>
      <c r="BF127" s="15">
        <f>SUM(BF118:BF126)</f>
        <v/>
      </c>
      <c r="BG127" s="15">
        <f>SUM(BG118:BG126)</f>
        <v/>
      </c>
      <c r="BH127" s="15">
        <f>SUM(BH118:BH126)</f>
        <v/>
      </c>
      <c r="BI127" s="15">
        <f>SUM(BI118:BI126)</f>
        <v/>
      </c>
      <c r="BJ127" s="15">
        <f>SUM(BJ118:BJ126)</f>
        <v/>
      </c>
      <c r="BK127" s="15">
        <f>SUM(BK118:BK126)</f>
        <v/>
      </c>
      <c r="BL127" s="15">
        <f>SUM(BL118:BL126)</f>
        <v/>
      </c>
      <c r="BM127" s="15">
        <f>SUM(BM118:BM126)</f>
        <v/>
      </c>
      <c r="BN127" s="15">
        <f>SUM(BN118:BN126)</f>
        <v/>
      </c>
    </row>
    <row r="128">
      <c r="F128" s="21" t="n"/>
      <c r="G128" s="5" t="n"/>
      <c r="H128" s="5" t="n"/>
      <c r="I128" s="5" t="n"/>
    </row>
    <row r="129" outlineLevel="1">
      <c r="C129" s="2" t="inlineStr">
        <is>
          <t>DSO</t>
        </is>
      </c>
      <c r="D129" s="412" t="n"/>
      <c r="E129" s="412" t="n"/>
      <c r="F129" s="18" t="n"/>
      <c r="G129" s="412" t="n"/>
      <c r="H129" s="412" t="n"/>
      <c r="I129" s="412" t="n"/>
    </row>
    <row r="130" outlineLevel="1">
      <c r="C130" s="2" t="inlineStr">
        <is>
          <t>DPO</t>
        </is>
      </c>
      <c r="D130" s="412" t="n"/>
      <c r="E130" s="412" t="n"/>
      <c r="F130" s="18" t="n"/>
      <c r="G130" s="412" t="n"/>
      <c r="H130" s="412" t="n"/>
      <c r="I130" s="412" t="n"/>
    </row>
    <row r="131" outlineLevel="1">
      <c r="C131" s="2" t="inlineStr">
        <is>
          <t>DIO</t>
        </is>
      </c>
      <c r="D131" s="412" t="n"/>
      <c r="E131" s="412" t="n"/>
      <c r="F131" s="18" t="n"/>
      <c r="G131" s="412" t="n"/>
      <c r="H131" s="412" t="n"/>
      <c r="I131" s="412" t="n"/>
    </row>
    <row r="132" outlineLevel="1">
      <c r="C132" s="2" t="inlineStr">
        <is>
          <t>NWK als een % van de omzet</t>
        </is>
      </c>
      <c r="D132" s="422" t="n"/>
      <c r="E132" s="422" t="n"/>
      <c r="F132" s="26" t="n"/>
      <c r="G132" s="422" t="n"/>
      <c r="H132" s="422" t="n"/>
      <c r="I132" s="422" t="n"/>
    </row>
    <row r="134">
      <c r="C134" s="406">
        <f>"NFD - "&amp;Historiek!$A$2</f>
        <v/>
      </c>
      <c r="D134" s="407" t="n"/>
      <c r="E134" s="407" t="n"/>
      <c r="F134" s="13" t="n"/>
      <c r="G134" s="407" t="n"/>
      <c r="H134" s="407" t="n"/>
      <c r="I134" s="407" t="n"/>
    </row>
    <row r="135">
      <c r="C135" s="738">
        <f>C$6</f>
        <v/>
      </c>
      <c r="D135" s="742">
        <f>D$6</f>
        <v/>
      </c>
      <c r="E135" s="742">
        <f>E$6</f>
        <v/>
      </c>
      <c r="F135" s="740">
        <f>F$6</f>
        <v/>
      </c>
      <c r="G135" s="741">
        <f>G$6</f>
        <v/>
      </c>
      <c r="H135" s="741">
        <f>H$6</f>
        <v/>
      </c>
      <c r="I135" s="741">
        <f>I$6</f>
        <v/>
      </c>
      <c r="J135" s="741">
        <f>J$6</f>
        <v/>
      </c>
      <c r="K135" s="741">
        <f>K$6</f>
        <v/>
      </c>
      <c r="L135" s="741">
        <f>L$6</f>
        <v/>
      </c>
      <c r="M135" s="741">
        <f>M$6</f>
        <v/>
      </c>
      <c r="N135" s="741">
        <f>N$6</f>
        <v/>
      </c>
      <c r="O135" s="741">
        <f>O$6</f>
        <v/>
      </c>
      <c r="P135" s="741">
        <f>P$6</f>
        <v/>
      </c>
      <c r="Q135" s="741">
        <f>Q$6</f>
        <v/>
      </c>
      <c r="R135" s="741">
        <f>R$6</f>
        <v/>
      </c>
      <c r="S135" s="741">
        <f>S$6</f>
        <v/>
      </c>
      <c r="T135" s="741">
        <f>T$6</f>
        <v/>
      </c>
      <c r="U135" s="741">
        <f>U$6</f>
        <v/>
      </c>
      <c r="V135" s="741">
        <f>V$6</f>
        <v/>
      </c>
      <c r="W135" s="741">
        <f>W$6</f>
        <v/>
      </c>
      <c r="X135" s="741">
        <f>X$6</f>
        <v/>
      </c>
      <c r="Y135" s="741">
        <f>Y$6</f>
        <v/>
      </c>
      <c r="Z135" s="741">
        <f>Z$6</f>
        <v/>
      </c>
      <c r="AA135" s="741">
        <f>AA$6</f>
        <v/>
      </c>
      <c r="AB135" s="741">
        <f>AB$6</f>
        <v/>
      </c>
      <c r="AC135" s="741">
        <f>AC$6</f>
        <v/>
      </c>
      <c r="AD135" s="741">
        <f>AD$6</f>
        <v/>
      </c>
      <c r="AE135" s="741">
        <f>AE$6</f>
        <v/>
      </c>
      <c r="AF135" s="741">
        <f>AF$6</f>
        <v/>
      </c>
      <c r="AG135" s="741">
        <f>AG$6</f>
        <v/>
      </c>
      <c r="AH135" s="741">
        <f>AH$6</f>
        <v/>
      </c>
      <c r="AI135" s="741">
        <f>AI$6</f>
        <v/>
      </c>
      <c r="AJ135" s="741">
        <f>AJ$6</f>
        <v/>
      </c>
      <c r="AK135" s="741">
        <f>AK$6</f>
        <v/>
      </c>
      <c r="AL135" s="741">
        <f>AL$6</f>
        <v/>
      </c>
      <c r="AM135" s="741">
        <f>AM$6</f>
        <v/>
      </c>
      <c r="AN135" s="741">
        <f>AN$6</f>
        <v/>
      </c>
      <c r="AO135" s="741">
        <f>AO$6</f>
        <v/>
      </c>
      <c r="AP135" s="741">
        <f>AP$6</f>
        <v/>
      </c>
      <c r="AQ135" s="741">
        <f>AQ$6</f>
        <v/>
      </c>
      <c r="AR135" s="741">
        <f>AR$6</f>
        <v/>
      </c>
      <c r="AS135" s="741">
        <f>AS$6</f>
        <v/>
      </c>
      <c r="AT135" s="741">
        <f>AT$6</f>
        <v/>
      </c>
      <c r="AU135" s="741">
        <f>AU$6</f>
        <v/>
      </c>
      <c r="AV135" s="741">
        <f>AV$6</f>
        <v/>
      </c>
      <c r="AW135" s="741">
        <f>AW$6</f>
        <v/>
      </c>
      <c r="AX135" s="741">
        <f>AX$6</f>
        <v/>
      </c>
      <c r="AY135" s="741">
        <f>AY$6</f>
        <v/>
      </c>
      <c r="AZ135" s="741">
        <f>AZ$6</f>
        <v/>
      </c>
      <c r="BA135" s="741">
        <f>BA$6</f>
        <v/>
      </c>
      <c r="BB135" s="741">
        <f>BB$6</f>
        <v/>
      </c>
      <c r="BC135" s="741">
        <f>BC$6</f>
        <v/>
      </c>
      <c r="BD135" s="741">
        <f>BD$6</f>
        <v/>
      </c>
      <c r="BE135" s="741">
        <f>BE$6</f>
        <v/>
      </c>
      <c r="BF135" s="741">
        <f>BF$6</f>
        <v/>
      </c>
      <c r="BG135" s="741">
        <f>BG$6</f>
        <v/>
      </c>
      <c r="BH135" s="741">
        <f>BH$6</f>
        <v/>
      </c>
      <c r="BI135" s="741">
        <f>BI$6</f>
        <v/>
      </c>
      <c r="BJ135" s="741">
        <f>BJ$6</f>
        <v/>
      </c>
      <c r="BK135" s="741">
        <f>BK$6</f>
        <v/>
      </c>
      <c r="BL135" s="741">
        <f>BL$6</f>
        <v/>
      </c>
      <c r="BM135" s="741">
        <f>BM$6</f>
        <v/>
      </c>
      <c r="BN135" s="741">
        <f>BN$6</f>
        <v/>
      </c>
    </row>
    <row r="136">
      <c r="C136" s="4" t="inlineStr">
        <is>
          <t>Liquide middelen</t>
        </is>
      </c>
      <c r="D136" s="5">
        <f>D17</f>
        <v/>
      </c>
      <c r="E136" s="5">
        <f>E17</f>
        <v/>
      </c>
      <c r="F136" s="21">
        <f>F17</f>
        <v/>
      </c>
      <c r="G136" s="5">
        <f>G17</f>
        <v/>
      </c>
      <c r="H136" s="5">
        <f>H17</f>
        <v/>
      </c>
      <c r="I136" s="5">
        <f>I17</f>
        <v/>
      </c>
      <c r="J136" s="5">
        <f>J17</f>
        <v/>
      </c>
      <c r="K136" s="5">
        <f>K17</f>
        <v/>
      </c>
      <c r="L136" s="5">
        <f>L17</f>
        <v/>
      </c>
      <c r="M136" s="5">
        <f>M17</f>
        <v/>
      </c>
      <c r="N136" s="5">
        <f>N17</f>
        <v/>
      </c>
      <c r="O136" s="5">
        <f>O17</f>
        <v/>
      </c>
      <c r="P136" s="5">
        <f>P17</f>
        <v/>
      </c>
      <c r="Q136" s="5">
        <f>Q17</f>
        <v/>
      </c>
      <c r="R136" s="5">
        <f>R17</f>
        <v/>
      </c>
      <c r="S136" s="5">
        <f>S17</f>
        <v/>
      </c>
      <c r="T136" s="5">
        <f>T17</f>
        <v/>
      </c>
      <c r="U136" s="5">
        <f>U17</f>
        <v/>
      </c>
      <c r="V136" s="5">
        <f>V17</f>
        <v/>
      </c>
      <c r="W136" s="5">
        <f>W17</f>
        <v/>
      </c>
      <c r="X136" s="5">
        <f>X17</f>
        <v/>
      </c>
      <c r="Y136" s="5">
        <f>Y17</f>
        <v/>
      </c>
      <c r="Z136" s="5">
        <f>Z17</f>
        <v/>
      </c>
      <c r="AA136" s="5">
        <f>AA17</f>
        <v/>
      </c>
      <c r="AB136" s="5">
        <f>AB17</f>
        <v/>
      </c>
      <c r="AC136" s="5">
        <f>AC17</f>
        <v/>
      </c>
      <c r="AD136" s="5">
        <f>AD17</f>
        <v/>
      </c>
      <c r="AE136" s="5">
        <f>AE17</f>
        <v/>
      </c>
      <c r="AF136" s="5">
        <f>AF17</f>
        <v/>
      </c>
      <c r="AG136" s="5">
        <f>AG17</f>
        <v/>
      </c>
      <c r="AH136" s="5">
        <f>AH17</f>
        <v/>
      </c>
      <c r="AI136" s="5">
        <f>AI17</f>
        <v/>
      </c>
      <c r="AJ136" s="5">
        <f>AJ17</f>
        <v/>
      </c>
      <c r="AK136" s="5">
        <f>AK17</f>
        <v/>
      </c>
      <c r="AL136" s="5">
        <f>AL17</f>
        <v/>
      </c>
      <c r="AM136" s="5">
        <f>AM17</f>
        <v/>
      </c>
      <c r="AN136" s="5">
        <f>AN17</f>
        <v/>
      </c>
      <c r="AO136" s="5">
        <f>AO17</f>
        <v/>
      </c>
      <c r="AP136" s="5">
        <f>AP17</f>
        <v/>
      </c>
      <c r="AQ136" s="5">
        <f>AQ17</f>
        <v/>
      </c>
      <c r="AR136" s="5">
        <f>AR17</f>
        <v/>
      </c>
      <c r="AS136" s="5">
        <f>AS17</f>
        <v/>
      </c>
      <c r="AT136" s="5">
        <f>AT17</f>
        <v/>
      </c>
      <c r="AU136" s="5">
        <f>AU17</f>
        <v/>
      </c>
      <c r="AV136" s="5">
        <f>AV17</f>
        <v/>
      </c>
      <c r="AW136" s="5">
        <f>AW17</f>
        <v/>
      </c>
      <c r="AX136" s="5">
        <f>AX17</f>
        <v/>
      </c>
      <c r="AY136" s="5">
        <f>AY17</f>
        <v/>
      </c>
      <c r="AZ136" s="5">
        <f>AZ17</f>
        <v/>
      </c>
      <c r="BA136" s="5">
        <f>BA17</f>
        <v/>
      </c>
      <c r="BB136" s="5">
        <f>BB17</f>
        <v/>
      </c>
      <c r="BC136" s="5">
        <f>BC17</f>
        <v/>
      </c>
      <c r="BD136" s="5">
        <f>BD17</f>
        <v/>
      </c>
      <c r="BE136" s="5">
        <f>BE17</f>
        <v/>
      </c>
      <c r="BF136" s="5">
        <f>BF17</f>
        <v/>
      </c>
      <c r="BG136" s="5">
        <f>BG17</f>
        <v/>
      </c>
      <c r="BH136" s="5">
        <f>BH17</f>
        <v/>
      </c>
      <c r="BI136" s="5">
        <f>BI17</f>
        <v/>
      </c>
      <c r="BJ136" s="5">
        <f>BJ17</f>
        <v/>
      </c>
      <c r="BK136" s="5">
        <f>BK17</f>
        <v/>
      </c>
      <c r="BL136" s="5">
        <f>BL17</f>
        <v/>
      </c>
      <c r="BM136" s="5">
        <f>BM17</f>
        <v/>
      </c>
      <c r="BN136" s="5">
        <f>BN17</f>
        <v/>
      </c>
    </row>
    <row r="137">
      <c r="C137" s="4" t="inlineStr">
        <is>
          <t>LT Financiële schulden</t>
        </is>
      </c>
      <c r="D137" s="5">
        <f>-D31</f>
        <v/>
      </c>
      <c r="E137" s="5">
        <f>-E31</f>
        <v/>
      </c>
      <c r="F137" s="21">
        <f>-F31</f>
        <v/>
      </c>
      <c r="G137" s="5">
        <f>-G33</f>
        <v/>
      </c>
      <c r="H137" s="5">
        <f>-H33</f>
        <v/>
      </c>
      <c r="I137" s="5">
        <f>-I33</f>
        <v/>
      </c>
      <c r="J137" s="5">
        <f>-J33</f>
        <v/>
      </c>
      <c r="K137" s="5">
        <f>-K33</f>
        <v/>
      </c>
      <c r="L137" s="5">
        <f>-L33</f>
        <v/>
      </c>
      <c r="M137" s="5">
        <f>-M33</f>
        <v/>
      </c>
      <c r="N137" s="5">
        <f>-N33</f>
        <v/>
      </c>
      <c r="O137" s="5">
        <f>-O33</f>
        <v/>
      </c>
      <c r="P137" s="5">
        <f>-P33</f>
        <v/>
      </c>
      <c r="Q137" s="5">
        <f>-Q33</f>
        <v/>
      </c>
      <c r="R137" s="5">
        <f>-R33</f>
        <v/>
      </c>
      <c r="S137" s="5">
        <f>-S33</f>
        <v/>
      </c>
      <c r="T137" s="5">
        <f>-T33</f>
        <v/>
      </c>
      <c r="U137" s="5">
        <f>-U33</f>
        <v/>
      </c>
      <c r="V137" s="5">
        <f>-V33</f>
        <v/>
      </c>
      <c r="W137" s="5">
        <f>-W33</f>
        <v/>
      </c>
      <c r="X137" s="5">
        <f>-X33</f>
        <v/>
      </c>
      <c r="Y137" s="5">
        <f>-Y33</f>
        <v/>
      </c>
      <c r="Z137" s="5">
        <f>-Z33</f>
        <v/>
      </c>
      <c r="AA137" s="5">
        <f>-AA33</f>
        <v/>
      </c>
      <c r="AB137" s="5">
        <f>-AB33</f>
        <v/>
      </c>
      <c r="AC137" s="5">
        <f>-AC33</f>
        <v/>
      </c>
      <c r="AD137" s="5">
        <f>-AD33</f>
        <v/>
      </c>
      <c r="AE137" s="5">
        <f>-AE33</f>
        <v/>
      </c>
      <c r="AF137" s="5">
        <f>-AF33</f>
        <v/>
      </c>
      <c r="AG137" s="5">
        <f>-AG33</f>
        <v/>
      </c>
      <c r="AH137" s="5">
        <f>-AH33</f>
        <v/>
      </c>
      <c r="AI137" s="5">
        <f>-AI33</f>
        <v/>
      </c>
      <c r="AJ137" s="5">
        <f>-AJ33</f>
        <v/>
      </c>
      <c r="AK137" s="5">
        <f>-AK33</f>
        <v/>
      </c>
      <c r="AL137" s="5">
        <f>-AL33</f>
        <v/>
      </c>
      <c r="AM137" s="5">
        <f>-AM33</f>
        <v/>
      </c>
      <c r="AN137" s="5">
        <f>-AN33</f>
        <v/>
      </c>
      <c r="AO137" s="5">
        <f>-AO33</f>
        <v/>
      </c>
      <c r="AP137" s="5">
        <f>-AP33</f>
        <v/>
      </c>
      <c r="AQ137" s="5">
        <f>-AQ33</f>
        <v/>
      </c>
      <c r="AR137" s="5">
        <f>-AR33</f>
        <v/>
      </c>
      <c r="AS137" s="5">
        <f>-AS33</f>
        <v/>
      </c>
      <c r="AT137" s="5">
        <f>-AT33</f>
        <v/>
      </c>
      <c r="AU137" s="5">
        <f>-AU33</f>
        <v/>
      </c>
      <c r="AV137" s="5">
        <f>-AV33</f>
        <v/>
      </c>
      <c r="AW137" s="5">
        <f>-AW33</f>
        <v/>
      </c>
      <c r="AX137" s="5">
        <f>-AX33</f>
        <v/>
      </c>
      <c r="AY137" s="5">
        <f>-AY33</f>
        <v/>
      </c>
      <c r="AZ137" s="5">
        <f>-AZ33</f>
        <v/>
      </c>
      <c r="BA137" s="5">
        <f>-BA33</f>
        <v/>
      </c>
      <c r="BB137" s="5">
        <f>-BB33</f>
        <v/>
      </c>
      <c r="BC137" s="5">
        <f>-BC33</f>
        <v/>
      </c>
      <c r="BD137" s="5">
        <f>-BD33</f>
        <v/>
      </c>
      <c r="BE137" s="5">
        <f>-BE33</f>
        <v/>
      </c>
      <c r="BF137" s="5">
        <f>-BF33</f>
        <v/>
      </c>
      <c r="BG137" s="5">
        <f>-BG33</f>
        <v/>
      </c>
      <c r="BH137" s="5">
        <f>-BH33</f>
        <v/>
      </c>
      <c r="BI137" s="5">
        <f>-BI33</f>
        <v/>
      </c>
      <c r="BJ137" s="5">
        <f>-BJ33</f>
        <v/>
      </c>
      <c r="BK137" s="5">
        <f>-BK33</f>
        <v/>
      </c>
      <c r="BL137" s="5">
        <f>-BL33</f>
        <v/>
      </c>
      <c r="BM137" s="5">
        <f>-BM33</f>
        <v/>
      </c>
      <c r="BN137" s="5">
        <f>-BN33</f>
        <v/>
      </c>
    </row>
    <row r="138">
      <c r="C138" s="4" t="inlineStr">
        <is>
          <t>Overige LT schulden</t>
        </is>
      </c>
      <c r="D138" s="5">
        <f>-D32</f>
        <v/>
      </c>
      <c r="E138" s="5">
        <f>-E32</f>
        <v/>
      </c>
      <c r="F138" s="21">
        <f>-F32</f>
        <v/>
      </c>
      <c r="G138" s="5">
        <f>-G32</f>
        <v/>
      </c>
      <c r="H138" s="5">
        <f>-H32</f>
        <v/>
      </c>
      <c r="I138" s="5">
        <f>-I32</f>
        <v/>
      </c>
      <c r="J138" s="5">
        <f>-J32</f>
        <v/>
      </c>
      <c r="K138" s="5">
        <f>-K32</f>
        <v/>
      </c>
      <c r="L138" s="5">
        <f>-L32</f>
        <v/>
      </c>
      <c r="M138" s="5">
        <f>-M32</f>
        <v/>
      </c>
      <c r="N138" s="5">
        <f>-N32</f>
        <v/>
      </c>
      <c r="O138" s="5">
        <f>-O32</f>
        <v/>
      </c>
      <c r="P138" s="5">
        <f>-P32</f>
        <v/>
      </c>
      <c r="Q138" s="5">
        <f>-Q32</f>
        <v/>
      </c>
      <c r="R138" s="5">
        <f>-R32</f>
        <v/>
      </c>
      <c r="S138" s="5">
        <f>-S32</f>
        <v/>
      </c>
      <c r="T138" s="5">
        <f>-T32</f>
        <v/>
      </c>
      <c r="U138" s="5">
        <f>-U32</f>
        <v/>
      </c>
      <c r="V138" s="5">
        <f>-V32</f>
        <v/>
      </c>
      <c r="W138" s="5">
        <f>-W32</f>
        <v/>
      </c>
      <c r="X138" s="5">
        <f>-X32</f>
        <v/>
      </c>
      <c r="Y138" s="5">
        <f>-Y32</f>
        <v/>
      </c>
      <c r="Z138" s="5">
        <f>-Z32</f>
        <v/>
      </c>
      <c r="AA138" s="5">
        <f>-AA32</f>
        <v/>
      </c>
      <c r="AB138" s="5">
        <f>-AB32</f>
        <v/>
      </c>
      <c r="AC138" s="5">
        <f>-AC32</f>
        <v/>
      </c>
      <c r="AD138" s="5">
        <f>-AD32</f>
        <v/>
      </c>
      <c r="AE138" s="5">
        <f>-AE32</f>
        <v/>
      </c>
      <c r="AF138" s="5">
        <f>-AF32</f>
        <v/>
      </c>
      <c r="AG138" s="5">
        <f>-AG32</f>
        <v/>
      </c>
      <c r="AH138" s="5">
        <f>-AH32</f>
        <v/>
      </c>
      <c r="AI138" s="5">
        <f>-AI32</f>
        <v/>
      </c>
      <c r="AJ138" s="5">
        <f>-AJ32</f>
        <v/>
      </c>
      <c r="AK138" s="5">
        <f>-AK32</f>
        <v/>
      </c>
      <c r="AL138" s="5">
        <f>-AL32</f>
        <v/>
      </c>
      <c r="AM138" s="5">
        <f>-AM32</f>
        <v/>
      </c>
      <c r="AN138" s="5">
        <f>-AN32</f>
        <v/>
      </c>
      <c r="AO138" s="5">
        <f>-AO32</f>
        <v/>
      </c>
      <c r="AP138" s="5">
        <f>-AP32</f>
        <v/>
      </c>
      <c r="AQ138" s="5">
        <f>-AQ32</f>
        <v/>
      </c>
      <c r="AR138" s="5">
        <f>-AR32</f>
        <v/>
      </c>
      <c r="AS138" s="5">
        <f>-AS32</f>
        <v/>
      </c>
      <c r="AT138" s="5">
        <f>-AT32</f>
        <v/>
      </c>
      <c r="AU138" s="5">
        <f>-AU32</f>
        <v/>
      </c>
      <c r="AV138" s="5">
        <f>-AV32</f>
        <v/>
      </c>
      <c r="AW138" s="5">
        <f>-AW32</f>
        <v/>
      </c>
      <c r="AX138" s="5">
        <f>-AX32</f>
        <v/>
      </c>
      <c r="AY138" s="5">
        <f>-AY32</f>
        <v/>
      </c>
      <c r="AZ138" s="5">
        <f>-AZ32</f>
        <v/>
      </c>
      <c r="BA138" s="5">
        <f>-BA32</f>
        <v/>
      </c>
      <c r="BB138" s="5">
        <f>-BB32</f>
        <v/>
      </c>
      <c r="BC138" s="5">
        <f>-BC32</f>
        <v/>
      </c>
      <c r="BD138" s="5">
        <f>-BD32</f>
        <v/>
      </c>
      <c r="BE138" s="5">
        <f>-BE32</f>
        <v/>
      </c>
      <c r="BF138" s="5">
        <f>-BF32</f>
        <v/>
      </c>
      <c r="BG138" s="5">
        <f>-BG32</f>
        <v/>
      </c>
      <c r="BH138" s="5">
        <f>-BH32</f>
        <v/>
      </c>
      <c r="BI138" s="5">
        <f>-BI32</f>
        <v/>
      </c>
      <c r="BJ138" s="5">
        <f>-BJ32</f>
        <v/>
      </c>
      <c r="BK138" s="5">
        <f>-BK32</f>
        <v/>
      </c>
      <c r="BL138" s="5">
        <f>-BL32</f>
        <v/>
      </c>
      <c r="BM138" s="5">
        <f>-BM32</f>
        <v/>
      </c>
      <c r="BN138" s="5">
        <f>-BN32</f>
        <v/>
      </c>
    </row>
    <row r="139">
      <c r="C139" s="413" t="inlineStr">
        <is>
          <t>KT gedeelte van LT schulden</t>
        </is>
      </c>
      <c r="D139" s="5">
        <f>-D34</f>
        <v/>
      </c>
      <c r="E139" s="5">
        <f>-E34</f>
        <v/>
      </c>
      <c r="F139" s="21">
        <f>-F34</f>
        <v/>
      </c>
      <c r="G139" s="5">
        <f>-G34</f>
        <v/>
      </c>
      <c r="H139" s="5">
        <f>-H34</f>
        <v/>
      </c>
      <c r="I139" s="5">
        <f>-I34</f>
        <v/>
      </c>
      <c r="J139" s="5">
        <f>-J34</f>
        <v/>
      </c>
      <c r="K139" s="5">
        <f>-K34</f>
        <v/>
      </c>
      <c r="L139" s="5">
        <f>-L34</f>
        <v/>
      </c>
      <c r="M139" s="5">
        <f>-M34</f>
        <v/>
      </c>
      <c r="N139" s="5">
        <f>-N34</f>
        <v/>
      </c>
      <c r="O139" s="5">
        <f>-O34</f>
        <v/>
      </c>
      <c r="P139" s="5">
        <f>-P34</f>
        <v/>
      </c>
      <c r="Q139" s="5">
        <f>-Q34</f>
        <v/>
      </c>
      <c r="R139" s="5">
        <f>-R34</f>
        <v/>
      </c>
      <c r="S139" s="5">
        <f>-S34</f>
        <v/>
      </c>
      <c r="T139" s="5">
        <f>-T34</f>
        <v/>
      </c>
      <c r="U139" s="5">
        <f>-U34</f>
        <v/>
      </c>
      <c r="V139" s="5">
        <f>-V34</f>
        <v/>
      </c>
      <c r="W139" s="5">
        <f>-W34</f>
        <v/>
      </c>
      <c r="X139" s="5">
        <f>-X34</f>
        <v/>
      </c>
      <c r="Y139" s="5">
        <f>-Y34</f>
        <v/>
      </c>
      <c r="Z139" s="5">
        <f>-Z34</f>
        <v/>
      </c>
      <c r="AA139" s="5">
        <f>-AA34</f>
        <v/>
      </c>
      <c r="AB139" s="5">
        <f>-AB34</f>
        <v/>
      </c>
      <c r="AC139" s="5">
        <f>-AC34</f>
        <v/>
      </c>
      <c r="AD139" s="5">
        <f>-AD34</f>
        <v/>
      </c>
      <c r="AE139" s="5">
        <f>-AE34</f>
        <v/>
      </c>
      <c r="AF139" s="5">
        <f>-AF34</f>
        <v/>
      </c>
      <c r="AG139" s="5">
        <f>-AG34</f>
        <v/>
      </c>
      <c r="AH139" s="5">
        <f>-AH34</f>
        <v/>
      </c>
      <c r="AI139" s="5">
        <f>-AI34</f>
        <v/>
      </c>
      <c r="AJ139" s="5">
        <f>-AJ34</f>
        <v/>
      </c>
      <c r="AK139" s="5">
        <f>-AK34</f>
        <v/>
      </c>
      <c r="AL139" s="5">
        <f>-AL34</f>
        <v/>
      </c>
      <c r="AM139" s="5">
        <f>-AM34</f>
        <v/>
      </c>
      <c r="AN139" s="5">
        <f>-AN34</f>
        <v/>
      </c>
      <c r="AO139" s="5">
        <f>-AO34</f>
        <v/>
      </c>
      <c r="AP139" s="5">
        <f>-AP34</f>
        <v/>
      </c>
      <c r="AQ139" s="5">
        <f>-AQ34</f>
        <v/>
      </c>
      <c r="AR139" s="5">
        <f>-AR34</f>
        <v/>
      </c>
      <c r="AS139" s="5">
        <f>-AS34</f>
        <v/>
      </c>
      <c r="AT139" s="5">
        <f>-AT34</f>
        <v/>
      </c>
      <c r="AU139" s="5">
        <f>-AU34</f>
        <v/>
      </c>
      <c r="AV139" s="5">
        <f>-AV34</f>
        <v/>
      </c>
      <c r="AW139" s="5">
        <f>-AW34</f>
        <v/>
      </c>
      <c r="AX139" s="5">
        <f>-AX34</f>
        <v/>
      </c>
      <c r="AY139" s="5">
        <f>-AY34</f>
        <v/>
      </c>
      <c r="AZ139" s="5">
        <f>-AZ34</f>
        <v/>
      </c>
      <c r="BA139" s="5">
        <f>-BA34</f>
        <v/>
      </c>
      <c r="BB139" s="5">
        <f>-BB34</f>
        <v/>
      </c>
      <c r="BC139" s="5">
        <f>-BC34</f>
        <v/>
      </c>
      <c r="BD139" s="5">
        <f>-BD34</f>
        <v/>
      </c>
      <c r="BE139" s="5">
        <f>-BE34</f>
        <v/>
      </c>
      <c r="BF139" s="5">
        <f>-BF34</f>
        <v/>
      </c>
      <c r="BG139" s="5">
        <f>-BG34</f>
        <v/>
      </c>
      <c r="BH139" s="5">
        <f>-BH34</f>
        <v/>
      </c>
      <c r="BI139" s="5">
        <f>-BI34</f>
        <v/>
      </c>
      <c r="BJ139" s="5">
        <f>-BJ34</f>
        <v/>
      </c>
      <c r="BK139" s="5">
        <f>-BK34</f>
        <v/>
      </c>
      <c r="BL139" s="5">
        <f>-BL34</f>
        <v/>
      </c>
      <c r="BM139" s="5">
        <f>-BM34</f>
        <v/>
      </c>
      <c r="BN139" s="5">
        <f>-BN34</f>
        <v/>
      </c>
    </row>
    <row r="140">
      <c r="C140" s="413" t="inlineStr">
        <is>
          <t>KT Financiële schulden</t>
        </is>
      </c>
      <c r="D140" s="5">
        <f>-D35</f>
        <v/>
      </c>
      <c r="E140" s="5">
        <f>-E35</f>
        <v/>
      </c>
      <c r="F140" s="21">
        <f>-F35</f>
        <v/>
      </c>
      <c r="G140" s="5">
        <f>-G35</f>
        <v/>
      </c>
      <c r="H140" s="5">
        <f>-H35</f>
        <v/>
      </c>
      <c r="I140" s="5">
        <f>-I35</f>
        <v/>
      </c>
      <c r="J140" s="5">
        <f>-J35</f>
        <v/>
      </c>
      <c r="K140" s="5">
        <f>-K35</f>
        <v/>
      </c>
      <c r="L140" s="5">
        <f>-L35</f>
        <v/>
      </c>
      <c r="M140" s="5">
        <f>-M35</f>
        <v/>
      </c>
      <c r="N140" s="5">
        <f>-N35</f>
        <v/>
      </c>
      <c r="O140" s="5">
        <f>-O35</f>
        <v/>
      </c>
      <c r="P140" s="5">
        <f>-P35</f>
        <v/>
      </c>
      <c r="Q140" s="5">
        <f>-Q35</f>
        <v/>
      </c>
      <c r="R140" s="5">
        <f>-R35</f>
        <v/>
      </c>
      <c r="S140" s="5">
        <f>-S35</f>
        <v/>
      </c>
      <c r="T140" s="5">
        <f>-T35</f>
        <v/>
      </c>
      <c r="U140" s="5">
        <f>-U35</f>
        <v/>
      </c>
      <c r="V140" s="5">
        <f>-V35</f>
        <v/>
      </c>
      <c r="W140" s="5">
        <f>-W35</f>
        <v/>
      </c>
      <c r="X140" s="5">
        <f>-X35</f>
        <v/>
      </c>
      <c r="Y140" s="5">
        <f>-Y35</f>
        <v/>
      </c>
      <c r="Z140" s="5">
        <f>-Z35</f>
        <v/>
      </c>
      <c r="AA140" s="5">
        <f>-AA35</f>
        <v/>
      </c>
      <c r="AB140" s="5">
        <f>-AB35</f>
        <v/>
      </c>
      <c r="AC140" s="5">
        <f>-AC35</f>
        <v/>
      </c>
      <c r="AD140" s="5">
        <f>-AD35</f>
        <v/>
      </c>
      <c r="AE140" s="5">
        <f>-AE35</f>
        <v/>
      </c>
      <c r="AF140" s="5">
        <f>-AF35</f>
        <v/>
      </c>
      <c r="AG140" s="5">
        <f>-AG35</f>
        <v/>
      </c>
      <c r="AH140" s="5">
        <f>-AH35</f>
        <v/>
      </c>
      <c r="AI140" s="5">
        <f>-AI35</f>
        <v/>
      </c>
      <c r="AJ140" s="5">
        <f>-AJ35</f>
        <v/>
      </c>
      <c r="AK140" s="5">
        <f>-AK35</f>
        <v/>
      </c>
      <c r="AL140" s="5">
        <f>-AL35</f>
        <v/>
      </c>
      <c r="AM140" s="5">
        <f>-AM35</f>
        <v/>
      </c>
      <c r="AN140" s="5">
        <f>-AN35</f>
        <v/>
      </c>
      <c r="AO140" s="5">
        <f>-AO35</f>
        <v/>
      </c>
      <c r="AP140" s="5">
        <f>-AP35</f>
        <v/>
      </c>
      <c r="AQ140" s="5">
        <f>-AQ35</f>
        <v/>
      </c>
      <c r="AR140" s="5">
        <f>-AR35</f>
        <v/>
      </c>
      <c r="AS140" s="5">
        <f>-AS35</f>
        <v/>
      </c>
      <c r="AT140" s="5">
        <f>-AT35</f>
        <v/>
      </c>
      <c r="AU140" s="5">
        <f>-AU35</f>
        <v/>
      </c>
      <c r="AV140" s="5">
        <f>-AV35</f>
        <v/>
      </c>
      <c r="AW140" s="5">
        <f>-AW35</f>
        <v/>
      </c>
      <c r="AX140" s="5">
        <f>-AX35</f>
        <v/>
      </c>
      <c r="AY140" s="5">
        <f>-AY35</f>
        <v/>
      </c>
      <c r="AZ140" s="5">
        <f>-AZ35</f>
        <v/>
      </c>
      <c r="BA140" s="5">
        <f>-BA35</f>
        <v/>
      </c>
      <c r="BB140" s="5">
        <f>-BB35</f>
        <v/>
      </c>
      <c r="BC140" s="5">
        <f>-BC35</f>
        <v/>
      </c>
      <c r="BD140" s="5">
        <f>-BD35</f>
        <v/>
      </c>
      <c r="BE140" s="5">
        <f>-BE35</f>
        <v/>
      </c>
      <c r="BF140" s="5">
        <f>-BF35</f>
        <v/>
      </c>
      <c r="BG140" s="5">
        <f>-BG35</f>
        <v/>
      </c>
      <c r="BH140" s="5">
        <f>-BH35</f>
        <v/>
      </c>
      <c r="BI140" s="5">
        <f>-BI35</f>
        <v/>
      </c>
      <c r="BJ140" s="5">
        <f>-BJ35</f>
        <v/>
      </c>
      <c r="BK140" s="5">
        <f>-BK35</f>
        <v/>
      </c>
      <c r="BL140" s="5">
        <f>-BL35</f>
        <v/>
      </c>
      <c r="BM140" s="5">
        <f>-BM35</f>
        <v/>
      </c>
      <c r="BN140" s="5">
        <f>-BN35</f>
        <v/>
      </c>
    </row>
    <row r="141">
      <c r="C141" s="410" t="inlineStr">
        <is>
          <t>NFD</t>
        </is>
      </c>
      <c r="D141" s="410">
        <f>SUM(D136:D140)</f>
        <v/>
      </c>
      <c r="E141" s="410">
        <f>SUM(E136:E140)</f>
        <v/>
      </c>
      <c r="F141" s="15">
        <f>SUM(F136:F140)</f>
        <v/>
      </c>
      <c r="G141" s="410">
        <f>SUM(G136:G140)</f>
        <v/>
      </c>
      <c r="H141" s="410">
        <f>SUM(H136:H140)</f>
        <v/>
      </c>
      <c r="I141" s="410">
        <f>SUM(I136:I140)</f>
        <v/>
      </c>
      <c r="J141" s="410">
        <f>SUM(J136:J140)</f>
        <v/>
      </c>
      <c r="K141" s="410">
        <f>SUM(K136:K140)</f>
        <v/>
      </c>
      <c r="L141" s="410">
        <f>SUM(L136:L140)</f>
        <v/>
      </c>
      <c r="M141" s="410">
        <f>SUM(M136:M140)</f>
        <v/>
      </c>
      <c r="N141" s="410">
        <f>SUM(N136:N140)</f>
        <v/>
      </c>
      <c r="O141" s="410">
        <f>SUM(O136:O140)</f>
        <v/>
      </c>
      <c r="P141" s="410">
        <f>SUM(P136:P140)</f>
        <v/>
      </c>
      <c r="Q141" s="410">
        <f>SUM(Q136:Q140)</f>
        <v/>
      </c>
      <c r="R141" s="410">
        <f>SUM(R136:R140)</f>
        <v/>
      </c>
      <c r="S141" s="410">
        <f>SUM(S136:S140)</f>
        <v/>
      </c>
      <c r="T141" s="410">
        <f>SUM(T136:T140)</f>
        <v/>
      </c>
      <c r="U141" s="410">
        <f>SUM(U136:U140)</f>
        <v/>
      </c>
      <c r="V141" s="410">
        <f>SUM(V136:V140)</f>
        <v/>
      </c>
      <c r="W141" s="410">
        <f>SUM(W136:W140)</f>
        <v/>
      </c>
      <c r="X141" s="410">
        <f>SUM(X136:X140)</f>
        <v/>
      </c>
      <c r="Y141" s="410">
        <f>SUM(Y136:Y140)</f>
        <v/>
      </c>
      <c r="Z141" s="410">
        <f>SUM(Z136:Z140)</f>
        <v/>
      </c>
      <c r="AA141" s="410">
        <f>SUM(AA136:AA140)</f>
        <v/>
      </c>
      <c r="AB141" s="410">
        <f>SUM(AB136:AB140)</f>
        <v/>
      </c>
      <c r="AC141" s="410">
        <f>SUM(AC136:AC140)</f>
        <v/>
      </c>
      <c r="AD141" s="410">
        <f>SUM(AD136:AD140)</f>
        <v/>
      </c>
      <c r="AE141" s="410">
        <f>SUM(AE136:AE140)</f>
        <v/>
      </c>
      <c r="AF141" s="410">
        <f>SUM(AF136:AF140)</f>
        <v/>
      </c>
      <c r="AG141" s="410">
        <f>SUM(AG136:AG140)</f>
        <v/>
      </c>
      <c r="AH141" s="410">
        <f>SUM(AH136:AH140)</f>
        <v/>
      </c>
      <c r="AI141" s="410">
        <f>SUM(AI136:AI140)</f>
        <v/>
      </c>
      <c r="AJ141" s="410">
        <f>SUM(AJ136:AJ140)</f>
        <v/>
      </c>
      <c r="AK141" s="410">
        <f>SUM(AK136:AK140)</f>
        <v/>
      </c>
      <c r="AL141" s="410">
        <f>SUM(AL136:AL140)</f>
        <v/>
      </c>
      <c r="AM141" s="410">
        <f>SUM(AM136:AM140)</f>
        <v/>
      </c>
      <c r="AN141" s="410">
        <f>SUM(AN136:AN140)</f>
        <v/>
      </c>
      <c r="AO141" s="410">
        <f>SUM(AO136:AO140)</f>
        <v/>
      </c>
      <c r="AP141" s="410">
        <f>SUM(AP136:AP140)</f>
        <v/>
      </c>
      <c r="AQ141" s="410">
        <f>SUM(AQ136:AQ140)</f>
        <v/>
      </c>
      <c r="AR141" s="410">
        <f>SUM(AR136:AR140)</f>
        <v/>
      </c>
      <c r="AS141" s="410">
        <f>SUM(AS136:AS140)</f>
        <v/>
      </c>
      <c r="AT141" s="410">
        <f>SUM(AT136:AT140)</f>
        <v/>
      </c>
      <c r="AU141" s="410">
        <f>SUM(AU136:AU140)</f>
        <v/>
      </c>
      <c r="AV141" s="410">
        <f>SUM(AV136:AV140)</f>
        <v/>
      </c>
      <c r="AW141" s="410">
        <f>SUM(AW136:AW140)</f>
        <v/>
      </c>
      <c r="AX141" s="410">
        <f>SUM(AX136:AX140)</f>
        <v/>
      </c>
      <c r="AY141" s="410">
        <f>SUM(AY136:AY140)</f>
        <v/>
      </c>
      <c r="AZ141" s="410">
        <f>SUM(AZ136:AZ140)</f>
        <v/>
      </c>
      <c r="BA141" s="410">
        <f>SUM(BA136:BA140)</f>
        <v/>
      </c>
      <c r="BB141" s="410">
        <f>SUM(BB136:BB140)</f>
        <v/>
      </c>
      <c r="BC141" s="410">
        <f>SUM(BC136:BC140)</f>
        <v/>
      </c>
      <c r="BD141" s="410">
        <f>SUM(BD136:BD140)</f>
        <v/>
      </c>
      <c r="BE141" s="410">
        <f>SUM(BE136:BE140)</f>
        <v/>
      </c>
      <c r="BF141" s="410">
        <f>SUM(BF136:BF140)</f>
        <v/>
      </c>
      <c r="BG141" s="410">
        <f>SUM(BG136:BG140)</f>
        <v/>
      </c>
      <c r="BH141" s="410">
        <f>SUM(BH136:BH140)</f>
        <v/>
      </c>
      <c r="BI141" s="410">
        <f>SUM(BI136:BI140)</f>
        <v/>
      </c>
      <c r="BJ141" s="410">
        <f>SUM(BJ136:BJ140)</f>
        <v/>
      </c>
      <c r="BK141" s="410">
        <f>SUM(BK136:BK140)</f>
        <v/>
      </c>
      <c r="BL141" s="410">
        <f>SUM(BL136:BL140)</f>
        <v/>
      </c>
      <c r="BM141" s="410">
        <f>SUM(BM136:BM140)</f>
        <v/>
      </c>
      <c r="BN141" s="410">
        <f>SUM(BN136:BN140)</f>
        <v/>
      </c>
    </row>
    <row r="143" outlineLevel="1">
      <c r="C143" s="2" t="inlineStr">
        <is>
          <t>Uitgedrukt in functie van EBITDA</t>
        </is>
      </c>
      <c r="D143" s="905" t="n"/>
      <c r="E143" s="905" t="n"/>
      <c r="F143" s="906" t="n"/>
      <c r="G143" s="905" t="n"/>
      <c r="H143" s="905" t="n"/>
      <c r="I143" s="905" t="n"/>
    </row>
    <row r="144">
      <c r="C144" s="4" t="n"/>
    </row>
    <row r="145">
      <c r="C145" s="4" t="n"/>
    </row>
  </sheetData>
  <conditionalFormatting sqref="D17:BN17">
    <cfRule type="cellIs" priority="2" operator="lessThan" dxfId="0">
      <formula>0</formula>
    </cfRule>
  </conditionalFormatting>
  <conditionalFormatting sqref="D29:BN29">
    <cfRule type="cellIs" priority="1" operator="lessThan" dxfId="0">
      <formula>0</formula>
    </cfRule>
  </conditionalFormatting>
  <pageMargins left="0.7" right="0.7" top="0.75" bottom="0.75" header="0.3" footer="0.3"/>
  <pageSetup orientation="portrait" paperSize="9" verticalDpi="0"/>
</worksheet>
</file>

<file path=xl/worksheets/sheet10.xml><?xml version="1.0" encoding="utf-8"?>
<worksheet xmlns="http://schemas.openxmlformats.org/spreadsheetml/2006/main">
  <sheetPr>
    <tabColor theme="4" tint="0.5999938962981048"/>
    <outlinePr summaryBelow="1" summaryRight="1"/>
    <pageSetUpPr autoPageBreaks="0"/>
  </sheetPr>
  <dimension ref="A1:BN145"/>
  <sheetViews>
    <sheetView showGridLines="0" workbookViewId="0">
      <selection activeCell="I18" sqref="I18"/>
    </sheetView>
  </sheetViews>
  <sheetFormatPr baseColWidth="8" defaultColWidth="9.33203125" defaultRowHeight="13.2" outlineLevelRow="1"/>
  <cols>
    <col width="9.109375" customWidth="1" style="405" min="1" max="1"/>
    <col width="9.109375" customWidth="1" style="2" min="2" max="2"/>
    <col width="38.44140625" customWidth="1" style="2" min="3" max="3"/>
    <col collapsed="1" width="9.33203125" customWidth="1" style="2" min="4" max="5"/>
    <col width="9.33203125" customWidth="1" style="12" min="6" max="6"/>
    <col width="9.33203125" customWidth="1" style="2" min="7" max="16384"/>
  </cols>
  <sheetData>
    <row r="1">
      <c r="A1" s="1">
        <f>SUM(A2:A204)</f>
        <v/>
      </c>
    </row>
    <row r="3" outlineLevel="1">
      <c r="C3" s="24" t="inlineStr">
        <is>
          <t>Timeline input - P&amp;L</t>
        </is>
      </c>
    </row>
    <row r="4" outlineLevel="1">
      <c r="C4" s="738" t="inlineStr">
        <is>
          <t>k€</t>
        </is>
      </c>
      <c r="D4" s="751">
        <f>'BP - Monthly'!D4</f>
        <v/>
      </c>
      <c r="E4" s="741">
        <f>'BP - Monthly'!E4</f>
        <v/>
      </c>
      <c r="F4" s="743">
        <f>'BP - Monthly'!F4</f>
        <v/>
      </c>
      <c r="G4" s="741">
        <f>"FY"&amp;RIGHT(F4,2)+1</f>
        <v/>
      </c>
      <c r="H4" s="741">
        <f>"FY"&amp;RIGHT(G4,2)+1</f>
        <v/>
      </c>
      <c r="I4" s="741">
        <f>"FY"&amp;RIGHT(H4,2)+1</f>
        <v/>
      </c>
      <c r="J4" s="741">
        <f>"FY"&amp;RIGHT(I4,2)+1</f>
        <v/>
      </c>
      <c r="K4" s="741">
        <f>"FY"&amp;RIGHT(J4,2)+1</f>
        <v/>
      </c>
    </row>
    <row r="5" outlineLevel="1">
      <c r="C5" s="24" t="inlineStr">
        <is>
          <t>Timeline input - BS</t>
        </is>
      </c>
    </row>
    <row r="6" outlineLevel="1">
      <c r="C6" s="738" t="inlineStr">
        <is>
          <t>k€</t>
        </is>
      </c>
      <c r="D6" s="739">
        <f>'BP - Monthly'!D6</f>
        <v/>
      </c>
      <c r="E6" s="742">
        <f>'BP - Monthly'!E6</f>
        <v/>
      </c>
      <c r="F6" s="740">
        <f>'BP - Monthly'!F6</f>
        <v/>
      </c>
      <c r="G6" s="742">
        <f>'BP - Monthly'!R6</f>
        <v/>
      </c>
      <c r="H6" s="742">
        <f>'BP - Monthly'!AD6</f>
        <v/>
      </c>
      <c r="I6" s="742">
        <f>'BP - Monthly'!AP6</f>
        <v/>
      </c>
      <c r="J6" s="742">
        <f>'BP - Monthly'!BB6</f>
        <v/>
      </c>
      <c r="K6" s="742">
        <f>'BP - Monthly'!BN6</f>
        <v/>
      </c>
    </row>
    <row r="8">
      <c r="C8" s="406">
        <f>"Balans - "&amp;Historiek!$A$2&amp;" - Activa"</f>
        <v/>
      </c>
      <c r="D8" s="407" t="n"/>
      <c r="E8" s="407" t="n"/>
      <c r="F8" s="13" t="n"/>
    </row>
    <row r="9" ht="14.1" customFormat="1" customHeight="1" s="409">
      <c r="A9" s="408" t="n"/>
      <c r="C9" s="752">
        <f>C$6</f>
        <v/>
      </c>
      <c r="D9" s="742">
        <f>D$6</f>
        <v/>
      </c>
      <c r="E9" s="742">
        <f>E$6</f>
        <v/>
      </c>
      <c r="F9" s="740">
        <f>F$6</f>
        <v/>
      </c>
      <c r="G9" s="742">
        <f>G$6</f>
        <v/>
      </c>
      <c r="H9" s="742">
        <f>H$6</f>
        <v/>
      </c>
      <c r="I9" s="742">
        <f>I$6</f>
        <v/>
      </c>
      <c r="J9" s="742">
        <f>J$6</f>
        <v/>
      </c>
      <c r="K9" s="742">
        <f>K$6</f>
        <v/>
      </c>
      <c r="L9" s="2" t="n"/>
      <c r="M9" s="2" t="n"/>
    </row>
    <row r="10" ht="14.1" customHeight="1">
      <c r="C10" s="4" t="inlineStr">
        <is>
          <t>Immaterieel vast actief</t>
        </is>
      </c>
      <c r="D10" s="4">
        <f>SUM(Balans!D6:D7)</f>
        <v/>
      </c>
      <c r="E10" s="4">
        <f>SUM(Balans!E6:E7)</f>
        <v/>
      </c>
      <c r="F10" s="14">
        <f>SUM(Balans!F6:F7)</f>
        <v/>
      </c>
      <c r="G10" s="4">
        <f>'BP - Monthly'!R10</f>
        <v/>
      </c>
      <c r="H10" s="4">
        <f>'BP - Monthly'!AD10</f>
        <v/>
      </c>
      <c r="I10" s="4">
        <f>'BP - Monthly'!AP10</f>
        <v/>
      </c>
      <c r="J10" s="5">
        <f>'BP - Monthly'!BB10</f>
        <v/>
      </c>
      <c r="K10" s="5">
        <f>'BP - Monthly'!BN10</f>
        <v/>
      </c>
    </row>
    <row r="11" ht="14.1" customHeight="1">
      <c r="C11" s="4" t="inlineStr">
        <is>
          <t>Materieel vast actief</t>
        </is>
      </c>
      <c r="D11" s="4">
        <f>SUM(Balans!D8)</f>
        <v/>
      </c>
      <c r="E11" s="4">
        <f>SUM(Balans!E8)</f>
        <v/>
      </c>
      <c r="F11" s="14">
        <f>SUM(Balans!F8)</f>
        <v/>
      </c>
      <c r="G11" s="4">
        <f>'BP - Monthly'!R11</f>
        <v/>
      </c>
      <c r="H11" s="4">
        <f>'BP - Monthly'!AD11</f>
        <v/>
      </c>
      <c r="I11" s="4">
        <f>'BP - Monthly'!AP11</f>
        <v/>
      </c>
      <c r="J11" s="5">
        <f>'BP - Monthly'!BB11</f>
        <v/>
      </c>
      <c r="K11" s="5">
        <f>'BP - Monthly'!BN11</f>
        <v/>
      </c>
    </row>
    <row r="12" ht="14.1" customHeight="1">
      <c r="C12" s="4" t="inlineStr">
        <is>
          <t>Financieel vast actief</t>
        </is>
      </c>
      <c r="D12" s="4">
        <f>Balans!D12</f>
        <v/>
      </c>
      <c r="E12" s="4">
        <f>Balans!E12</f>
        <v/>
      </c>
      <c r="F12" s="14">
        <f>Balans!F12</f>
        <v/>
      </c>
      <c r="G12" s="4">
        <f>'BP - Monthly'!R12</f>
        <v/>
      </c>
      <c r="H12" s="4">
        <f>'BP - Monthly'!AD12</f>
        <v/>
      </c>
      <c r="I12" s="4">
        <f>'BP - Monthly'!AP12</f>
        <v/>
      </c>
      <c r="J12" s="5">
        <f>'BP - Monthly'!BB12</f>
        <v/>
      </c>
      <c r="K12" s="5">
        <f>'BP - Monthly'!BN12</f>
        <v/>
      </c>
    </row>
    <row r="13" ht="14.1" customHeight="1">
      <c r="C13" s="410" t="inlineStr">
        <is>
          <t>Vast actief</t>
        </is>
      </c>
      <c r="D13" s="410">
        <f>SUM(D10:D12)</f>
        <v/>
      </c>
      <c r="E13" s="410">
        <f>SUM(E10:E12)</f>
        <v/>
      </c>
      <c r="F13" s="15">
        <f>SUM(F10:F12)</f>
        <v/>
      </c>
      <c r="G13" s="410">
        <f>SUM(G10:G12)</f>
        <v/>
      </c>
      <c r="H13" s="410">
        <f>SUM(H10:H12)</f>
        <v/>
      </c>
      <c r="I13" s="410">
        <f>SUM(I10:I12)</f>
        <v/>
      </c>
      <c r="J13" s="410">
        <f>SUM(J10:J12)</f>
        <v/>
      </c>
      <c r="K13" s="410">
        <f>SUM(K10:K12)</f>
        <v/>
      </c>
    </row>
    <row r="14" ht="14.1" customHeight="1">
      <c r="C14" s="4" t="inlineStr">
        <is>
          <t>Handelsvorderingen</t>
        </is>
      </c>
      <c r="D14" s="4">
        <f>Balans!D21</f>
        <v/>
      </c>
      <c r="E14" s="4">
        <f>Balans!E21</f>
        <v/>
      </c>
      <c r="F14" s="14">
        <f>Balans!F21</f>
        <v/>
      </c>
      <c r="G14" s="4">
        <f>'BP - Monthly'!R14</f>
        <v/>
      </c>
      <c r="H14" s="4">
        <f>'BP - Monthly'!AD14</f>
        <v/>
      </c>
      <c r="I14" s="4">
        <f>'BP - Monthly'!AP14</f>
        <v/>
      </c>
      <c r="J14" s="5">
        <f>'BP - Monthly'!BB14</f>
        <v/>
      </c>
      <c r="K14" s="5">
        <f>'BP - Monthly'!BN14</f>
        <v/>
      </c>
    </row>
    <row r="15" ht="14.1" customHeight="1">
      <c r="C15" s="4" t="inlineStr">
        <is>
          <t>Voorraad</t>
        </is>
      </c>
      <c r="D15" s="4">
        <f>Balans!D19</f>
        <v/>
      </c>
      <c r="E15" s="4">
        <f>Balans!E19</f>
        <v/>
      </c>
      <c r="F15" s="14">
        <f>Balans!F19</f>
        <v/>
      </c>
      <c r="G15" s="4">
        <f>'BP - Monthly'!R15</f>
        <v/>
      </c>
      <c r="H15" s="4">
        <f>'BP - Monthly'!AD15</f>
        <v/>
      </c>
      <c r="I15" s="4">
        <f>'BP - Monthly'!AP15</f>
        <v/>
      </c>
      <c r="J15" s="5">
        <f>'BP - Monthly'!BB15</f>
        <v/>
      </c>
      <c r="K15" s="5">
        <f>'BP - Monthly'!BN15</f>
        <v/>
      </c>
    </row>
    <row r="16" ht="14.1" customHeight="1">
      <c r="C16" s="4" t="inlineStr">
        <is>
          <t>Overige vorderingen</t>
        </is>
      </c>
      <c r="D16" s="4">
        <f>Balans!D22</f>
        <v/>
      </c>
      <c r="E16" s="4">
        <f>Balans!E22</f>
        <v/>
      </c>
      <c r="F16" s="14">
        <f>Balans!F22</f>
        <v/>
      </c>
      <c r="G16" s="4">
        <f>'BP - Monthly'!R16</f>
        <v/>
      </c>
      <c r="H16" s="4">
        <f>'BP - Monthly'!AD16</f>
        <v/>
      </c>
      <c r="I16" s="4">
        <f>'BP - Monthly'!AP16</f>
        <v/>
      </c>
      <c r="J16" s="5">
        <f>'BP - Monthly'!BB16</f>
        <v/>
      </c>
      <c r="K16" s="5">
        <f>'BP - Monthly'!BN16</f>
        <v/>
      </c>
    </row>
    <row r="17" ht="14.1" customHeight="1">
      <c r="C17" s="4" t="inlineStr">
        <is>
          <t>Liquide middelen</t>
        </is>
      </c>
      <c r="D17" s="4">
        <f>Balans!D23</f>
        <v/>
      </c>
      <c r="E17" s="4">
        <f>Balans!E23</f>
        <v/>
      </c>
      <c r="F17" s="14">
        <f>Balans!F23</f>
        <v/>
      </c>
      <c r="G17" s="4">
        <f>G98</f>
        <v/>
      </c>
      <c r="H17" s="4">
        <f>H98</f>
        <v/>
      </c>
      <c r="I17" s="4">
        <f>I98</f>
        <v/>
      </c>
      <c r="J17" s="4">
        <f>J98</f>
        <v/>
      </c>
      <c r="K17" s="4">
        <f>K98</f>
        <v/>
      </c>
    </row>
    <row r="18" ht="14.1" customHeight="1">
      <c r="C18" s="4" t="inlineStr">
        <is>
          <t>Overlopende rekeningen (activa)</t>
        </is>
      </c>
      <c r="D18" s="4">
        <f>Balans!D24</f>
        <v/>
      </c>
      <c r="E18" s="4">
        <f>Balans!E24</f>
        <v/>
      </c>
      <c r="F18" s="14">
        <f>Balans!F24</f>
        <v/>
      </c>
      <c r="G18" s="4">
        <f>'BP - Monthly'!R18</f>
        <v/>
      </c>
      <c r="H18" s="4">
        <f>'BP - Monthly'!AD18</f>
        <v/>
      </c>
      <c r="I18" s="4">
        <f>'BP - Monthly'!AP18</f>
        <v/>
      </c>
      <c r="J18" s="5">
        <f>'BP - Monthly'!BB18</f>
        <v/>
      </c>
      <c r="K18" s="5">
        <f>'BP - Monthly'!BN18</f>
        <v/>
      </c>
    </row>
    <row r="19" ht="14.1" customHeight="1">
      <c r="C19" s="410" t="inlineStr">
        <is>
          <t>Vlottend actief</t>
        </is>
      </c>
      <c r="D19" s="16">
        <f>SUM(D14:D18)</f>
        <v/>
      </c>
      <c r="E19" s="16">
        <f>SUM(E14:E18)</f>
        <v/>
      </c>
      <c r="F19" s="17">
        <f>SUM(F14:F18)</f>
        <v/>
      </c>
      <c r="G19" s="16">
        <f>SUM(G14:G18)</f>
        <v/>
      </c>
      <c r="H19" s="16">
        <f>SUM(H14:H18)</f>
        <v/>
      </c>
      <c r="I19" s="16">
        <f>SUM(I14:I18)</f>
        <v/>
      </c>
      <c r="J19" s="16">
        <f>SUM(J14:J18)</f>
        <v/>
      </c>
      <c r="K19" s="16">
        <f>SUM(K14:K18)</f>
        <v/>
      </c>
    </row>
    <row r="20" ht="14.1" customHeight="1">
      <c r="C20" s="16" t="inlineStr">
        <is>
          <t>Totale activa</t>
        </is>
      </c>
      <c r="D20" s="16">
        <f>SUM(D13,D19)</f>
        <v/>
      </c>
      <c r="E20" s="16">
        <f>SUM(E13,E19)</f>
        <v/>
      </c>
      <c r="F20" s="17">
        <f>SUM(F13,F19)</f>
        <v/>
      </c>
      <c r="G20" s="16">
        <f>SUM(G13,G19)</f>
        <v/>
      </c>
      <c r="H20" s="16">
        <f>SUM(H13,H19)</f>
        <v/>
      </c>
      <c r="I20" s="16">
        <f>SUM(I13,I19)</f>
        <v/>
      </c>
      <c r="J20" s="16">
        <f>SUM(J13,J19)</f>
        <v/>
      </c>
      <c r="K20" s="16">
        <f>SUM(K13,K19)</f>
        <v/>
      </c>
    </row>
    <row r="21" ht="14.1" customHeight="1">
      <c r="C21" s="4" t="n"/>
      <c r="D21" s="4" t="n"/>
      <c r="E21" s="4" t="n"/>
      <c r="F21" s="14" t="n"/>
      <c r="G21" s="4" t="n"/>
      <c r="H21" s="4" t="n"/>
      <c r="I21" s="4" t="n"/>
      <c r="Q21" s="411" t="n"/>
    </row>
    <row r="22" ht="14.1" customHeight="1">
      <c r="C22" s="406">
        <f>"Balans - "&amp;Historiek!$A$2&amp;" - Passiva"</f>
        <v/>
      </c>
      <c r="D22" s="407" t="n"/>
      <c r="E22" s="407" t="n"/>
      <c r="F22" s="13" t="n"/>
      <c r="G22" s="407" t="n"/>
      <c r="H22" s="407" t="n"/>
      <c r="I22" s="407" t="n"/>
    </row>
    <row r="23" ht="14.1" customHeight="1">
      <c r="C23" s="738" t="inlineStr">
        <is>
          <t>k€</t>
        </is>
      </c>
      <c r="D23" s="742">
        <f>D$6</f>
        <v/>
      </c>
      <c r="E23" s="742">
        <f>E$6</f>
        <v/>
      </c>
      <c r="F23" s="740">
        <f>F$6</f>
        <v/>
      </c>
      <c r="G23" s="742">
        <f>G$6</f>
        <v/>
      </c>
      <c r="H23" s="742">
        <f>H$6</f>
        <v/>
      </c>
      <c r="I23" s="742">
        <f>I$6</f>
        <v/>
      </c>
      <c r="J23" s="742">
        <f>J$6</f>
        <v/>
      </c>
      <c r="K23" s="742">
        <f>K$6</f>
        <v/>
      </c>
    </row>
    <row r="24" ht="14.1" customHeight="1">
      <c r="C24" s="4" t="inlineStr">
        <is>
          <t>Kapitaal</t>
        </is>
      </c>
      <c r="D24" s="412">
        <f>Balans!D33</f>
        <v/>
      </c>
      <c r="E24" s="412">
        <f>Balans!E33</f>
        <v/>
      </c>
      <c r="F24" s="18">
        <f>Balans!F33</f>
        <v/>
      </c>
      <c r="G24" s="4">
        <f>'BP - Monthly'!R24</f>
        <v/>
      </c>
      <c r="H24" s="4">
        <f>'BP - Monthly'!AD24</f>
        <v/>
      </c>
      <c r="I24" s="4">
        <f>'BP - Monthly'!AP24</f>
        <v/>
      </c>
      <c r="J24" s="5">
        <f>'BP - Monthly'!BB24</f>
        <v/>
      </c>
      <c r="K24" s="5">
        <f>'BP - Monthly'!BN24</f>
        <v/>
      </c>
    </row>
    <row r="25" ht="14.1" customHeight="1">
      <c r="C25" s="4" t="inlineStr">
        <is>
          <t>Reserves</t>
        </is>
      </c>
      <c r="D25" s="4">
        <f>Historiek!D85/1000</f>
        <v/>
      </c>
      <c r="E25" s="4">
        <f>Historiek!E85/1000</f>
        <v/>
      </c>
      <c r="F25" s="4">
        <f>Historiek!F85/1000</f>
        <v/>
      </c>
      <c r="G25" s="4">
        <f>'BP - Monthly'!R25</f>
        <v/>
      </c>
      <c r="H25" s="4">
        <f>'BP - Monthly'!AD25</f>
        <v/>
      </c>
      <c r="I25" s="4">
        <f>'BP - Monthly'!AP25</f>
        <v/>
      </c>
      <c r="J25" s="5">
        <f>'BP - Monthly'!BB25</f>
        <v/>
      </c>
      <c r="K25" s="5">
        <f>'BP - Monthly'!BN25</f>
        <v/>
      </c>
    </row>
    <row r="26" ht="14.1" customHeight="1">
      <c r="C26" s="4" t="inlineStr">
        <is>
          <t>Kapitaalsubsidies</t>
        </is>
      </c>
      <c r="D26" s="4">
        <f>Balans!D36</f>
        <v/>
      </c>
      <c r="E26" s="4">
        <f>Balans!E36</f>
        <v/>
      </c>
      <c r="F26" s="14">
        <f>Balans!F36</f>
        <v/>
      </c>
      <c r="G26" s="4">
        <f>'BP - Monthly'!R26</f>
        <v/>
      </c>
      <c r="H26" s="4">
        <f>'BP - Monthly'!AD26</f>
        <v/>
      </c>
      <c r="I26" s="4">
        <f>'BP - Monthly'!AP26</f>
        <v/>
      </c>
      <c r="J26" s="5">
        <f>'BP - Monthly'!BB26</f>
        <v/>
      </c>
      <c r="K26" s="5">
        <f>'BP - Monthly'!BN26</f>
        <v/>
      </c>
    </row>
    <row r="27" ht="14.1" customHeight="1">
      <c r="C27" s="4" t="inlineStr">
        <is>
          <t>Overgedragen resultaat</t>
        </is>
      </c>
      <c r="D27" s="4">
        <f>(Historiek!D91+Historiek!D92)/1000</f>
        <v/>
      </c>
      <c r="E27" s="4">
        <f>(Historiek!E91+Historiek!E92)/1000</f>
        <v/>
      </c>
      <c r="F27" s="4">
        <f>(Historiek!F91+Historiek!F92)/1000</f>
        <v/>
      </c>
      <c r="G27" s="4">
        <f>F27+F28</f>
        <v/>
      </c>
      <c r="H27" s="4">
        <f>G27+G28</f>
        <v/>
      </c>
      <c r="I27" s="4">
        <f>H27+H28</f>
        <v/>
      </c>
      <c r="J27" s="4">
        <f>I27+I28</f>
        <v/>
      </c>
      <c r="K27" s="4">
        <f>J27+J28</f>
        <v/>
      </c>
    </row>
    <row r="28" ht="14.1" customHeight="1">
      <c r="C28" s="4" t="inlineStr">
        <is>
          <t>Huidig resultaat (na resultaatverwerking)</t>
        </is>
      </c>
      <c r="D28" s="4">
        <f>D76</f>
        <v/>
      </c>
      <c r="E28" s="4">
        <f>E76</f>
        <v/>
      </c>
      <c r="F28" s="14">
        <f>F76</f>
        <v/>
      </c>
      <c r="G28" s="4">
        <f>G76</f>
        <v/>
      </c>
      <c r="H28" s="4">
        <f>H76</f>
        <v/>
      </c>
      <c r="I28" s="4">
        <f>I76</f>
        <v/>
      </c>
      <c r="J28" s="4">
        <f>J76</f>
        <v/>
      </c>
      <c r="K28" s="4">
        <f>K76</f>
        <v/>
      </c>
    </row>
    <row r="29" ht="14.1" customHeight="1">
      <c r="C29" s="16" t="inlineStr">
        <is>
          <t>Eigen vermogen</t>
        </is>
      </c>
      <c r="D29" s="16">
        <f>SUM(D24:D28)</f>
        <v/>
      </c>
      <c r="E29" s="16">
        <f>SUM(E24:E28)</f>
        <v/>
      </c>
      <c r="F29" s="17">
        <f>SUM(F24:F28)</f>
        <v/>
      </c>
      <c r="G29" s="16">
        <f>SUM(G24:G28)</f>
        <v/>
      </c>
      <c r="H29" s="16">
        <f>SUM(H24:H28)</f>
        <v/>
      </c>
      <c r="I29" s="16">
        <f>SUM(I24:I28)</f>
        <v/>
      </c>
      <c r="J29" s="16">
        <f>SUM(J24:J28)</f>
        <v/>
      </c>
      <c r="K29" s="16">
        <f>SUM(K24:K28)</f>
        <v/>
      </c>
    </row>
    <row r="30" ht="14.1" customHeight="1">
      <c r="C30" s="16" t="inlineStr">
        <is>
          <t>Provisies &amp; uitgestelde belastingen</t>
        </is>
      </c>
      <c r="D30" s="16">
        <f>Balans!D40</f>
        <v/>
      </c>
      <c r="E30" s="16">
        <f>Balans!E40</f>
        <v/>
      </c>
      <c r="F30" s="17">
        <f>Balans!F40</f>
        <v/>
      </c>
      <c r="G30" s="16">
        <f>'BP - Monthly'!R30</f>
        <v/>
      </c>
      <c r="H30" s="16">
        <f>'BP - Monthly'!AD30</f>
        <v/>
      </c>
      <c r="I30" s="16">
        <f>'BP - Monthly'!AP30</f>
        <v/>
      </c>
      <c r="J30" s="420">
        <f>'BP - Monthly'!BB30</f>
        <v/>
      </c>
      <c r="K30" s="420">
        <f>'BP - Monthly'!BN30</f>
        <v/>
      </c>
    </row>
    <row r="31" ht="14.1" customHeight="1">
      <c r="C31" s="4" t="inlineStr">
        <is>
          <t>Financiële schulden</t>
        </is>
      </c>
      <c r="D31" s="4">
        <f>Balans!D44</f>
        <v/>
      </c>
      <c r="E31" s="4">
        <f>Balans!E44</f>
        <v/>
      </c>
      <c r="F31" s="14">
        <f>Balans!F44</f>
        <v/>
      </c>
      <c r="G31" s="4">
        <f>'BP - Monthly'!R31</f>
        <v/>
      </c>
      <c r="H31" s="4">
        <f>'BP - Monthly'!AD31</f>
        <v/>
      </c>
      <c r="I31" s="4">
        <f>'BP - Monthly'!AP31</f>
        <v/>
      </c>
      <c r="J31" s="5">
        <f>'BP - Monthly'!BB31</f>
        <v/>
      </c>
      <c r="K31" s="5">
        <f>'BP - Monthly'!BN31</f>
        <v/>
      </c>
    </row>
    <row r="32" ht="14.1" customHeight="1">
      <c r="C32" s="4" t="inlineStr">
        <is>
          <t>Overige LT schulden</t>
        </is>
      </c>
      <c r="D32" s="4">
        <f>(Balans!D43+Balans!D45)</f>
        <v/>
      </c>
      <c r="E32" s="4">
        <f>(Balans!E43+Balans!E45)</f>
        <v/>
      </c>
      <c r="F32" s="14">
        <f>(Balans!F43+Balans!F45)</f>
        <v/>
      </c>
      <c r="G32" s="4">
        <f>'BP - Monthly'!R32</f>
        <v/>
      </c>
      <c r="H32" s="4">
        <f>'BP - Monthly'!AD32</f>
        <v/>
      </c>
      <c r="I32" s="4">
        <f>'BP - Monthly'!AP32</f>
        <v/>
      </c>
      <c r="J32" s="5">
        <f>'BP - Monthly'!BB32</f>
        <v/>
      </c>
      <c r="K32" s="5">
        <f>'BP - Monthly'!BN32</f>
        <v/>
      </c>
    </row>
    <row r="33" ht="14.1" customHeight="1">
      <c r="C33" s="16" t="inlineStr">
        <is>
          <t>Lange termijn schulden</t>
        </is>
      </c>
      <c r="D33" s="16">
        <f>SUM(D31:D32)</f>
        <v/>
      </c>
      <c r="E33" s="16">
        <f>SUM(E31:E32)</f>
        <v/>
      </c>
      <c r="F33" s="17">
        <f>SUM(F31:F32)</f>
        <v/>
      </c>
      <c r="G33" s="17">
        <f>SUM(G31:G32)</f>
        <v/>
      </c>
      <c r="H33" s="17">
        <f>SUM(H31:H32)</f>
        <v/>
      </c>
      <c r="I33" s="17">
        <f>SUM(I31:I32)</f>
        <v/>
      </c>
      <c r="J33" s="17">
        <f>SUM(J31:J32)</f>
        <v/>
      </c>
      <c r="K33" s="17">
        <f>SUM(K31:K32)</f>
        <v/>
      </c>
    </row>
    <row r="34" ht="14.1" customHeight="1">
      <c r="C34" s="413" t="inlineStr">
        <is>
          <t>KT gedeelte van LT schulden</t>
        </is>
      </c>
      <c r="D34" s="4">
        <f>Balans!D47</f>
        <v/>
      </c>
      <c r="E34" s="4">
        <f>Balans!E47</f>
        <v/>
      </c>
      <c r="F34" s="14">
        <f>Balans!F47</f>
        <v/>
      </c>
      <c r="G34" s="4">
        <f>'BP - Monthly'!R34</f>
        <v/>
      </c>
      <c r="H34" s="4">
        <f>'BP - Monthly'!AD34</f>
        <v/>
      </c>
      <c r="I34" s="4">
        <f>'BP - Monthly'!AP34</f>
        <v/>
      </c>
      <c r="J34" s="5">
        <f>'BP - Monthly'!BB34</f>
        <v/>
      </c>
      <c r="K34" s="5">
        <f>'BP - Monthly'!BN34</f>
        <v/>
      </c>
    </row>
    <row r="35" ht="14.1" customHeight="1">
      <c r="C35" s="413" t="inlineStr">
        <is>
          <t>Financiële schulden</t>
        </is>
      </c>
      <c r="D35" s="4">
        <f>Balans!D48</f>
        <v/>
      </c>
      <c r="E35" s="4">
        <f>Balans!E48</f>
        <v/>
      </c>
      <c r="F35" s="14">
        <f>Balans!F48</f>
        <v/>
      </c>
      <c r="G35" s="4">
        <f>'BP - Monthly'!R35</f>
        <v/>
      </c>
      <c r="H35" s="4">
        <f>'BP - Monthly'!AD35</f>
        <v/>
      </c>
      <c r="I35" s="4">
        <f>'BP - Monthly'!AP35</f>
        <v/>
      </c>
      <c r="J35" s="5">
        <f>'BP - Monthly'!BB35</f>
        <v/>
      </c>
      <c r="K35" s="5">
        <f>'BP - Monthly'!BN35</f>
        <v/>
      </c>
    </row>
    <row r="36" ht="14.1" customHeight="1">
      <c r="C36" s="413" t="inlineStr">
        <is>
          <t>Handelsschulden</t>
        </is>
      </c>
      <c r="D36" s="413">
        <f>Balans!D49</f>
        <v/>
      </c>
      <c r="E36" s="413">
        <f>Balans!E49</f>
        <v/>
      </c>
      <c r="F36" s="19">
        <f>Balans!F49</f>
        <v/>
      </c>
      <c r="G36" s="4">
        <f>'BP - Monthly'!R36</f>
        <v/>
      </c>
      <c r="H36" s="4">
        <f>'BP - Monthly'!AD36</f>
        <v/>
      </c>
      <c r="I36" s="4">
        <f>'BP - Monthly'!AP36</f>
        <v/>
      </c>
      <c r="J36" s="5">
        <f>'BP - Monthly'!BB36</f>
        <v/>
      </c>
      <c r="K36" s="5">
        <f>'BP - Monthly'!BN36</f>
        <v/>
      </c>
    </row>
    <row r="37" ht="14.1" customHeight="1">
      <c r="C37" s="413" t="inlineStr">
        <is>
          <t>Ontvangen vooruitbetalingen</t>
        </is>
      </c>
      <c r="D37" s="413">
        <f>Balans!D50</f>
        <v/>
      </c>
      <c r="E37" s="413">
        <f>Balans!E50</f>
        <v/>
      </c>
      <c r="F37" s="19">
        <f>Balans!F50</f>
        <v/>
      </c>
      <c r="G37" s="4">
        <f>'BP - Monthly'!R37</f>
        <v/>
      </c>
      <c r="H37" s="4">
        <f>'BP - Monthly'!AD37</f>
        <v/>
      </c>
      <c r="I37" s="4">
        <f>'BP - Monthly'!AP37</f>
        <v/>
      </c>
      <c r="J37" s="5">
        <f>'BP - Monthly'!BB37</f>
        <v/>
      </c>
      <c r="K37" s="5">
        <f>'BP - Monthly'!BN37</f>
        <v/>
      </c>
    </row>
    <row r="38" ht="14.1" customHeight="1">
      <c r="C38" s="414" t="inlineStr">
        <is>
          <t>Sociale en fiscale schulden</t>
        </is>
      </c>
      <c r="D38" s="413">
        <f>Balans!D51</f>
        <v/>
      </c>
      <c r="E38" s="413">
        <f>Balans!E51</f>
        <v/>
      </c>
      <c r="F38" s="19">
        <f>Balans!F51</f>
        <v/>
      </c>
      <c r="G38" s="4">
        <f>'BP - Monthly'!R38</f>
        <v/>
      </c>
      <c r="H38" s="4">
        <f>'BP - Monthly'!AD38</f>
        <v/>
      </c>
      <c r="I38" s="4">
        <f>'BP - Monthly'!AP38</f>
        <v/>
      </c>
      <c r="J38" s="5">
        <f>'BP - Monthly'!BB38</f>
        <v/>
      </c>
      <c r="K38" s="5">
        <f>'BP - Monthly'!BN38</f>
        <v/>
      </c>
    </row>
    <row r="39" ht="14.1" customHeight="1">
      <c r="C39" s="414" t="inlineStr">
        <is>
          <t>Overige schulden</t>
        </is>
      </c>
      <c r="D39" s="413">
        <f>Balans!D52</f>
        <v/>
      </c>
      <c r="E39" s="413">
        <f>Balans!E52</f>
        <v/>
      </c>
      <c r="F39" s="19">
        <f>Balans!F52</f>
        <v/>
      </c>
      <c r="G39" s="4">
        <f>'BP - Monthly'!R39</f>
        <v/>
      </c>
      <c r="H39" s="4">
        <f>'BP - Monthly'!AD39</f>
        <v/>
      </c>
      <c r="I39" s="4">
        <f>'BP - Monthly'!AP39</f>
        <v/>
      </c>
      <c r="J39" s="5">
        <f>'BP - Monthly'!BB39</f>
        <v/>
      </c>
      <c r="K39" s="5">
        <f>'BP - Monthly'!BN39</f>
        <v/>
      </c>
    </row>
    <row r="40" ht="14.1" customHeight="1">
      <c r="C40" s="4" t="inlineStr">
        <is>
          <t>Overlopende rekeningen (passiva)</t>
        </is>
      </c>
      <c r="D40" s="4">
        <f>Balans!D53</f>
        <v/>
      </c>
      <c r="E40" s="4">
        <f>Balans!E53</f>
        <v/>
      </c>
      <c r="F40" s="14">
        <f>Balans!F53</f>
        <v/>
      </c>
      <c r="G40" s="4">
        <f>'BP - Monthly'!R40</f>
        <v/>
      </c>
      <c r="H40" s="4">
        <f>'BP - Monthly'!AD40</f>
        <v/>
      </c>
      <c r="I40" s="4">
        <f>'BP - Monthly'!AP40</f>
        <v/>
      </c>
      <c r="J40" s="5">
        <f>'BP - Monthly'!BB40</f>
        <v/>
      </c>
      <c r="K40" s="5">
        <f>'BP - Monthly'!BN40</f>
        <v/>
      </c>
    </row>
    <row r="41" ht="14.1" customHeight="1">
      <c r="C41" s="410" t="inlineStr">
        <is>
          <t>Korte termijn schulden</t>
        </is>
      </c>
      <c r="D41" s="410">
        <f>SUM(D34:D40)</f>
        <v/>
      </c>
      <c r="E41" s="410">
        <f>SUM(E34:E40)</f>
        <v/>
      </c>
      <c r="F41" s="15">
        <f>SUM(F34:F40)</f>
        <v/>
      </c>
      <c r="G41" s="410">
        <f>SUM(G34:G40)</f>
        <v/>
      </c>
      <c r="H41" s="410">
        <f>SUM(H34:H40)</f>
        <v/>
      </c>
      <c r="I41" s="410">
        <f>SUM(I34:I40)</f>
        <v/>
      </c>
      <c r="J41" s="410">
        <f>SUM(J34:J40)</f>
        <v/>
      </c>
      <c r="K41" s="410">
        <f>SUM(K34:K40)</f>
        <v/>
      </c>
    </row>
    <row r="42" ht="14.1" customHeight="1">
      <c r="C42" s="415" t="inlineStr">
        <is>
          <t>Totale passiva</t>
        </is>
      </c>
      <c r="D42" s="16">
        <f>SUM(D29,D30,D33,D41)</f>
        <v/>
      </c>
      <c r="E42" s="16">
        <f>SUM(E29,E30,E33,E41)</f>
        <v/>
      </c>
      <c r="F42" s="17">
        <f>SUM(F29,F30,F33,F41)</f>
        <v/>
      </c>
      <c r="G42" s="16">
        <f>SUM(G29,G30,G33,G41)</f>
        <v/>
      </c>
      <c r="H42" s="16">
        <f>SUM(H29,H30,H33,H41)</f>
        <v/>
      </c>
      <c r="I42" s="16">
        <f>SUM(I29,I30,I33,I41)</f>
        <v/>
      </c>
      <c r="J42" s="16">
        <f>SUM(J29,J30,J33,J41)</f>
        <v/>
      </c>
      <c r="K42" s="16">
        <f>SUM(K29,K30,K33,K41)</f>
        <v/>
      </c>
      <c r="Q42" s="411" t="n"/>
    </row>
    <row r="43" ht="14.1" customHeight="1">
      <c r="Q43" s="411" t="n"/>
    </row>
    <row r="44" outlineLevel="1" ht="14.1" customHeight="1">
      <c r="A44" s="10">
        <f>SUM(D44:K44)</f>
        <v/>
      </c>
      <c r="C44" s="8" t="inlineStr">
        <is>
          <t>Check</t>
        </is>
      </c>
      <c r="D44" s="8">
        <f>D42-D20</f>
        <v/>
      </c>
      <c r="E44" s="8">
        <f>E42-E20</f>
        <v/>
      </c>
      <c r="F44" s="20">
        <f>F42-F20</f>
        <v/>
      </c>
      <c r="G44" s="8">
        <f>G42-G20</f>
        <v/>
      </c>
      <c r="H44" s="8">
        <f>H42-H20</f>
        <v/>
      </c>
      <c r="I44" s="8">
        <f>I42-I20</f>
        <v/>
      </c>
      <c r="J44" s="8">
        <f>J42-J20</f>
        <v/>
      </c>
      <c r="K44" s="8">
        <f>K42-K20</f>
        <v/>
      </c>
      <c r="Q44" s="411" t="n"/>
    </row>
    <row r="45" outlineLevel="1" ht="14.1" customHeight="1">
      <c r="A45" s="10">
        <f>SUM(D45:K45)</f>
        <v/>
      </c>
      <c r="C45" s="8" t="inlineStr">
        <is>
          <t>Check</t>
        </is>
      </c>
      <c r="D45" s="8">
        <f>D42-Balans!D57</f>
        <v/>
      </c>
      <c r="E45" s="8">
        <f>E42-Balans!E57</f>
        <v/>
      </c>
      <c r="F45" s="20">
        <f>F42-Balans!F57</f>
        <v/>
      </c>
      <c r="G45" s="8" t="n"/>
      <c r="H45" s="8" t="n"/>
      <c r="I45" s="8" t="n"/>
      <c r="J45" s="8" t="n"/>
      <c r="K45" s="8" t="n"/>
      <c r="Q45" s="411" t="n"/>
    </row>
    <row r="46" ht="14.1" customHeight="1">
      <c r="Q46" s="411" t="n"/>
    </row>
    <row r="47" ht="14.1" customHeight="1">
      <c r="C47" s="406">
        <f>"Resultatenrekening - "&amp;Historiek!$A$2</f>
        <v/>
      </c>
      <c r="D47" s="407" t="n"/>
      <c r="E47" s="407" t="n"/>
      <c r="F47" s="13" t="n"/>
      <c r="G47" s="407" t="n"/>
      <c r="H47" s="407" t="n"/>
      <c r="I47" s="407" t="n"/>
      <c r="J47" s="3" t="n"/>
    </row>
    <row r="48" ht="14.1" customHeight="1">
      <c r="C48" s="738">
        <f>C$4</f>
        <v/>
      </c>
      <c r="D48" s="741">
        <f>D$4</f>
        <v/>
      </c>
      <c r="E48" s="741">
        <f>E$4</f>
        <v/>
      </c>
      <c r="F48" s="743">
        <f>F$4</f>
        <v/>
      </c>
      <c r="G48" s="741">
        <f>G$4</f>
        <v/>
      </c>
      <c r="H48" s="741">
        <f>H$4</f>
        <v/>
      </c>
      <c r="I48" s="741">
        <f>I$4</f>
        <v/>
      </c>
      <c r="J48" s="741">
        <f>J$4</f>
        <v/>
      </c>
      <c r="K48" s="741">
        <f>K$4</f>
        <v/>
      </c>
      <c r="N48" s="416" t="n"/>
    </row>
    <row r="49" ht="14.1" customHeight="1">
      <c r="C49" s="414" t="inlineStr">
        <is>
          <t>Detail 1</t>
        </is>
      </c>
      <c r="D49" s="427" t="n"/>
      <c r="E49" s="427" t="n"/>
      <c r="F49" s="428" t="n"/>
      <c r="G49" s="429">
        <f>SUM('BP - Monthly'!G49:R49)</f>
        <v/>
      </c>
      <c r="H49" s="429">
        <f>SUM('BP - Monthly'!S49:AD49)</f>
        <v/>
      </c>
      <c r="I49" s="429">
        <f>SUM('BP - Monthly'!AE49:AP49)</f>
        <v/>
      </c>
      <c r="J49" s="429">
        <f>SUM('BP - Monthly'!AQ49:BB49)</f>
        <v/>
      </c>
      <c r="K49" s="429">
        <f>SUM('BP - Monthly'!BC49:BN49)</f>
        <v/>
      </c>
      <c r="N49" s="416" t="n"/>
    </row>
    <row r="50" ht="14.1" customHeight="1">
      <c r="C50" s="414" t="inlineStr">
        <is>
          <t>Detail 2</t>
        </is>
      </c>
      <c r="D50" s="427" t="n"/>
      <c r="E50" s="427" t="n"/>
      <c r="F50" s="428" t="n"/>
      <c r="G50" s="429">
        <f>SUM('BP - Monthly'!G50:R50)</f>
        <v/>
      </c>
      <c r="H50" s="429">
        <f>SUM('BP - Monthly'!S50:AD50)</f>
        <v/>
      </c>
      <c r="I50" s="429">
        <f>SUM('BP - Monthly'!AE50:AP50)</f>
        <v/>
      </c>
      <c r="J50" s="429">
        <f>SUM('BP - Monthly'!AQ50:BB50)</f>
        <v/>
      </c>
      <c r="K50" s="429">
        <f>SUM('BP - Monthly'!BC50:BN50)</f>
        <v/>
      </c>
      <c r="M50" s="24" t="inlineStr">
        <is>
          <t>Omzetgroei</t>
        </is>
      </c>
      <c r="N50" s="416" t="n"/>
    </row>
    <row r="51" ht="14.1" customHeight="1">
      <c r="C51" s="414" t="inlineStr">
        <is>
          <t>Detail 3</t>
        </is>
      </c>
      <c r="D51" s="427" t="n"/>
      <c r="E51" s="427" t="n"/>
      <c r="F51" s="428" t="n"/>
      <c r="G51" s="429">
        <f>SUM('BP - Monthly'!G51:R51)</f>
        <v/>
      </c>
      <c r="H51" s="429">
        <f>SUM('BP - Monthly'!S51:AD51)</f>
        <v/>
      </c>
      <c r="I51" s="429">
        <f>SUM('BP - Monthly'!AE51:AP51)</f>
        <v/>
      </c>
      <c r="J51" s="429">
        <f>SUM('BP - Monthly'!AQ51:BB51)</f>
        <v/>
      </c>
      <c r="K51" s="429">
        <f>SUM('BP - Monthly'!BC51:BN51)</f>
        <v/>
      </c>
      <c r="M51" s="741">
        <f>G48</f>
        <v/>
      </c>
      <c r="N51" s="741">
        <f>H48</f>
        <v/>
      </c>
      <c r="O51" s="741">
        <f>I48</f>
        <v/>
      </c>
      <c r="P51" s="741">
        <f>J48</f>
        <v/>
      </c>
      <c r="Q51" s="741">
        <f>K48</f>
        <v/>
      </c>
      <c r="R51" s="741" t="inlineStr">
        <is>
          <t>CAGR%</t>
        </is>
      </c>
    </row>
    <row r="52" ht="14.1" customFormat="1" customHeight="1" s="24">
      <c r="A52" s="424" t="n"/>
      <c r="C52" s="417" t="inlineStr">
        <is>
          <t>Omzet</t>
        </is>
      </c>
      <c r="D52" s="420">
        <f>Resultaten!D7</f>
        <v/>
      </c>
      <c r="E52" s="420">
        <f>Resultaten!E7</f>
        <v/>
      </c>
      <c r="F52" s="25">
        <f>Resultaten!F7</f>
        <v/>
      </c>
      <c r="G52" s="25">
        <f>SUM(G49:G51)</f>
        <v/>
      </c>
      <c r="H52" s="25">
        <f>SUM(H49:H51)</f>
        <v/>
      </c>
      <c r="I52" s="25">
        <f>SUM(I49:I51)</f>
        <v/>
      </c>
      <c r="J52" s="25">
        <f>SUM(J49:J51)</f>
        <v/>
      </c>
      <c r="K52" s="25">
        <f>SUM(K49:K51)</f>
        <v/>
      </c>
      <c r="M52" s="92">
        <f>IFERROR(G52/F52-1,"n/a")</f>
        <v/>
      </c>
      <c r="N52" s="92">
        <f>IFERROR(H52/G52-1,"n/a")</f>
        <v/>
      </c>
      <c r="O52" s="92">
        <f>IFERROR(I52/H52-1,"n/a")</f>
        <v/>
      </c>
      <c r="P52" s="92">
        <f>IFERROR(J52/I52-1,"n/a")</f>
        <v/>
      </c>
      <c r="Q52" s="92">
        <f>IFERROR(K52/J52-1,"n/a")</f>
        <v/>
      </c>
      <c r="R52" s="434">
        <f>IFERROR((K52/G52)^(1/4)-1,"n/a")</f>
        <v/>
      </c>
    </row>
    <row r="53" ht="14.1" customHeight="1">
      <c r="C53" s="414" t="inlineStr">
        <is>
          <t>COGS</t>
        </is>
      </c>
      <c r="D53" s="5">
        <f>Resultaten!D8-Resultaten!D9</f>
        <v/>
      </c>
      <c r="E53" s="5">
        <f>Resultaten!E8-Resultaten!E9</f>
        <v/>
      </c>
      <c r="F53" s="21">
        <f>Resultaten!F8-Resultaten!F9</f>
        <v/>
      </c>
      <c r="G53" s="429">
        <f>SUM('BP - Monthly'!G53:R53)</f>
        <v/>
      </c>
      <c r="H53" s="429">
        <f>SUM('BP - Monthly'!S53:AD53)</f>
        <v/>
      </c>
      <c r="I53" s="429">
        <f>SUM('BP - Monthly'!AE53:AP53)</f>
        <v/>
      </c>
      <c r="J53" s="429">
        <f>SUM('BP - Monthly'!AQ53:BB53)</f>
        <v/>
      </c>
      <c r="K53" s="429">
        <f>SUM('BP - Monthly'!BC53:BN53)</f>
        <v/>
      </c>
    </row>
    <row r="54" ht="14.1" customHeight="1">
      <c r="C54" s="417" t="inlineStr">
        <is>
          <t>Brutomarge</t>
        </is>
      </c>
      <c r="D54" s="7">
        <f>SUM(D52:D53)</f>
        <v/>
      </c>
      <c r="E54" s="7">
        <f>SUM(E52:E53)</f>
        <v/>
      </c>
      <c r="F54" s="22">
        <f>SUM(F52:F53)</f>
        <v/>
      </c>
      <c r="G54" s="7">
        <f>SUM(G52:G53)</f>
        <v/>
      </c>
      <c r="H54" s="7">
        <f>SUM(H52:H53)</f>
        <v/>
      </c>
      <c r="I54" s="7">
        <f>SUM(I52:I53)</f>
        <v/>
      </c>
      <c r="J54" s="7">
        <f>SUM(J52:J53)</f>
        <v/>
      </c>
      <c r="K54" s="7">
        <f>SUM(K52:K53)</f>
        <v/>
      </c>
    </row>
    <row r="55" ht="14.1" customHeight="1">
      <c r="C55" s="744" t="inlineStr">
        <is>
          <t>Brutomarge %</t>
        </is>
      </c>
      <c r="D55" s="745">
        <f>IFERROR(D54/D52,"n/a")</f>
        <v/>
      </c>
      <c r="E55" s="745">
        <f>IFERROR(E54/E52,"n/a")</f>
        <v/>
      </c>
      <c r="F55" s="746">
        <f>IFERROR(F54/F52,"n/a")</f>
        <v/>
      </c>
      <c r="G55" s="745">
        <f>IFERROR(G54/G52,"n/a")</f>
        <v/>
      </c>
      <c r="H55" s="745">
        <f>IFERROR(H54/H52,"n/a")</f>
        <v/>
      </c>
      <c r="I55" s="745">
        <f>IFERROR(I54/I52,"n/a")</f>
        <v/>
      </c>
      <c r="J55" s="745">
        <f>IFERROR(J54/J52,"n/a")</f>
        <v/>
      </c>
      <c r="K55" s="745">
        <f>IFERROR(K54/K52,"n/a")</f>
        <v/>
      </c>
    </row>
    <row r="56" ht="14.1" customHeight="1">
      <c r="C56" s="414" t="inlineStr">
        <is>
          <t>Diensten &amp; diverse goederen</t>
        </is>
      </c>
      <c r="D56" s="5">
        <f>-Resultaten!D14</f>
        <v/>
      </c>
      <c r="E56" s="5">
        <f>-Resultaten!E14</f>
        <v/>
      </c>
      <c r="F56" s="21">
        <f>-Resultaten!F14</f>
        <v/>
      </c>
      <c r="G56" s="429">
        <f>SUM('BP - Monthly'!G56:R56)</f>
        <v/>
      </c>
      <c r="H56" s="429">
        <f>SUM('BP - Monthly'!S56:AD56)</f>
        <v/>
      </c>
      <c r="I56" s="429">
        <f>SUM('BP - Monthly'!AE56:AP56)</f>
        <v/>
      </c>
      <c r="J56" s="429">
        <f>SUM('BP - Monthly'!AQ56:BB56)</f>
        <v/>
      </c>
      <c r="K56" s="429">
        <f>SUM('BP - Monthly'!BC56:BN56)</f>
        <v/>
      </c>
    </row>
    <row r="57" ht="14.1" customHeight="1">
      <c r="C57" s="414" t="inlineStr">
        <is>
          <t>Bezoldigingen</t>
        </is>
      </c>
      <c r="D57" s="5">
        <f>-Resultaten!D21</f>
        <v/>
      </c>
      <c r="E57" s="5">
        <f>-Resultaten!E21</f>
        <v/>
      </c>
      <c r="F57" s="21">
        <f>-Resultaten!F21</f>
        <v/>
      </c>
      <c r="G57" s="429">
        <f>SUM('BP - Monthly'!G57:R57)</f>
        <v/>
      </c>
      <c r="H57" s="429">
        <f>SUM('BP - Monthly'!S57:AD57)</f>
        <v/>
      </c>
      <c r="I57" s="429">
        <f>SUM('BP - Monthly'!AE57:AP57)</f>
        <v/>
      </c>
      <c r="J57" s="429">
        <f>SUM('BP - Monthly'!AQ57:BB57)</f>
        <v/>
      </c>
      <c r="K57" s="429">
        <f>SUM('BP - Monthly'!BC57:BN57)</f>
        <v/>
      </c>
    </row>
    <row r="58" ht="14.1" customHeight="1">
      <c r="C58" s="414" t="inlineStr">
        <is>
          <t>Geproduceerde vaste activa</t>
        </is>
      </c>
      <c r="D58" s="5">
        <f>Resultaten!D15</f>
        <v/>
      </c>
      <c r="E58" s="5">
        <f>Resultaten!E15</f>
        <v/>
      </c>
      <c r="F58" s="5">
        <f>Resultaten!F15</f>
        <v/>
      </c>
      <c r="G58" s="429">
        <f>SUM('BP - Monthly'!G58:R58)</f>
        <v/>
      </c>
      <c r="H58" s="429">
        <f>SUM('BP - Monthly'!S58:AD58)</f>
        <v/>
      </c>
      <c r="I58" s="429">
        <f>SUM('BP - Monthly'!AE58:AP58)</f>
        <v/>
      </c>
      <c r="J58" s="429">
        <f>SUM('BP - Monthly'!AQ58:BB58)</f>
        <v/>
      </c>
      <c r="K58" s="429">
        <f>SUM('BP - Monthly'!BC58:BN58)</f>
        <v/>
      </c>
    </row>
    <row r="59" ht="14.1" customHeight="1">
      <c r="C59" s="414" t="inlineStr">
        <is>
          <t>Andere operationele opbrengsten</t>
        </is>
      </c>
      <c r="D59" s="5">
        <f>Resultaten!D16</f>
        <v/>
      </c>
      <c r="E59" s="5">
        <f>Resultaten!E16</f>
        <v/>
      </c>
      <c r="F59" s="21">
        <f>Resultaten!F16</f>
        <v/>
      </c>
      <c r="G59" s="429">
        <f>SUM('BP - Monthly'!G59:R59)</f>
        <v/>
      </c>
      <c r="H59" s="429">
        <f>SUM('BP - Monthly'!S59:AD59)</f>
        <v/>
      </c>
      <c r="I59" s="429">
        <f>SUM('BP - Monthly'!AE59:AP59)</f>
        <v/>
      </c>
      <c r="J59" s="429">
        <f>SUM('BP - Monthly'!AQ59:BB59)</f>
        <v/>
      </c>
      <c r="K59" s="429">
        <f>SUM('BP - Monthly'!BC59:BN59)</f>
        <v/>
      </c>
    </row>
    <row r="60" ht="14.1" customHeight="1">
      <c r="C60" s="414" t="inlineStr">
        <is>
          <t>Andere operationele kosten</t>
        </is>
      </c>
      <c r="D60" s="5">
        <f>-Resultaten!D22</f>
        <v/>
      </c>
      <c r="E60" s="5">
        <f>-Resultaten!E22</f>
        <v/>
      </c>
      <c r="F60" s="21">
        <f>-Resultaten!F22</f>
        <v/>
      </c>
      <c r="G60" s="429">
        <f>SUM('BP - Monthly'!G60:R60)</f>
        <v/>
      </c>
      <c r="H60" s="429">
        <f>SUM('BP - Monthly'!S60:AD60)</f>
        <v/>
      </c>
      <c r="I60" s="429">
        <f>SUM('BP - Monthly'!AE60:AP60)</f>
        <v/>
      </c>
      <c r="J60" s="429">
        <f>SUM('BP - Monthly'!AQ60:BB60)</f>
        <v/>
      </c>
      <c r="K60" s="429">
        <f>SUM('BP - Monthly'!BC60:BN60)</f>
        <v/>
      </c>
    </row>
    <row r="61" ht="14.1" customHeight="1">
      <c r="C61" s="417" t="inlineStr">
        <is>
          <t>EBITDA</t>
        </is>
      </c>
      <c r="D61" s="7">
        <f>SUM(D54,D56:D60)</f>
        <v/>
      </c>
      <c r="E61" s="7">
        <f>SUM(E54,E56:E60)</f>
        <v/>
      </c>
      <c r="F61" s="22">
        <f>SUM(F54,F56:F60)</f>
        <v/>
      </c>
      <c r="G61" s="7">
        <f>SUM(G54,G56:G60)</f>
        <v/>
      </c>
      <c r="H61" s="7">
        <f>SUM(H54,H56:H60)</f>
        <v/>
      </c>
      <c r="I61" s="7">
        <f>SUM(I54,I56:I60)</f>
        <v/>
      </c>
      <c r="J61" s="7">
        <f>SUM(J54,J56:J60)</f>
        <v/>
      </c>
      <c r="K61" s="7">
        <f>SUM(K54,K56:K60)</f>
        <v/>
      </c>
      <c r="L61" s="3" t="n"/>
    </row>
    <row r="62" ht="14.1" customHeight="1">
      <c r="C62" s="744" t="inlineStr">
        <is>
          <t>EBITDA %</t>
        </is>
      </c>
      <c r="D62" s="745">
        <f>IFERROR(D61/D52,"n/a")</f>
        <v/>
      </c>
      <c r="E62" s="745">
        <f>IFERROR(E61/E52,"n/a")</f>
        <v/>
      </c>
      <c r="F62" s="746">
        <f>IFERROR(F61/F52,"n/a")</f>
        <v/>
      </c>
      <c r="G62" s="745">
        <f>IFERROR(G61/G52,"n/a")</f>
        <v/>
      </c>
      <c r="H62" s="745">
        <f>IFERROR(H61/H52,"n/a")</f>
        <v/>
      </c>
      <c r="I62" s="745">
        <f>IFERROR(I61/I52,"n/a")</f>
        <v/>
      </c>
      <c r="J62" s="745">
        <f>IFERROR(J61/J52,"n/a")</f>
        <v/>
      </c>
      <c r="K62" s="745">
        <f>IFERROR(K61/K52,"n/a")</f>
        <v/>
      </c>
      <c r="L62" s="3" t="n"/>
    </row>
    <row r="63" ht="14.1" customHeight="1">
      <c r="C63" s="414" t="inlineStr">
        <is>
          <t>Afschrijvingen &amp; waardeverminderingen</t>
        </is>
      </c>
      <c r="D63" s="5">
        <f>-Resultaten!D29</f>
        <v/>
      </c>
      <c r="E63" s="5">
        <f>-Resultaten!E29</f>
        <v/>
      </c>
      <c r="F63" s="21">
        <f>-Resultaten!F29</f>
        <v/>
      </c>
      <c r="G63" s="429">
        <f>SUM('BP - Monthly'!G63:R63)</f>
        <v/>
      </c>
      <c r="H63" s="429">
        <f>SUM('BP - Monthly'!S63:AD63)</f>
        <v/>
      </c>
      <c r="I63" s="429">
        <f>SUM('BP - Monthly'!AE63:AP63)</f>
        <v/>
      </c>
      <c r="J63" s="429">
        <f>SUM('BP - Monthly'!AQ63:BB63)</f>
        <v/>
      </c>
      <c r="K63" s="429">
        <f>SUM('BP - Monthly'!BC63:BN63)</f>
        <v/>
      </c>
      <c r="L63" s="3" t="n"/>
    </row>
    <row r="64" ht="14.1" customHeight="1">
      <c r="C64" s="417" t="inlineStr">
        <is>
          <t>EBIT</t>
        </is>
      </c>
      <c r="D64" s="7">
        <f>D61+D63</f>
        <v/>
      </c>
      <c r="E64" s="7">
        <f>E61+E63</f>
        <v/>
      </c>
      <c r="F64" s="22">
        <f>F61+F63</f>
        <v/>
      </c>
      <c r="G64" s="7">
        <f>G61+G63</f>
        <v/>
      </c>
      <c r="H64" s="7">
        <f>H61+H63</f>
        <v/>
      </c>
      <c r="I64" s="7">
        <f>I61+I63</f>
        <v/>
      </c>
      <c r="J64" s="7">
        <f>J61+J63</f>
        <v/>
      </c>
      <c r="K64" s="7">
        <f>K61+K63</f>
        <v/>
      </c>
      <c r="L64" s="3" t="n"/>
    </row>
    <row r="65" ht="14.1" customHeight="1">
      <c r="C65" s="744" t="inlineStr">
        <is>
          <t>EBIT %</t>
        </is>
      </c>
      <c r="D65" s="745">
        <f>IFERROR(D64/D52,"n/a")</f>
        <v/>
      </c>
      <c r="E65" s="745">
        <f>IFERROR(E64/E52,"n/a")</f>
        <v/>
      </c>
      <c r="F65" s="746">
        <f>IFERROR(F64/F52,"n/a")</f>
        <v/>
      </c>
      <c r="G65" s="745">
        <f>IFERROR(G64/G52,"n/a")</f>
        <v/>
      </c>
      <c r="H65" s="745">
        <f>IFERROR(H64/H52,"n/a")</f>
        <v/>
      </c>
      <c r="I65" s="745">
        <f>IFERROR(I64/I52,"n/a")</f>
        <v/>
      </c>
      <c r="J65" s="745">
        <f>IFERROR(J64/J52,"n/a")</f>
        <v/>
      </c>
      <c r="K65" s="745">
        <f>IFERROR(K64/K52,"n/a")</f>
        <v/>
      </c>
      <c r="L65" s="3" t="n"/>
    </row>
    <row r="66" outlineLevel="1" ht="14.1" customHeight="1">
      <c r="C66" s="432" t="inlineStr">
        <is>
          <t>Financiële opbrengsten</t>
        </is>
      </c>
      <c r="D66" s="5">
        <f>Historiek!D169/1000</f>
        <v/>
      </c>
      <c r="E66" s="5">
        <f>Historiek!E169/1000</f>
        <v/>
      </c>
      <c r="F66" s="5">
        <f>Historiek!F169/1000</f>
        <v/>
      </c>
      <c r="G66" s="429">
        <f>SUM('BP - Monthly'!G66:R66)</f>
        <v/>
      </c>
      <c r="H66" s="429">
        <f>SUM('BP - Monthly'!S66:AD66)</f>
        <v/>
      </c>
      <c r="I66" s="429">
        <f>SUM('BP - Monthly'!AE66:AP66)</f>
        <v/>
      </c>
      <c r="J66" s="429">
        <f>SUM('BP - Monthly'!AQ66:BB66)</f>
        <v/>
      </c>
      <c r="K66" s="429">
        <f>SUM('BP - Monthly'!BC66:BN66)</f>
        <v/>
      </c>
      <c r="L66" s="3" t="n"/>
    </row>
    <row r="67" outlineLevel="1" ht="14.1" customHeight="1">
      <c r="C67" s="432" t="inlineStr">
        <is>
          <t>Financiële kosten</t>
        </is>
      </c>
      <c r="D67" s="5">
        <f>-Historiek!D174/1000</f>
        <v/>
      </c>
      <c r="E67" s="5">
        <f>-Historiek!E174/1000</f>
        <v/>
      </c>
      <c r="F67" s="5">
        <f>-Historiek!F174/1000</f>
        <v/>
      </c>
      <c r="G67" s="429">
        <f>SUM('BP - Monthly'!G67:R67)</f>
        <v/>
      </c>
      <c r="H67" s="429">
        <f>SUM('BP - Monthly'!S67:AD67)</f>
        <v/>
      </c>
      <c r="I67" s="429">
        <f>SUM('BP - Monthly'!AE67:AP67)</f>
        <v/>
      </c>
      <c r="J67" s="429">
        <f>SUM('BP - Monthly'!AQ67:BB67)</f>
        <v/>
      </c>
      <c r="K67" s="429">
        <f>SUM('BP - Monthly'!BC67:BN67)</f>
        <v/>
      </c>
      <c r="L67" s="3" t="n"/>
    </row>
    <row r="68" ht="14.1" customHeight="1">
      <c r="C68" s="414" t="inlineStr">
        <is>
          <t>Financieel resultaat</t>
        </is>
      </c>
      <c r="D68" s="5">
        <f>SUM(D66:D67)</f>
        <v/>
      </c>
      <c r="E68" s="5">
        <f>SUM(E66:E67)</f>
        <v/>
      </c>
      <c r="F68" s="5">
        <f>SUM(F66:F67)</f>
        <v/>
      </c>
      <c r="G68" s="5">
        <f>SUM(G66:G67)</f>
        <v/>
      </c>
      <c r="H68" s="5">
        <f>SUM(H66:H67)</f>
        <v/>
      </c>
      <c r="I68" s="5">
        <f>SUM(I66:I67)</f>
        <v/>
      </c>
      <c r="J68" s="5">
        <f>SUM(J66:J67)</f>
        <v/>
      </c>
      <c r="K68" s="5">
        <f>SUM(K66:K67)</f>
        <v/>
      </c>
      <c r="L68" s="3" t="n"/>
    </row>
    <row r="69" outlineLevel="1" ht="14.1" customHeight="1">
      <c r="C69" s="432" t="inlineStr">
        <is>
          <t>Uitzonderlijke opbrengsten</t>
        </is>
      </c>
      <c r="D69" s="5">
        <f>Historiek!D181/1000</f>
        <v/>
      </c>
      <c r="E69" s="5">
        <f>Historiek!E181/1000</f>
        <v/>
      </c>
      <c r="F69" s="5">
        <f>Historiek!F181/1000</f>
        <v/>
      </c>
      <c r="G69" s="429">
        <f>SUM('BP - Monthly'!G69:R69)</f>
        <v/>
      </c>
      <c r="H69" s="429">
        <f>SUM('BP - Monthly'!S69:AD69)</f>
        <v/>
      </c>
      <c r="I69" s="429">
        <f>SUM('BP - Monthly'!AE69:AP69)</f>
        <v/>
      </c>
      <c r="J69" s="429">
        <f>SUM('BP - Monthly'!AQ69:BB69)</f>
        <v/>
      </c>
      <c r="K69" s="429">
        <f>SUM('BP - Monthly'!BC69:BN69)</f>
        <v/>
      </c>
      <c r="L69" s="3" t="n"/>
    </row>
    <row r="70" outlineLevel="1" ht="14.1" customHeight="1">
      <c r="C70" s="432" t="inlineStr">
        <is>
          <t>Uitzonderlijke kosten</t>
        </is>
      </c>
      <c r="D70" s="5">
        <f>-Historiek!D188/1000</f>
        <v/>
      </c>
      <c r="E70" s="5">
        <f>-Historiek!E188/1000</f>
        <v/>
      </c>
      <c r="F70" s="5">
        <f>-Historiek!F188/1000</f>
        <v/>
      </c>
      <c r="G70" s="429">
        <f>SUM('BP - Monthly'!G70:R70)</f>
        <v/>
      </c>
      <c r="H70" s="429">
        <f>SUM('BP - Monthly'!S70:AD70)</f>
        <v/>
      </c>
      <c r="I70" s="429">
        <f>SUM('BP - Monthly'!AE70:AP70)</f>
        <v/>
      </c>
      <c r="J70" s="429">
        <f>SUM('BP - Monthly'!AQ70:BB70)</f>
        <v/>
      </c>
      <c r="K70" s="429">
        <f>SUM('BP - Monthly'!BC70:BN70)</f>
        <v/>
      </c>
      <c r="L70" s="3" t="n"/>
    </row>
    <row r="71" ht="14.1" customHeight="1">
      <c r="C71" s="414" t="inlineStr">
        <is>
          <t>Uitzonderlijk resultaat</t>
        </is>
      </c>
      <c r="D71" s="5">
        <f>SUM(D69:D70)</f>
        <v/>
      </c>
      <c r="E71" s="5">
        <f>SUM(E69:E70)</f>
        <v/>
      </c>
      <c r="F71" s="5">
        <f>SUM(F69:F70)</f>
        <v/>
      </c>
      <c r="G71" s="5">
        <f>SUM(G69:G70)</f>
        <v/>
      </c>
      <c r="H71" s="5">
        <f>SUM(H69:H70)</f>
        <v/>
      </c>
      <c r="I71" s="5">
        <f>SUM(I69:I70)</f>
        <v/>
      </c>
      <c r="J71" s="5">
        <f>SUM(J69:J70)</f>
        <v/>
      </c>
      <c r="K71" s="5">
        <f>SUM(K69:K70)</f>
        <v/>
      </c>
      <c r="L71" s="3" t="n"/>
    </row>
    <row r="72" ht="14.1" customHeight="1">
      <c r="C72" s="417" t="inlineStr">
        <is>
          <t>EBT</t>
        </is>
      </c>
      <c r="D72" s="7">
        <f>SUM(D64,D68,D71)</f>
        <v/>
      </c>
      <c r="E72" s="7">
        <f>SUM(E64,E68,E71)</f>
        <v/>
      </c>
      <c r="F72" s="22">
        <f>SUM(F64,F68,F71)</f>
        <v/>
      </c>
      <c r="G72" s="7">
        <f>SUM(G64,G68,G71)</f>
        <v/>
      </c>
      <c r="H72" s="7">
        <f>SUM(H64,H68,H71)</f>
        <v/>
      </c>
      <c r="I72" s="7">
        <f>SUM(I64,I68,I71)</f>
        <v/>
      </c>
      <c r="J72" s="7">
        <f>SUM(J64,J68,J71)</f>
        <v/>
      </c>
      <c r="K72" s="7">
        <f>SUM(K64,K68,K71)</f>
        <v/>
      </c>
      <c r="L72" s="3" t="n"/>
    </row>
    <row r="73" ht="14.1" customHeight="1">
      <c r="C73" s="414" t="inlineStr">
        <is>
          <t>Belastingen</t>
        </is>
      </c>
      <c r="D73" s="5">
        <f>Resultaten!D46</f>
        <v/>
      </c>
      <c r="E73" s="5">
        <f>Resultaten!E46</f>
        <v/>
      </c>
      <c r="F73" s="21">
        <f>Resultaten!F46</f>
        <v/>
      </c>
      <c r="G73" s="429">
        <f>SUM('BP - Monthly'!G73:R73)</f>
        <v/>
      </c>
      <c r="H73" s="429">
        <f>SUM('BP - Monthly'!S73:AD73)</f>
        <v/>
      </c>
      <c r="I73" s="429">
        <f>SUM('BP - Monthly'!AE73:AP73)</f>
        <v/>
      </c>
      <c r="J73" s="429">
        <f>SUM('BP - Monthly'!AQ73:BB73)</f>
        <v/>
      </c>
      <c r="K73" s="429">
        <f>SUM('BP - Monthly'!BC73:BN73)</f>
        <v/>
      </c>
      <c r="L73" s="3" t="n"/>
    </row>
    <row r="74" ht="14.1" customHeight="1">
      <c r="C74" s="747" t="inlineStr">
        <is>
          <t>Netto resultaat</t>
        </is>
      </c>
      <c r="D74" s="748">
        <f>SUM(D72:D73)</f>
        <v/>
      </c>
      <c r="E74" s="748">
        <f>SUM(E72:E73)</f>
        <v/>
      </c>
      <c r="F74" s="749">
        <f>SUM(F72:F73)</f>
        <v/>
      </c>
      <c r="G74" s="748">
        <f>SUM(G72:G73)</f>
        <v/>
      </c>
      <c r="H74" s="748">
        <f>SUM(H72:H73)</f>
        <v/>
      </c>
      <c r="I74" s="748">
        <f>SUM(I72:I73)</f>
        <v/>
      </c>
      <c r="J74" s="748">
        <f>SUM(J72:J73)</f>
        <v/>
      </c>
      <c r="K74" s="748">
        <f>SUM(K72:K73)</f>
        <v/>
      </c>
      <c r="L74" s="3" t="n"/>
    </row>
    <row r="75" ht="14.1" customHeight="1">
      <c r="C75" s="2" t="inlineStr">
        <is>
          <t>Resultaatverwerking</t>
        </is>
      </c>
      <c r="D75" s="5">
        <f>(Historiek!D225+Historiek!D229+Historiek!D238+Historiek!D240)/1000</f>
        <v/>
      </c>
      <c r="E75" s="5">
        <f>(Historiek!E225+Historiek!E229+Historiek!E238+Historiek!E240)/1000</f>
        <v/>
      </c>
      <c r="F75" s="5">
        <f>(Historiek!F225+Historiek!F229+Historiek!F238+Historiek!F240)/1000</f>
        <v/>
      </c>
      <c r="G75" s="429">
        <f>SUM('BP - Monthly'!G75:R75)</f>
        <v/>
      </c>
      <c r="H75" s="429">
        <f>SUM('BP - Monthly'!S75:AD75)</f>
        <v/>
      </c>
      <c r="I75" s="429">
        <f>SUM('BP - Monthly'!AE75:AP75)</f>
        <v/>
      </c>
      <c r="J75" s="429">
        <f>SUM('BP - Monthly'!AQ75:BB75)</f>
        <v/>
      </c>
      <c r="K75" s="429">
        <f>SUM('BP - Monthly'!BC75:BN75)</f>
        <v/>
      </c>
      <c r="L75" s="3" t="n"/>
    </row>
    <row r="76" ht="14.1" customHeight="1">
      <c r="C76" s="24" t="inlineStr">
        <is>
          <t>Netto resultaat na resultaatverwerking</t>
        </is>
      </c>
      <c r="D76" s="420">
        <f>SUM(D74:D75)</f>
        <v/>
      </c>
      <c r="E76" s="420">
        <f>SUM(E74:E75)</f>
        <v/>
      </c>
      <c r="F76" s="420">
        <f>SUM(F74:F75)</f>
        <v/>
      </c>
      <c r="G76" s="420">
        <f>SUM(G74:G75)</f>
        <v/>
      </c>
      <c r="H76" s="420">
        <f>SUM(H74:H75)</f>
        <v/>
      </c>
      <c r="I76" s="420">
        <f>SUM(I74:I75)</f>
        <v/>
      </c>
      <c r="J76" s="420">
        <f>SUM(J74:J75)</f>
        <v/>
      </c>
      <c r="K76" s="420">
        <f>SUM(K74:K75)</f>
        <v/>
      </c>
      <c r="L76" s="420" t="n"/>
      <c r="M76" s="420" t="n"/>
      <c r="N76" s="420" t="n"/>
      <c r="O76" s="420" t="n"/>
      <c r="P76" s="420" t="n"/>
      <c r="Q76" s="420" t="n"/>
      <c r="R76" s="420" t="n"/>
      <c r="S76" s="420" t="n"/>
      <c r="T76" s="420" t="n"/>
      <c r="U76" s="420" t="n"/>
      <c r="V76" s="420" t="n"/>
      <c r="W76" s="420" t="n"/>
      <c r="X76" s="420" t="n"/>
      <c r="Y76" s="420" t="n"/>
      <c r="Z76" s="420" t="n"/>
      <c r="AA76" s="420" t="n"/>
      <c r="AB76" s="420" t="n"/>
      <c r="AC76" s="420" t="n"/>
      <c r="AD76" s="420" t="n"/>
      <c r="AE76" s="420" t="n"/>
      <c r="AF76" s="420" t="n"/>
      <c r="AG76" s="420" t="n"/>
      <c r="AH76" s="420" t="n"/>
      <c r="AI76" s="420" t="n"/>
      <c r="AJ76" s="420" t="n"/>
      <c r="AK76" s="420" t="n"/>
      <c r="AL76" s="420" t="n"/>
      <c r="AM76" s="420" t="n"/>
      <c r="AN76" s="420" t="n"/>
      <c r="AO76" s="420" t="n"/>
      <c r="AP76" s="420" t="n"/>
      <c r="AQ76" s="420" t="n"/>
      <c r="AR76" s="420" t="n"/>
      <c r="AS76" s="420" t="n"/>
      <c r="AT76" s="420" t="n"/>
      <c r="AU76" s="420" t="n"/>
      <c r="AV76" s="420" t="n"/>
      <c r="AW76" s="420" t="n"/>
      <c r="AX76" s="420" t="n"/>
      <c r="AY76" s="420" t="n"/>
      <c r="AZ76" s="420" t="n"/>
      <c r="BA76" s="420" t="n"/>
      <c r="BB76" s="420" t="n"/>
      <c r="BC76" s="420" t="n"/>
      <c r="BD76" s="420" t="n"/>
      <c r="BE76" s="420" t="n"/>
      <c r="BF76" s="420" t="n"/>
      <c r="BG76" s="420" t="n"/>
      <c r="BH76" s="420" t="n"/>
      <c r="BI76" s="420" t="n"/>
      <c r="BJ76" s="420" t="n"/>
      <c r="BK76" s="420" t="n"/>
      <c r="BL76" s="420" t="n"/>
      <c r="BM76" s="420" t="n"/>
      <c r="BN76" s="420" t="n"/>
    </row>
    <row r="77" ht="14.1" customHeight="1">
      <c r="D77" s="422" t="n"/>
      <c r="E77" s="422" t="n"/>
      <c r="F77" s="26" t="n"/>
      <c r="G77" s="422" t="n"/>
      <c r="H77" s="422" t="n"/>
      <c r="I77" s="422" t="n"/>
      <c r="J77" s="3" t="n"/>
      <c r="K77" s="3" t="n"/>
      <c r="L77" s="3" t="n"/>
    </row>
    <row r="78" outlineLevel="1" ht="14.1" customHeight="1">
      <c r="A78" s="10">
        <f>SUM(D78:K78)</f>
        <v/>
      </c>
      <c r="C78" s="8" t="inlineStr">
        <is>
          <t>Check</t>
        </is>
      </c>
      <c r="D78" s="8">
        <f>D74-Resultaten!D48</f>
        <v/>
      </c>
      <c r="E78" s="8">
        <f>E74-Resultaten!E48</f>
        <v/>
      </c>
      <c r="F78" s="20">
        <f>F74-Resultaten!F48</f>
        <v/>
      </c>
      <c r="G78" s="8" t="n"/>
      <c r="H78" s="8" t="n"/>
      <c r="I78" s="8" t="n"/>
      <c r="J78" s="8" t="n"/>
      <c r="K78" s="8" t="n"/>
      <c r="L78" s="3" t="n"/>
    </row>
    <row r="79" ht="14.1" customHeight="1">
      <c r="D79" s="422" t="n"/>
      <c r="E79" s="422" t="n"/>
      <c r="F79" s="26" t="n"/>
      <c r="G79" s="8" t="n"/>
      <c r="H79" s="8" t="n"/>
      <c r="I79" s="8" t="n"/>
      <c r="J79" s="8" t="n"/>
      <c r="K79" s="8" t="n"/>
      <c r="L79" s="3" t="n"/>
    </row>
    <row r="80">
      <c r="C80" s="406">
        <f>"Cashflow statement - "&amp;Historiek!$A$2</f>
        <v/>
      </c>
      <c r="D80" s="407" t="n"/>
      <c r="E80" s="407" t="n"/>
      <c r="F80" s="13" t="n"/>
      <c r="G80" s="407" t="n"/>
      <c r="H80" s="407" t="n"/>
      <c r="I80" s="407" t="n"/>
    </row>
    <row r="81">
      <c r="C81" s="738">
        <f>C$4</f>
        <v/>
      </c>
      <c r="D81" s="741">
        <f>D$4</f>
        <v/>
      </c>
      <c r="E81" s="741">
        <f>E$4</f>
        <v/>
      </c>
      <c r="F81" s="743">
        <f>F$4</f>
        <v/>
      </c>
      <c r="G81" s="741">
        <f>G$4</f>
        <v/>
      </c>
      <c r="H81" s="741">
        <f>H$4</f>
        <v/>
      </c>
      <c r="I81" s="741">
        <f>I$4</f>
        <v/>
      </c>
      <c r="J81" s="741">
        <f>J$4</f>
        <v/>
      </c>
      <c r="K81" s="741">
        <f>K$4</f>
        <v/>
      </c>
    </row>
    <row r="82">
      <c r="C82" s="16" t="inlineStr">
        <is>
          <t>Netto resultaat</t>
        </is>
      </c>
      <c r="D82" s="16" t="n"/>
      <c r="E82" s="16">
        <f>E74</f>
        <v/>
      </c>
      <c r="F82" s="17">
        <f>F74</f>
        <v/>
      </c>
      <c r="G82" s="16">
        <f>G74</f>
        <v/>
      </c>
      <c r="H82" s="16">
        <f>H74</f>
        <v/>
      </c>
      <c r="I82" s="16">
        <f>I74</f>
        <v/>
      </c>
      <c r="J82" s="16">
        <f>J74</f>
        <v/>
      </c>
      <c r="K82" s="16">
        <f>K74</f>
        <v/>
      </c>
    </row>
    <row r="83">
      <c r="C83" s="418" t="inlineStr">
        <is>
          <t>+ Afschrijvingen &amp; waardeverminderingen</t>
        </is>
      </c>
      <c r="D83" s="4" t="n"/>
      <c r="E83" s="4">
        <f>-E63</f>
        <v/>
      </c>
      <c r="F83" s="14">
        <f>-F63</f>
        <v/>
      </c>
      <c r="G83" s="4">
        <f>-G63</f>
        <v/>
      </c>
      <c r="H83" s="4">
        <f>-H63</f>
        <v/>
      </c>
      <c r="I83" s="4">
        <f>-I63</f>
        <v/>
      </c>
      <c r="J83" s="4">
        <f>-J63</f>
        <v/>
      </c>
      <c r="K83" s="4">
        <f>-K63</f>
        <v/>
      </c>
    </row>
    <row r="84">
      <c r="C84" s="419" t="inlineStr">
        <is>
          <t>Δ werkkapitaal</t>
        </is>
      </c>
      <c r="D84" s="4" t="n"/>
      <c r="E84" s="4">
        <f>E113</f>
        <v/>
      </c>
      <c r="F84" s="14">
        <f>F113</f>
        <v/>
      </c>
      <c r="G84" s="4">
        <f>G113</f>
        <v/>
      </c>
      <c r="H84" s="4">
        <f>H113</f>
        <v/>
      </c>
      <c r="I84" s="4">
        <f>I113</f>
        <v/>
      </c>
      <c r="J84" s="4">
        <f>J113</f>
        <v/>
      </c>
      <c r="K84" s="4">
        <f>K113</f>
        <v/>
      </c>
    </row>
    <row r="85">
      <c r="C85" s="410" t="inlineStr">
        <is>
          <t>Cashflow uit operationele activiteiten</t>
        </is>
      </c>
      <c r="D85" s="410" t="n"/>
      <c r="E85" s="410">
        <f>SUM(E82:E84)</f>
        <v/>
      </c>
      <c r="F85" s="15">
        <f>SUM(F82:F84)</f>
        <v/>
      </c>
      <c r="G85" s="410">
        <f>SUM(G82:G84)</f>
        <v/>
      </c>
      <c r="H85" s="410">
        <f>SUM(H82:H84)</f>
        <v/>
      </c>
      <c r="I85" s="410">
        <f>SUM(I82:I84)</f>
        <v/>
      </c>
      <c r="J85" s="410">
        <f>SUM(J82:J84)</f>
        <v/>
      </c>
      <c r="K85" s="410">
        <f>SUM(K82:K84)</f>
        <v/>
      </c>
    </row>
    <row r="86">
      <c r="C86" s="6" t="inlineStr">
        <is>
          <t>Capex</t>
        </is>
      </c>
      <c r="D86" s="4" t="n"/>
      <c r="E86" s="413">
        <f>D13-E13-E83</f>
        <v/>
      </c>
      <c r="F86" s="19">
        <f>E13-F13-F83</f>
        <v/>
      </c>
      <c r="G86" s="4">
        <f>SUM('BP - Monthly'!G86:R86)</f>
        <v/>
      </c>
      <c r="H86" s="4">
        <f>SUM('BP - Monthly'!S86:AD86)</f>
        <v/>
      </c>
      <c r="I86" s="4">
        <f>SUM('BP - Monthly'!AE86:AP86)</f>
        <v/>
      </c>
      <c r="J86" s="4">
        <f>SUM('BP - Monthly'!AQ86:BB86)</f>
        <v/>
      </c>
      <c r="K86" s="4">
        <f>SUM('BP - Monthly'!BC86:BN86)</f>
        <v/>
      </c>
    </row>
    <row r="87">
      <c r="C87" s="410" t="inlineStr">
        <is>
          <t>Cashflow uit investeringsactiviteiten</t>
        </is>
      </c>
      <c r="D87" s="410" t="n"/>
      <c r="E87" s="410">
        <f>E86</f>
        <v/>
      </c>
      <c r="F87" s="15">
        <f>F86</f>
        <v/>
      </c>
      <c r="G87" s="410">
        <f>G86</f>
        <v/>
      </c>
      <c r="H87" s="410">
        <f>H86</f>
        <v/>
      </c>
      <c r="I87" s="410">
        <f>I86</f>
        <v/>
      </c>
      <c r="J87" s="410">
        <f>J86</f>
        <v/>
      </c>
      <c r="K87" s="410">
        <f>K86</f>
        <v/>
      </c>
    </row>
    <row r="88">
      <c r="C88" s="414" t="inlineStr">
        <is>
          <t>Δ Uit te keren winst</t>
        </is>
      </c>
      <c r="D88" s="4" t="n"/>
      <c r="E88" s="4">
        <f>Historiek!E240/1000</f>
        <v/>
      </c>
      <c r="F88" s="4">
        <f>Historiek!F240/1000</f>
        <v/>
      </c>
      <c r="G88" s="4">
        <f>SUM('BP - Monthly'!G88:R88)</f>
        <v/>
      </c>
      <c r="H88" s="4">
        <f>SUM('BP - Monthly'!S88:AD88)</f>
        <v/>
      </c>
      <c r="I88" s="4">
        <f>SUM('BP - Monthly'!AE88:AP88)</f>
        <v/>
      </c>
      <c r="J88" s="4">
        <f>SUM('BP - Monthly'!AQ88:BB88)</f>
        <v/>
      </c>
      <c r="K88" s="4">
        <f>SUM('BP - Monthly'!BC88:BN88)</f>
        <v/>
      </c>
    </row>
    <row r="89">
      <c r="C89" s="414" t="inlineStr">
        <is>
          <t>Δ Provisies</t>
        </is>
      </c>
      <c r="D89" s="4" t="n"/>
      <c r="E89" s="4">
        <f>E30-D30</f>
        <v/>
      </c>
      <c r="F89" s="14">
        <f>F30-E30</f>
        <v/>
      </c>
      <c r="G89" s="4">
        <f>G30-F30</f>
        <v/>
      </c>
      <c r="H89" s="4">
        <f>H30-G30</f>
        <v/>
      </c>
      <c r="I89" s="4">
        <f>I30-H30</f>
        <v/>
      </c>
      <c r="J89" s="4">
        <f>J30-I30</f>
        <v/>
      </c>
      <c r="K89" s="4">
        <f>K30-J30</f>
        <v/>
      </c>
    </row>
    <row r="90">
      <c r="C90" s="414" t="inlineStr">
        <is>
          <t>Δ LT schulden</t>
        </is>
      </c>
      <c r="D90" s="4" t="n"/>
      <c r="E90" s="4">
        <f>E33-D33</f>
        <v/>
      </c>
      <c r="F90" s="14">
        <f>F33-E33</f>
        <v/>
      </c>
      <c r="G90" s="4">
        <f>G33-F33</f>
        <v/>
      </c>
      <c r="H90" s="4">
        <f>H33-G33</f>
        <v/>
      </c>
      <c r="I90" s="4">
        <f>I33-H33</f>
        <v/>
      </c>
      <c r="J90" s="4">
        <f>J33-I33</f>
        <v/>
      </c>
      <c r="K90" s="4">
        <f>K33-J33</f>
        <v/>
      </c>
    </row>
    <row r="91">
      <c r="C91" s="414" t="inlineStr">
        <is>
          <t>Δ KT gedeelte van LT schulden</t>
        </is>
      </c>
      <c r="D91" s="4" t="n"/>
      <c r="E91" s="4">
        <f>E34-D34</f>
        <v/>
      </c>
      <c r="F91" s="14">
        <f>F34-E34</f>
        <v/>
      </c>
      <c r="G91" s="4">
        <f>G34-F34</f>
        <v/>
      </c>
      <c r="H91" s="4">
        <f>H34-G34</f>
        <v/>
      </c>
      <c r="I91" s="4">
        <f>I34-H34</f>
        <v/>
      </c>
      <c r="J91" s="4">
        <f>J34-I34</f>
        <v/>
      </c>
      <c r="K91" s="4">
        <f>K34-J34</f>
        <v/>
      </c>
    </row>
    <row r="92">
      <c r="C92" s="414" t="inlineStr">
        <is>
          <t>Δ KT Financiële schulden</t>
        </is>
      </c>
      <c r="D92" s="4" t="n"/>
      <c r="E92" s="4">
        <f>E35-D35</f>
        <v/>
      </c>
      <c r="F92" s="14">
        <f>F35-E35</f>
        <v/>
      </c>
      <c r="G92" s="4">
        <f>G35-F35</f>
        <v/>
      </c>
      <c r="H92" s="4">
        <f>H35-G35</f>
        <v/>
      </c>
      <c r="I92" s="4">
        <f>I35-H35</f>
        <v/>
      </c>
      <c r="J92" s="4">
        <f>J35-I35</f>
        <v/>
      </c>
      <c r="K92" s="4">
        <f>K35-J35</f>
        <v/>
      </c>
    </row>
    <row r="93">
      <c r="C93" s="417" t="inlineStr">
        <is>
          <t>Cashflow uit financieringsactiviteiten</t>
        </is>
      </c>
      <c r="D93" s="410" t="n"/>
      <c r="E93" s="410">
        <f>SUM(E88:E92)</f>
        <v/>
      </c>
      <c r="F93" s="15">
        <f>SUM(F88:F92)</f>
        <v/>
      </c>
      <c r="G93" s="410">
        <f>SUM(G88:G92)</f>
        <v/>
      </c>
      <c r="H93" s="410">
        <f>SUM(H88:H92)</f>
        <v/>
      </c>
      <c r="I93" s="410">
        <f>SUM(I88:I92)</f>
        <v/>
      </c>
      <c r="J93" s="410">
        <f>SUM(J88:J92)</f>
        <v/>
      </c>
      <c r="K93" s="410">
        <f>SUM(K88:K92)</f>
        <v/>
      </c>
    </row>
    <row r="94">
      <c r="C94" s="750" t="inlineStr">
        <is>
          <t>Totale cashflow</t>
        </is>
      </c>
      <c r="D94" s="748" t="n"/>
      <c r="E94" s="748">
        <f>SUM(E85,E87,E93)</f>
        <v/>
      </c>
      <c r="F94" s="749">
        <f>SUM(F85,F87,F93)</f>
        <v/>
      </c>
      <c r="G94" s="748">
        <f>SUM(G85,G87,G93)</f>
        <v/>
      </c>
      <c r="H94" s="748">
        <f>SUM(H85,H87,H93)</f>
        <v/>
      </c>
      <c r="I94" s="748">
        <f>SUM(I85,I87,I93)</f>
        <v/>
      </c>
      <c r="J94" s="748">
        <f>SUM(J85,J87,J93)</f>
        <v/>
      </c>
      <c r="K94" s="748">
        <f>SUM(K85,K87,K93)</f>
        <v/>
      </c>
    </row>
    <row r="96">
      <c r="C96" s="24" t="inlineStr">
        <is>
          <t>Liquide middelen BoP</t>
        </is>
      </c>
      <c r="D96" s="420" t="n"/>
      <c r="E96" s="420">
        <f>D98</f>
        <v/>
      </c>
      <c r="F96" s="25">
        <f>E98</f>
        <v/>
      </c>
      <c r="G96" s="420">
        <f>F98</f>
        <v/>
      </c>
      <c r="H96" s="420">
        <f>G98</f>
        <v/>
      </c>
      <c r="I96" s="420">
        <f>H98</f>
        <v/>
      </c>
      <c r="J96" s="420">
        <f>I98</f>
        <v/>
      </c>
      <c r="K96" s="420">
        <f>J98</f>
        <v/>
      </c>
    </row>
    <row r="97">
      <c r="C97" s="2" t="inlineStr">
        <is>
          <t>Cash flow</t>
        </is>
      </c>
      <c r="D97" s="5" t="n"/>
      <c r="E97" s="5">
        <f>E94</f>
        <v/>
      </c>
      <c r="F97" s="21">
        <f>F94</f>
        <v/>
      </c>
      <c r="G97" s="5">
        <f>G94</f>
        <v/>
      </c>
      <c r="H97" s="5">
        <f>H94</f>
        <v/>
      </c>
      <c r="I97" s="5">
        <f>I94</f>
        <v/>
      </c>
      <c r="J97" s="5">
        <f>J94</f>
        <v/>
      </c>
      <c r="K97" s="5">
        <f>K94</f>
        <v/>
      </c>
    </row>
    <row r="98">
      <c r="C98" s="24" t="inlineStr">
        <is>
          <t>Liquide middelen EoP</t>
        </is>
      </c>
      <c r="D98" s="420">
        <f>D17</f>
        <v/>
      </c>
      <c r="E98" s="420">
        <f>SUM(E96:E97)</f>
        <v/>
      </c>
      <c r="F98" s="25">
        <f>SUM(F96:F97)</f>
        <v/>
      </c>
      <c r="G98" s="420">
        <f>SUM(G96:G97)</f>
        <v/>
      </c>
      <c r="H98" s="420">
        <f>SUM(H96:H97)</f>
        <v/>
      </c>
      <c r="I98" s="420">
        <f>SUM(I96:I97)</f>
        <v/>
      </c>
      <c r="J98" s="420">
        <f>SUM(J96:J97)</f>
        <v/>
      </c>
      <c r="K98" s="420">
        <f>SUM(K96:K97)</f>
        <v/>
      </c>
    </row>
    <row r="99">
      <c r="D99" s="5" t="n"/>
      <c r="E99" s="5" t="n"/>
    </row>
    <row r="100" outlineLevel="1">
      <c r="A100" s="10" t="n">
        <v>0</v>
      </c>
      <c r="C100" s="8" t="inlineStr">
        <is>
          <t>Check</t>
        </is>
      </c>
      <c r="D100" s="8">
        <f>D98-D17</f>
        <v/>
      </c>
      <c r="E100" s="8">
        <f>E98-E17</f>
        <v/>
      </c>
      <c r="F100" s="20">
        <f>F98-F17</f>
        <v/>
      </c>
      <c r="G100" s="8" t="n"/>
      <c r="H100" s="8" t="n"/>
      <c r="I100" s="8" t="n"/>
      <c r="J100" s="8" t="n"/>
      <c r="K100" s="8" t="n"/>
    </row>
    <row r="102">
      <c r="C102" s="406">
        <f>"NWK evolutie - "&amp;Historiek!$A$2</f>
        <v/>
      </c>
      <c r="D102" s="407" t="n"/>
      <c r="E102" s="407" t="n"/>
      <c r="F102" s="13" t="n"/>
      <c r="G102" s="407" t="n"/>
      <c r="H102" s="407" t="n"/>
      <c r="I102" s="407" t="n"/>
    </row>
    <row r="103">
      <c r="C103" s="738">
        <f>C$4</f>
        <v/>
      </c>
      <c r="D103" s="741">
        <f>D$4</f>
        <v/>
      </c>
      <c r="E103" s="741">
        <f>E$4</f>
        <v/>
      </c>
      <c r="F103" s="743">
        <f>F$4</f>
        <v/>
      </c>
      <c r="G103" s="741">
        <f>G$4</f>
        <v/>
      </c>
      <c r="H103" s="741">
        <f>H$4</f>
        <v/>
      </c>
      <c r="I103" s="741">
        <f>I$4</f>
        <v/>
      </c>
      <c r="J103" s="741">
        <f>J$4</f>
        <v/>
      </c>
      <c r="K103" s="741">
        <f>K$4</f>
        <v/>
      </c>
    </row>
    <row r="104">
      <c r="C104" s="418" t="inlineStr">
        <is>
          <t>Δ Handelsvorderingen</t>
        </is>
      </c>
      <c r="D104" s="5" t="n"/>
      <c r="E104" s="5">
        <f>D118-E118</f>
        <v/>
      </c>
      <c r="F104" s="21">
        <f>E118-F118</f>
        <v/>
      </c>
      <c r="G104" s="5">
        <f>F118-G118</f>
        <v/>
      </c>
      <c r="H104" s="5">
        <f>G118-H118</f>
        <v/>
      </c>
      <c r="I104" s="5">
        <f>H118-I118</f>
        <v/>
      </c>
      <c r="J104" s="5">
        <f>I118-J118</f>
        <v/>
      </c>
      <c r="K104" s="5">
        <f>J118-K118</f>
        <v/>
      </c>
    </row>
    <row r="105">
      <c r="C105" s="418" t="inlineStr">
        <is>
          <t>Δ Voorraad</t>
        </is>
      </c>
      <c r="D105" s="5" t="n"/>
      <c r="E105" s="5">
        <f>D119-E119</f>
        <v/>
      </c>
      <c r="F105" s="21">
        <f>E119-F119</f>
        <v/>
      </c>
      <c r="G105" s="5">
        <f>F119-G119</f>
        <v/>
      </c>
      <c r="H105" s="5">
        <f>G119-H119</f>
        <v/>
      </c>
      <c r="I105" s="5">
        <f>H119-I119</f>
        <v/>
      </c>
      <c r="J105" s="5">
        <f>I119-J119</f>
        <v/>
      </c>
      <c r="K105" s="5">
        <f>J119-K119</f>
        <v/>
      </c>
    </row>
    <row r="106">
      <c r="C106" s="418" t="inlineStr">
        <is>
          <t>Δ Overige vorderingen</t>
        </is>
      </c>
      <c r="D106" s="5" t="n"/>
      <c r="E106" s="5">
        <f>D120-E120</f>
        <v/>
      </c>
      <c r="F106" s="21">
        <f>E120-F120</f>
        <v/>
      </c>
      <c r="G106" s="5">
        <f>F120-G120</f>
        <v/>
      </c>
      <c r="H106" s="5">
        <f>G120-H120</f>
        <v/>
      </c>
      <c r="I106" s="5">
        <f>H120-I120</f>
        <v/>
      </c>
      <c r="J106" s="5">
        <f>I120-J120</f>
        <v/>
      </c>
      <c r="K106" s="5">
        <f>J120-K120</f>
        <v/>
      </c>
    </row>
    <row r="107">
      <c r="C107" s="419" t="inlineStr">
        <is>
          <t>Δ Handelsschulden</t>
        </is>
      </c>
      <c r="D107" s="5" t="n"/>
      <c r="E107" s="5">
        <f>D121-E121</f>
        <v/>
      </c>
      <c r="F107" s="21">
        <f>E121-F121</f>
        <v/>
      </c>
      <c r="G107" s="5">
        <f>F121-G121</f>
        <v/>
      </c>
      <c r="H107" s="5">
        <f>G121-H121</f>
        <v/>
      </c>
      <c r="I107" s="5">
        <f>H121-I121</f>
        <v/>
      </c>
      <c r="J107" s="5">
        <f>I121-J121</f>
        <v/>
      </c>
      <c r="K107" s="5">
        <f>J121-K121</f>
        <v/>
      </c>
    </row>
    <row r="108">
      <c r="C108" s="419" t="inlineStr">
        <is>
          <t>Δ Ontvangen vooruitbetalingen</t>
        </is>
      </c>
      <c r="D108" s="5" t="n"/>
      <c r="E108" s="5">
        <f>D122-E122</f>
        <v/>
      </c>
      <c r="F108" s="21">
        <f>E122-F122</f>
        <v/>
      </c>
      <c r="G108" s="5">
        <f>F122-G122</f>
        <v/>
      </c>
      <c r="H108" s="5">
        <f>G122-H122</f>
        <v/>
      </c>
      <c r="I108" s="5">
        <f>H122-I122</f>
        <v/>
      </c>
      <c r="J108" s="5">
        <f>I122-J122</f>
        <v/>
      </c>
      <c r="K108" s="5">
        <f>J122-K122</f>
        <v/>
      </c>
    </row>
    <row r="109">
      <c r="C109" s="421" t="inlineStr">
        <is>
          <t>Δ Sociale &amp; fiscale schulden</t>
        </is>
      </c>
      <c r="D109" s="5" t="n"/>
      <c r="E109" s="5">
        <f>D123-E123</f>
        <v/>
      </c>
      <c r="F109" s="21">
        <f>E123-F123</f>
        <v/>
      </c>
      <c r="G109" s="5">
        <f>F123-G123</f>
        <v/>
      </c>
      <c r="H109" s="5">
        <f>G123-H123</f>
        <v/>
      </c>
      <c r="I109" s="5">
        <f>H123-I123</f>
        <v/>
      </c>
      <c r="J109" s="5">
        <f>I123-J123</f>
        <v/>
      </c>
      <c r="K109" s="5">
        <f>J123-K123</f>
        <v/>
      </c>
    </row>
    <row r="110">
      <c r="C110" s="419" t="inlineStr">
        <is>
          <t>Δ Overige schulden</t>
        </is>
      </c>
      <c r="D110" s="5" t="n"/>
      <c r="E110" s="5">
        <f>D124-E124</f>
        <v/>
      </c>
      <c r="F110" s="21">
        <f>E124-F124</f>
        <v/>
      </c>
      <c r="G110" s="5">
        <f>F124-G124</f>
        <v/>
      </c>
      <c r="H110" s="5">
        <f>G124-H124</f>
        <v/>
      </c>
      <c r="I110" s="5">
        <f>H124-I124</f>
        <v/>
      </c>
      <c r="J110" s="5">
        <f>I124-J124</f>
        <v/>
      </c>
      <c r="K110" s="5">
        <f>J124-K124</f>
        <v/>
      </c>
    </row>
    <row r="111">
      <c r="C111" s="421" t="inlineStr">
        <is>
          <t>Δ Overlopende rekeningen (Activa)</t>
        </is>
      </c>
      <c r="D111" s="5" t="n"/>
      <c r="E111" s="5">
        <f>D125-E125</f>
        <v/>
      </c>
      <c r="F111" s="21">
        <f>E125-F125</f>
        <v/>
      </c>
      <c r="G111" s="5">
        <f>F125-G125</f>
        <v/>
      </c>
      <c r="H111" s="5">
        <f>G125-H125</f>
        <v/>
      </c>
      <c r="I111" s="5">
        <f>H125-I125</f>
        <v/>
      </c>
      <c r="J111" s="5">
        <f>I125-J125</f>
        <v/>
      </c>
      <c r="K111" s="5">
        <f>J125-K125</f>
        <v/>
      </c>
    </row>
    <row r="112">
      <c r="C112" s="421" t="inlineStr">
        <is>
          <t>Δ Overlopende rekeningen (Passiva)</t>
        </is>
      </c>
      <c r="D112" s="5" t="n"/>
      <c r="E112" s="5">
        <f>D126-E126</f>
        <v/>
      </c>
      <c r="F112" s="21">
        <f>E126-F126</f>
        <v/>
      </c>
      <c r="G112" s="5">
        <f>F126-G126</f>
        <v/>
      </c>
      <c r="H112" s="5">
        <f>G126-H126</f>
        <v/>
      </c>
      <c r="I112" s="5">
        <f>H126-I126</f>
        <v/>
      </c>
      <c r="J112" s="5">
        <f>I126-J126</f>
        <v/>
      </c>
      <c r="K112" s="5">
        <f>J126-K126</f>
        <v/>
      </c>
    </row>
    <row r="113">
      <c r="C113" s="410" t="inlineStr">
        <is>
          <t>Delta NWK</t>
        </is>
      </c>
      <c r="D113" s="410" t="n"/>
      <c r="E113" s="410">
        <f>SUM(E104:E112)</f>
        <v/>
      </c>
      <c r="F113" s="15">
        <f>SUM(F104:F112)</f>
        <v/>
      </c>
      <c r="G113" s="410">
        <f>SUM(G104:G112)</f>
        <v/>
      </c>
      <c r="H113" s="410">
        <f>SUM(H104:H112)</f>
        <v/>
      </c>
      <c r="I113" s="410">
        <f>SUM(I104:I112)</f>
        <v/>
      </c>
      <c r="J113" s="410">
        <f>SUM(J104:J112)</f>
        <v/>
      </c>
      <c r="K113" s="410">
        <f>SUM(K104:K112)</f>
        <v/>
      </c>
    </row>
    <row r="116">
      <c r="C116" s="406">
        <f>"NWK - "&amp;Historiek!$A$2</f>
        <v/>
      </c>
      <c r="D116" s="407" t="n"/>
      <c r="E116" s="407" t="n"/>
      <c r="F116" s="13" t="n"/>
      <c r="G116" s="407" t="n"/>
      <c r="H116" s="407" t="n"/>
      <c r="I116" s="407" t="n"/>
    </row>
    <row r="117">
      <c r="C117" s="738" t="inlineStr">
        <is>
          <t>k€</t>
        </is>
      </c>
      <c r="D117" s="742">
        <f>D$6</f>
        <v/>
      </c>
      <c r="E117" s="742">
        <f>E$6</f>
        <v/>
      </c>
      <c r="F117" s="740">
        <f>F$6</f>
        <v/>
      </c>
      <c r="G117" s="742">
        <f>G$6</f>
        <v/>
      </c>
      <c r="H117" s="742">
        <f>H$6</f>
        <v/>
      </c>
      <c r="I117" s="742">
        <f>I$6</f>
        <v/>
      </c>
      <c r="J117" s="742">
        <f>J$6</f>
        <v/>
      </c>
      <c r="K117" s="742">
        <f>K$6</f>
        <v/>
      </c>
    </row>
    <row r="118">
      <c r="C118" s="418" t="inlineStr">
        <is>
          <t>Handelsvorderingen</t>
        </is>
      </c>
      <c r="D118" s="5">
        <f>D14</f>
        <v/>
      </c>
      <c r="E118" s="5">
        <f>E14</f>
        <v/>
      </c>
      <c r="F118" s="21">
        <f>F14</f>
        <v/>
      </c>
      <c r="G118" s="5">
        <f>G14</f>
        <v/>
      </c>
      <c r="H118" s="5">
        <f>H14</f>
        <v/>
      </c>
      <c r="I118" s="5">
        <f>I14</f>
        <v/>
      </c>
      <c r="J118" s="5">
        <f>J14</f>
        <v/>
      </c>
      <c r="K118" s="5">
        <f>K14</f>
        <v/>
      </c>
    </row>
    <row r="119">
      <c r="C119" s="418" t="inlineStr">
        <is>
          <t>Voorraad</t>
        </is>
      </c>
      <c r="D119" s="5">
        <f>D15</f>
        <v/>
      </c>
      <c r="E119" s="5">
        <f>E15</f>
        <v/>
      </c>
      <c r="F119" s="21">
        <f>F15</f>
        <v/>
      </c>
      <c r="G119" s="5">
        <f>G15</f>
        <v/>
      </c>
      <c r="H119" s="5">
        <f>H15</f>
        <v/>
      </c>
      <c r="I119" s="5">
        <f>I15</f>
        <v/>
      </c>
      <c r="J119" s="5">
        <f>J15</f>
        <v/>
      </c>
      <c r="K119" s="5">
        <f>K15</f>
        <v/>
      </c>
    </row>
    <row r="120">
      <c r="C120" s="418" t="inlineStr">
        <is>
          <t>Overige vorderingen</t>
        </is>
      </c>
      <c r="D120" s="5">
        <f>D16</f>
        <v/>
      </c>
      <c r="E120" s="5">
        <f>E16</f>
        <v/>
      </c>
      <c r="F120" s="21">
        <f>F16</f>
        <v/>
      </c>
      <c r="G120" s="5">
        <f>G16</f>
        <v/>
      </c>
      <c r="H120" s="5">
        <f>H16</f>
        <v/>
      </c>
      <c r="I120" s="5">
        <f>I16</f>
        <v/>
      </c>
      <c r="J120" s="5">
        <f>J16</f>
        <v/>
      </c>
      <c r="K120" s="5">
        <f>K16</f>
        <v/>
      </c>
    </row>
    <row r="121">
      <c r="C121" s="419" t="inlineStr">
        <is>
          <t>Handelsschulden</t>
        </is>
      </c>
      <c r="D121" s="5">
        <f>-D36</f>
        <v/>
      </c>
      <c r="E121" s="5">
        <f>-E36</f>
        <v/>
      </c>
      <c r="F121" s="21">
        <f>-F36</f>
        <v/>
      </c>
      <c r="G121" s="5">
        <f>-G36</f>
        <v/>
      </c>
      <c r="H121" s="5">
        <f>-H36</f>
        <v/>
      </c>
      <c r="I121" s="5">
        <f>-I36</f>
        <v/>
      </c>
      <c r="J121" s="5">
        <f>-J36</f>
        <v/>
      </c>
      <c r="K121" s="5">
        <f>-K36</f>
        <v/>
      </c>
    </row>
    <row r="122">
      <c r="C122" s="419" t="inlineStr">
        <is>
          <t>Ontvangen vooruitbetalingen</t>
        </is>
      </c>
      <c r="D122" s="5">
        <f>-D37</f>
        <v/>
      </c>
      <c r="E122" s="5">
        <f>-E37</f>
        <v/>
      </c>
      <c r="F122" s="5">
        <f>-F37</f>
        <v/>
      </c>
      <c r="G122" s="5">
        <f>-G37</f>
        <v/>
      </c>
      <c r="H122" s="5">
        <f>-H37</f>
        <v/>
      </c>
      <c r="I122" s="5">
        <f>-I37</f>
        <v/>
      </c>
      <c r="J122" s="5">
        <f>-J37</f>
        <v/>
      </c>
      <c r="K122" s="5">
        <f>-K37</f>
        <v/>
      </c>
    </row>
    <row r="123">
      <c r="C123" s="421" t="inlineStr">
        <is>
          <t>Sociale &amp; fiscale schulden</t>
        </is>
      </c>
      <c r="D123" s="5">
        <f>-D38</f>
        <v/>
      </c>
      <c r="E123" s="5">
        <f>-E38</f>
        <v/>
      </c>
      <c r="F123" s="21">
        <f>-F38</f>
        <v/>
      </c>
      <c r="G123" s="21">
        <f>-G38</f>
        <v/>
      </c>
      <c r="H123" s="21">
        <f>-H38</f>
        <v/>
      </c>
      <c r="I123" s="21">
        <f>-I38</f>
        <v/>
      </c>
      <c r="J123" s="21">
        <f>-J38</f>
        <v/>
      </c>
      <c r="K123" s="21">
        <f>-K38</f>
        <v/>
      </c>
    </row>
    <row r="124">
      <c r="C124" s="419" t="inlineStr">
        <is>
          <t>Overige schulden</t>
        </is>
      </c>
      <c r="D124" s="5">
        <f>-D39</f>
        <v/>
      </c>
      <c r="E124" s="5">
        <f>-E39</f>
        <v/>
      </c>
      <c r="F124" s="21">
        <f>-F39</f>
        <v/>
      </c>
      <c r="G124" s="21">
        <f>-G39</f>
        <v/>
      </c>
      <c r="H124" s="21">
        <f>-H39</f>
        <v/>
      </c>
      <c r="I124" s="21">
        <f>-I39</f>
        <v/>
      </c>
      <c r="J124" s="21">
        <f>-J39</f>
        <v/>
      </c>
      <c r="K124" s="21">
        <f>-K39</f>
        <v/>
      </c>
    </row>
    <row r="125">
      <c r="C125" s="421" t="inlineStr">
        <is>
          <t>Overlopende rekeningen (Activa)</t>
        </is>
      </c>
      <c r="D125" s="5">
        <f>D18</f>
        <v/>
      </c>
      <c r="E125" s="5">
        <f>E18</f>
        <v/>
      </c>
      <c r="F125" s="21">
        <f>F18</f>
        <v/>
      </c>
      <c r="G125" s="21">
        <f>G18</f>
        <v/>
      </c>
      <c r="H125" s="21">
        <f>H18</f>
        <v/>
      </c>
      <c r="I125" s="21">
        <f>I18</f>
        <v/>
      </c>
      <c r="J125" s="21">
        <f>J18</f>
        <v/>
      </c>
      <c r="K125" s="21">
        <f>K18</f>
        <v/>
      </c>
    </row>
    <row r="126">
      <c r="C126" s="421" t="inlineStr">
        <is>
          <t>Overlopende rekeningen (Passiva)</t>
        </is>
      </c>
      <c r="D126" s="5">
        <f>-D40</f>
        <v/>
      </c>
      <c r="E126" s="5">
        <f>-E40</f>
        <v/>
      </c>
      <c r="F126" s="21">
        <f>-F40</f>
        <v/>
      </c>
      <c r="G126" s="21">
        <f>-G40</f>
        <v/>
      </c>
      <c r="H126" s="21">
        <f>-H40</f>
        <v/>
      </c>
      <c r="I126" s="21">
        <f>-I40</f>
        <v/>
      </c>
      <c r="J126" s="21">
        <f>-J40</f>
        <v/>
      </c>
      <c r="K126" s="21">
        <f>-K40</f>
        <v/>
      </c>
    </row>
    <row r="127">
      <c r="C127" s="410" t="inlineStr">
        <is>
          <t>NWK</t>
        </is>
      </c>
      <c r="D127" s="410">
        <f>SUM(D118:D126)</f>
        <v/>
      </c>
      <c r="E127" s="410">
        <f>SUM(E118:E126)</f>
        <v/>
      </c>
      <c r="F127" s="15">
        <f>SUM(F118:F126)</f>
        <v/>
      </c>
      <c r="G127" s="15">
        <f>SUM(G118:G126)</f>
        <v/>
      </c>
      <c r="H127" s="15">
        <f>SUM(H118:H126)</f>
        <v/>
      </c>
      <c r="I127" s="15">
        <f>SUM(I118:I126)</f>
        <v/>
      </c>
      <c r="J127" s="15">
        <f>SUM(J118:J126)</f>
        <v/>
      </c>
      <c r="K127" s="15">
        <f>SUM(K118:K126)</f>
        <v/>
      </c>
    </row>
    <row r="128">
      <c r="F128" s="21" t="n"/>
      <c r="G128" s="5" t="n"/>
      <c r="H128" s="5" t="n"/>
      <c r="I128" s="5" t="n"/>
    </row>
    <row r="129" outlineLevel="1">
      <c r="C129" s="2" t="inlineStr">
        <is>
          <t>DSO</t>
        </is>
      </c>
      <c r="D129" s="412" t="n"/>
      <c r="E129" s="412" t="n"/>
      <c r="F129" s="18" t="n"/>
      <c r="G129" s="412" t="n"/>
      <c r="H129" s="412" t="n"/>
      <c r="I129" s="412" t="n"/>
    </row>
    <row r="130" outlineLevel="1">
      <c r="C130" s="2" t="inlineStr">
        <is>
          <t>DPO</t>
        </is>
      </c>
      <c r="D130" s="412" t="n"/>
      <c r="E130" s="412" t="n"/>
      <c r="F130" s="18" t="n"/>
      <c r="G130" s="412" t="n"/>
      <c r="H130" s="412" t="n"/>
      <c r="I130" s="412" t="n"/>
    </row>
    <row r="131" outlineLevel="1">
      <c r="C131" s="2" t="inlineStr">
        <is>
          <t>DIO</t>
        </is>
      </c>
      <c r="D131" s="412" t="n"/>
      <c r="E131" s="412" t="n"/>
      <c r="F131" s="18" t="n"/>
      <c r="G131" s="412" t="n"/>
      <c r="H131" s="412" t="n"/>
      <c r="I131" s="412" t="n"/>
    </row>
    <row r="132" outlineLevel="1">
      <c r="C132" s="2" t="inlineStr">
        <is>
          <t>NWK als een % van de omzet</t>
        </is>
      </c>
      <c r="D132" s="422" t="n"/>
      <c r="E132" s="422" t="n"/>
      <c r="F132" s="26" t="n"/>
      <c r="G132" s="422" t="n"/>
      <c r="H132" s="422" t="n"/>
      <c r="I132" s="422" t="n"/>
    </row>
    <row r="134">
      <c r="C134" s="406">
        <f>"NFD - "&amp;Historiek!$A$2</f>
        <v/>
      </c>
      <c r="D134" s="407" t="n"/>
      <c r="E134" s="407" t="n"/>
      <c r="F134" s="13" t="n"/>
      <c r="G134" s="407" t="n"/>
      <c r="H134" s="407" t="n"/>
      <c r="I134" s="407" t="n"/>
    </row>
    <row r="135">
      <c r="C135" s="738" t="inlineStr">
        <is>
          <t>k€</t>
        </is>
      </c>
      <c r="D135" s="742">
        <f>D$6</f>
        <v/>
      </c>
      <c r="E135" s="742">
        <f>E$6</f>
        <v/>
      </c>
      <c r="F135" s="740">
        <f>F$6</f>
        <v/>
      </c>
      <c r="G135" s="742">
        <f>G$6</f>
        <v/>
      </c>
      <c r="H135" s="742">
        <f>H$6</f>
        <v/>
      </c>
      <c r="I135" s="742">
        <f>I$6</f>
        <v/>
      </c>
      <c r="J135" s="742">
        <f>J$6</f>
        <v/>
      </c>
      <c r="K135" s="742">
        <f>K$6</f>
        <v/>
      </c>
    </row>
    <row r="136">
      <c r="C136" s="4" t="inlineStr">
        <is>
          <t>Liquide middelen</t>
        </is>
      </c>
      <c r="D136" s="5">
        <f>D17</f>
        <v/>
      </c>
      <c r="E136" s="5">
        <f>E17</f>
        <v/>
      </c>
      <c r="F136" s="21">
        <f>F17</f>
        <v/>
      </c>
      <c r="G136" s="5">
        <f>G17</f>
        <v/>
      </c>
      <c r="H136" s="5">
        <f>H17</f>
        <v/>
      </c>
      <c r="I136" s="5">
        <f>I17</f>
        <v/>
      </c>
      <c r="J136" s="5">
        <f>J17</f>
        <v/>
      </c>
      <c r="K136" s="5">
        <f>K17</f>
        <v/>
      </c>
    </row>
    <row r="137">
      <c r="C137" s="4" t="inlineStr">
        <is>
          <t>LT Financiële schulden</t>
        </is>
      </c>
      <c r="D137" s="5">
        <f>-D31</f>
        <v/>
      </c>
      <c r="E137" s="5">
        <f>-E31</f>
        <v/>
      </c>
      <c r="F137" s="21">
        <f>-F31</f>
        <v/>
      </c>
      <c r="G137" s="5">
        <f>-G31</f>
        <v/>
      </c>
      <c r="H137" s="5">
        <f>-H31</f>
        <v/>
      </c>
      <c r="I137" s="5">
        <f>-I31</f>
        <v/>
      </c>
      <c r="J137" s="5">
        <f>-J31</f>
        <v/>
      </c>
      <c r="K137" s="5">
        <f>-K31</f>
        <v/>
      </c>
    </row>
    <row r="138">
      <c r="C138" s="4" t="inlineStr">
        <is>
          <t>Overige LT schulden</t>
        </is>
      </c>
      <c r="D138" s="5">
        <f>-D32</f>
        <v/>
      </c>
      <c r="E138" s="5">
        <f>-E32</f>
        <v/>
      </c>
      <c r="F138" s="21">
        <f>-F32</f>
        <v/>
      </c>
      <c r="G138" s="5">
        <f>-G32</f>
        <v/>
      </c>
      <c r="H138" s="5">
        <f>-H32</f>
        <v/>
      </c>
      <c r="I138" s="5">
        <f>-I32</f>
        <v/>
      </c>
      <c r="J138" s="5">
        <f>-J32</f>
        <v/>
      </c>
      <c r="K138" s="5">
        <f>-K32</f>
        <v/>
      </c>
    </row>
    <row r="139">
      <c r="C139" s="413" t="inlineStr">
        <is>
          <t>KT gedeelte van LT schulden</t>
        </is>
      </c>
      <c r="D139" s="5">
        <f>-D34</f>
        <v/>
      </c>
      <c r="E139" s="5">
        <f>-E34</f>
        <v/>
      </c>
      <c r="F139" s="21">
        <f>-F34</f>
        <v/>
      </c>
      <c r="G139" s="5">
        <f>-G34</f>
        <v/>
      </c>
      <c r="H139" s="5">
        <f>-H34</f>
        <v/>
      </c>
      <c r="I139" s="5">
        <f>-I34</f>
        <v/>
      </c>
      <c r="J139" s="5">
        <f>-J34</f>
        <v/>
      </c>
      <c r="K139" s="5">
        <f>-K34</f>
        <v/>
      </c>
    </row>
    <row r="140">
      <c r="C140" s="413" t="inlineStr">
        <is>
          <t>KT Financiële schulden</t>
        </is>
      </c>
      <c r="D140" s="5">
        <f>-D35</f>
        <v/>
      </c>
      <c r="E140" s="5">
        <f>-E35</f>
        <v/>
      </c>
      <c r="F140" s="21">
        <f>-F35</f>
        <v/>
      </c>
      <c r="G140" s="5">
        <f>-G35</f>
        <v/>
      </c>
      <c r="H140" s="5">
        <f>-H35</f>
        <v/>
      </c>
      <c r="I140" s="5">
        <f>-I35</f>
        <v/>
      </c>
      <c r="J140" s="5">
        <f>-J35</f>
        <v/>
      </c>
      <c r="K140" s="5">
        <f>-K35</f>
        <v/>
      </c>
    </row>
    <row r="141">
      <c r="C141" s="410" t="inlineStr">
        <is>
          <t>NFD</t>
        </is>
      </c>
      <c r="D141" s="410">
        <f>SUM(D136:D140)</f>
        <v/>
      </c>
      <c r="E141" s="410">
        <f>SUM(E136:E140)</f>
        <v/>
      </c>
      <c r="F141" s="15">
        <f>SUM(F136:F140)</f>
        <v/>
      </c>
      <c r="G141" s="410">
        <f>SUM(G136:G140)</f>
        <v/>
      </c>
      <c r="H141" s="410">
        <f>SUM(H136:H140)</f>
        <v/>
      </c>
      <c r="I141" s="410">
        <f>SUM(I136:I140)</f>
        <v/>
      </c>
      <c r="J141" s="410">
        <f>SUM(J136:J140)</f>
        <v/>
      </c>
      <c r="K141" s="410">
        <f>SUM(K136:K140)</f>
        <v/>
      </c>
    </row>
    <row r="143" outlineLevel="1">
      <c r="C143" s="2" t="inlineStr">
        <is>
          <t>Uitgedrukt in functie van EBITDA</t>
        </is>
      </c>
      <c r="D143" s="905" t="n"/>
      <c r="E143" s="905" t="n"/>
      <c r="F143" s="906" t="n"/>
      <c r="G143" s="905" t="n"/>
      <c r="H143" s="905" t="n"/>
      <c r="I143" s="905" t="n"/>
    </row>
    <row r="144">
      <c r="C144" s="4" t="n"/>
    </row>
    <row r="145">
      <c r="C145" s="4" t="n"/>
    </row>
  </sheetData>
  <conditionalFormatting sqref="D17:K17">
    <cfRule type="cellIs" priority="3" operator="lessThan" dxfId="0">
      <formula>0</formula>
    </cfRule>
  </conditionalFormatting>
  <conditionalFormatting sqref="D29:K29">
    <cfRule type="cellIs" priority="1" operator="lessThan" dxfId="0">
      <formula>0</formula>
    </cfRule>
  </conditionalFormatting>
  <conditionalFormatting sqref="D98:K98">
    <cfRule type="cellIs" priority="2" operator="lessThan" dxfId="0">
      <formula>0</formula>
    </cfRule>
  </conditionalFormatting>
  <pageMargins left="0.7" right="0.7" top="0.75" bottom="0.75" header="0.3" footer="0.3"/>
  <pageSetup orientation="portrait" paperSize="9" verticalDpi="0"/>
</worksheet>
</file>

<file path=xl/worksheets/sheet11.xml><?xml version="1.0" encoding="utf-8"?>
<worksheet xmlns="http://schemas.openxmlformats.org/spreadsheetml/2006/main">
  <sheetPr>
    <tabColor theme="4" tint="0.5999938962981048"/>
    <outlinePr summaryBelow="1" summaryRight="1"/>
    <pageSetUpPr/>
  </sheetPr>
  <dimension ref="C3:K9"/>
  <sheetViews>
    <sheetView showGridLines="0" workbookViewId="0">
      <selection activeCell="K42" sqref="K42"/>
    </sheetView>
  </sheetViews>
  <sheetFormatPr baseColWidth="8" defaultColWidth="9.33203125" defaultRowHeight="13.2"/>
  <cols>
    <col width="9.109375" customWidth="1" style="497" min="1" max="2"/>
    <col width="29.88671875" customWidth="1" style="497" min="3" max="3"/>
    <col width="9.33203125" customWidth="1" style="497" min="4" max="16384"/>
  </cols>
  <sheetData>
    <row r="3">
      <c r="F3" s="499" t="n"/>
    </row>
    <row r="4">
      <c r="C4" s="500">
        <f>"Omzet &amp; EBITDA evolutie - "&amp;Historiek!A2</f>
        <v/>
      </c>
      <c r="D4" s="501" t="n"/>
      <c r="E4" s="501" t="n"/>
      <c r="F4" s="501" t="n"/>
      <c r="G4" s="502" t="n"/>
      <c r="H4" s="501" t="n"/>
      <c r="I4" s="501" t="n"/>
      <c r="J4" s="501" t="n"/>
    </row>
    <row r="5">
      <c r="C5" s="753">
        <f>'BP - Annual'!C48</f>
        <v/>
      </c>
      <c r="D5" s="754">
        <f>'BP - Annual'!D48</f>
        <v/>
      </c>
      <c r="E5" s="754">
        <f>'BP - Annual'!E48</f>
        <v/>
      </c>
      <c r="F5" s="755">
        <f>'BP - Annual'!F48</f>
        <v/>
      </c>
      <c r="G5" s="754">
        <f>'BP - Annual'!G48</f>
        <v/>
      </c>
      <c r="H5" s="754">
        <f>'BP - Annual'!H48</f>
        <v/>
      </c>
      <c r="I5" s="754">
        <f>'BP - Annual'!I48</f>
        <v/>
      </c>
      <c r="J5" s="754">
        <f>'BP - Annual'!J48</f>
        <v/>
      </c>
      <c r="K5" s="754">
        <f>'BP - Annual'!K48</f>
        <v/>
      </c>
    </row>
    <row r="6">
      <c r="C6" s="414" t="inlineStr">
        <is>
          <t>Omzet</t>
        </is>
      </c>
      <c r="D6" s="503">
        <f>'BP - Annual'!D52</f>
        <v/>
      </c>
      <c r="E6" s="503">
        <f>'BP - Annual'!E52</f>
        <v/>
      </c>
      <c r="F6" s="504">
        <f>'BP - Annual'!F52</f>
        <v/>
      </c>
      <c r="G6" s="503">
        <f>'BP - Annual'!G52</f>
        <v/>
      </c>
      <c r="H6" s="503">
        <f>'BP - Annual'!H52</f>
        <v/>
      </c>
      <c r="I6" s="503">
        <f>'BP - Annual'!I52</f>
        <v/>
      </c>
      <c r="J6" s="503">
        <f>'BP - Annual'!J52</f>
        <v/>
      </c>
      <c r="K6" s="503">
        <f>'BP - Annual'!K52</f>
        <v/>
      </c>
    </row>
    <row r="7">
      <c r="C7" s="414" t="inlineStr">
        <is>
          <t>Geproduceerde vaste activa</t>
        </is>
      </c>
      <c r="D7" s="503">
        <f>'BP - Annual'!D58</f>
        <v/>
      </c>
      <c r="E7" s="503">
        <f>'BP - Annual'!E58</f>
        <v/>
      </c>
      <c r="F7" s="504">
        <f>'BP - Annual'!F58</f>
        <v/>
      </c>
      <c r="G7" s="503">
        <f>'BP - Annual'!G58</f>
        <v/>
      </c>
      <c r="H7" s="503">
        <f>'BP - Annual'!H58</f>
        <v/>
      </c>
      <c r="I7" s="503">
        <f>'BP - Annual'!I58</f>
        <v/>
      </c>
      <c r="J7" s="503">
        <f>'BP - Annual'!J58</f>
        <v/>
      </c>
      <c r="K7" s="503">
        <f>'BP - Annual'!K58</f>
        <v/>
      </c>
    </row>
    <row r="8">
      <c r="C8" s="414" t="inlineStr">
        <is>
          <t>EBITDA</t>
        </is>
      </c>
      <c r="D8" s="505">
        <f>'BP - Annual'!D61</f>
        <v/>
      </c>
      <c r="E8" s="505">
        <f>'BP - Annual'!E61</f>
        <v/>
      </c>
      <c r="F8" s="506">
        <f>'BP - Annual'!F61</f>
        <v/>
      </c>
      <c r="G8" s="505">
        <f>'BP - Annual'!G61</f>
        <v/>
      </c>
      <c r="H8" s="505">
        <f>'BP - Annual'!H61</f>
        <v/>
      </c>
      <c r="I8" s="505">
        <f>'BP - Annual'!I61</f>
        <v/>
      </c>
      <c r="J8" s="505">
        <f>'BP - Annual'!J61</f>
        <v/>
      </c>
      <c r="K8" s="505">
        <f>'BP - Annual'!K61</f>
        <v/>
      </c>
    </row>
    <row r="9">
      <c r="C9" s="417" t="inlineStr">
        <is>
          <t>Niet-gekapitaliseerde EBITDA</t>
        </is>
      </c>
      <c r="D9" s="507">
        <f>D8-D7</f>
        <v/>
      </c>
      <c r="E9" s="507">
        <f>E8-E7</f>
        <v/>
      </c>
      <c r="F9" s="508">
        <f>F8-F7</f>
        <v/>
      </c>
      <c r="G9" s="507">
        <f>G8-G7</f>
        <v/>
      </c>
      <c r="H9" s="507">
        <f>H8-H7</f>
        <v/>
      </c>
      <c r="I9" s="507">
        <f>I8-I7</f>
        <v/>
      </c>
      <c r="J9" s="507">
        <f>J8-J7</f>
        <v/>
      </c>
      <c r="K9" s="507">
        <f>K8-K7</f>
        <v/>
      </c>
    </row>
  </sheetData>
  <pageMargins left="0.7" right="0.7" top="0.75" bottom="0.75" header="0.3" footer="0.3"/>
  <pageSetup orientation="portrait" paperSize="9" verticalDpi="0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tabColor theme="4" tint="0.7999816888943144"/>
    <outlinePr summaryBelow="1" summaryRight="1"/>
    <pageSetUpPr/>
  </sheetPr>
  <dimension ref="A1:BO47"/>
  <sheetViews>
    <sheetView showGridLines="0" workbookViewId="0">
      <selection activeCell="H56" sqref="H56"/>
    </sheetView>
  </sheetViews>
  <sheetFormatPr baseColWidth="8" defaultColWidth="0" defaultRowHeight="13.2" outlineLevelRow="1"/>
  <cols>
    <col width="9.109375" customWidth="1" style="405" min="1" max="1"/>
    <col width="9.109375" customWidth="1" style="2" min="2" max="2"/>
    <col width="38.44140625" customWidth="1" style="2" min="3" max="3"/>
    <col collapsed="1" width="9.33203125" customWidth="1" style="2" min="4" max="5"/>
    <col width="9.33203125" customWidth="1" style="12" min="6" max="6"/>
    <col width="9.33203125" customWidth="1" style="2" min="7" max="67"/>
    <col hidden="1" style="2" min="68" max="88"/>
    <col hidden="1" width="9.109375" customWidth="1" style="2" min="89" max="16384"/>
  </cols>
  <sheetData>
    <row r="1">
      <c r="A1" s="1">
        <f>SUM(A2:A200)</f>
        <v/>
      </c>
    </row>
    <row r="3" ht="14.1" customHeight="1">
      <c r="C3" s="406">
        <f>"Analyse verkopen - "&amp;Historiek!A2</f>
        <v/>
      </c>
      <c r="D3" s="407" t="n"/>
      <c r="E3" s="407" t="n"/>
      <c r="F3" s="13" t="n"/>
      <c r="G3" s="407" t="n"/>
      <c r="H3" s="407" t="n"/>
      <c r="I3" s="407" t="n"/>
      <c r="J3" s="3" t="n"/>
    </row>
    <row r="4" ht="14.1" customHeight="1">
      <c r="C4" s="738">
        <f>'BP - Monthly'!C4</f>
        <v/>
      </c>
      <c r="D4" s="741">
        <f>'BP - Monthly'!D4</f>
        <v/>
      </c>
      <c r="E4" s="741">
        <f>'BP - Monthly'!E4</f>
        <v/>
      </c>
      <c r="F4" s="743">
        <f>'BP - Monthly'!F4</f>
        <v/>
      </c>
      <c r="G4" s="741">
        <f>'BP - Monthly'!G4</f>
        <v/>
      </c>
      <c r="H4" s="741">
        <f>'BP - Monthly'!H4</f>
        <v/>
      </c>
      <c r="I4" s="741">
        <f>'BP - Monthly'!I4</f>
        <v/>
      </c>
      <c r="J4" s="741">
        <f>'BP - Monthly'!J4</f>
        <v/>
      </c>
      <c r="K4" s="741">
        <f>'BP - Monthly'!K4</f>
        <v/>
      </c>
      <c r="L4" s="741">
        <f>'BP - Monthly'!L4</f>
        <v/>
      </c>
      <c r="M4" s="741">
        <f>'BP - Monthly'!M4</f>
        <v/>
      </c>
      <c r="N4" s="741">
        <f>'BP - Monthly'!N4</f>
        <v/>
      </c>
      <c r="O4" s="741">
        <f>'BP - Monthly'!O4</f>
        <v/>
      </c>
      <c r="P4" s="741">
        <f>'BP - Monthly'!P4</f>
        <v/>
      </c>
      <c r="Q4" s="741">
        <f>'BP - Monthly'!Q4</f>
        <v/>
      </c>
      <c r="R4" s="741">
        <f>'BP - Monthly'!R4</f>
        <v/>
      </c>
      <c r="S4" s="741">
        <f>'BP - Monthly'!S4</f>
        <v/>
      </c>
      <c r="T4" s="741">
        <f>'BP - Monthly'!T4</f>
        <v/>
      </c>
      <c r="U4" s="741">
        <f>'BP - Monthly'!U4</f>
        <v/>
      </c>
      <c r="V4" s="741">
        <f>'BP - Monthly'!V4</f>
        <v/>
      </c>
      <c r="W4" s="741">
        <f>'BP - Monthly'!W4</f>
        <v/>
      </c>
      <c r="X4" s="741">
        <f>'BP - Monthly'!X4</f>
        <v/>
      </c>
      <c r="Y4" s="741">
        <f>'BP - Monthly'!Y4</f>
        <v/>
      </c>
      <c r="Z4" s="741">
        <f>'BP - Monthly'!Z4</f>
        <v/>
      </c>
      <c r="AA4" s="741">
        <f>'BP - Monthly'!AA4</f>
        <v/>
      </c>
      <c r="AB4" s="741">
        <f>'BP - Monthly'!AB4</f>
        <v/>
      </c>
      <c r="AC4" s="741">
        <f>'BP - Monthly'!AC4</f>
        <v/>
      </c>
      <c r="AD4" s="741">
        <f>'BP - Monthly'!AD4</f>
        <v/>
      </c>
      <c r="AE4" s="741">
        <f>'BP - Monthly'!AE4</f>
        <v/>
      </c>
      <c r="AF4" s="741">
        <f>'BP - Monthly'!AF4</f>
        <v/>
      </c>
      <c r="AG4" s="741">
        <f>'BP - Monthly'!AG4</f>
        <v/>
      </c>
      <c r="AH4" s="741">
        <f>'BP - Monthly'!AH4</f>
        <v/>
      </c>
      <c r="AI4" s="741">
        <f>'BP - Monthly'!AI4</f>
        <v/>
      </c>
      <c r="AJ4" s="741">
        <f>'BP - Monthly'!AJ4</f>
        <v/>
      </c>
      <c r="AK4" s="741">
        <f>'BP - Monthly'!AK4</f>
        <v/>
      </c>
      <c r="AL4" s="741">
        <f>'BP - Monthly'!AL4</f>
        <v/>
      </c>
      <c r="AM4" s="741">
        <f>'BP - Monthly'!AM4</f>
        <v/>
      </c>
      <c r="AN4" s="741">
        <f>'BP - Monthly'!AN4</f>
        <v/>
      </c>
      <c r="AO4" s="741">
        <f>'BP - Monthly'!AO4</f>
        <v/>
      </c>
      <c r="AP4" s="741">
        <f>'BP - Monthly'!AP4</f>
        <v/>
      </c>
      <c r="AQ4" s="741">
        <f>'BP - Monthly'!AQ4</f>
        <v/>
      </c>
      <c r="AR4" s="741">
        <f>'BP - Monthly'!AR4</f>
        <v/>
      </c>
      <c r="AS4" s="741">
        <f>'BP - Monthly'!AS4</f>
        <v/>
      </c>
      <c r="AT4" s="741">
        <f>'BP - Monthly'!AT4</f>
        <v/>
      </c>
      <c r="AU4" s="741">
        <f>'BP - Monthly'!AU4</f>
        <v/>
      </c>
      <c r="AV4" s="741">
        <f>'BP - Monthly'!AV4</f>
        <v/>
      </c>
      <c r="AW4" s="741">
        <f>'BP - Monthly'!AW4</f>
        <v/>
      </c>
      <c r="AX4" s="741">
        <f>'BP - Monthly'!AX4</f>
        <v/>
      </c>
      <c r="AY4" s="741">
        <f>'BP - Monthly'!AY4</f>
        <v/>
      </c>
      <c r="AZ4" s="741">
        <f>'BP - Monthly'!AZ4</f>
        <v/>
      </c>
      <c r="BA4" s="741">
        <f>'BP - Monthly'!BA4</f>
        <v/>
      </c>
      <c r="BB4" s="741">
        <f>'BP - Monthly'!BB4</f>
        <v/>
      </c>
      <c r="BC4" s="741">
        <f>'BP - Monthly'!BC4</f>
        <v/>
      </c>
      <c r="BD4" s="741">
        <f>'BP - Monthly'!BD4</f>
        <v/>
      </c>
      <c r="BE4" s="741">
        <f>'BP - Monthly'!BE4</f>
        <v/>
      </c>
      <c r="BF4" s="741">
        <f>'BP - Monthly'!BF4</f>
        <v/>
      </c>
      <c r="BG4" s="741">
        <f>'BP - Monthly'!BG4</f>
        <v/>
      </c>
      <c r="BH4" s="741">
        <f>'BP - Monthly'!BH4</f>
        <v/>
      </c>
      <c r="BI4" s="741">
        <f>'BP - Monthly'!BI4</f>
        <v/>
      </c>
      <c r="BJ4" s="741">
        <f>'BP - Monthly'!BJ4</f>
        <v/>
      </c>
      <c r="BK4" s="741">
        <f>'BP - Monthly'!BK4</f>
        <v/>
      </c>
      <c r="BL4" s="741">
        <f>'BP - Monthly'!BL4</f>
        <v/>
      </c>
      <c r="BM4" s="741">
        <f>'BP - Monthly'!BM4</f>
        <v/>
      </c>
      <c r="BN4" s="741">
        <f>'BP - Monthly'!BN4</f>
        <v/>
      </c>
    </row>
    <row r="5" ht="14.1" customHeight="1">
      <c r="C5" s="414" t="inlineStr">
        <is>
          <t># eenheden</t>
        </is>
      </c>
      <c r="D5" s="425" t="n"/>
      <c r="E5" s="425" t="n"/>
      <c r="F5" s="426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  <c r="AX5" s="5" t="n"/>
      <c r="AY5" s="5" t="n"/>
      <c r="AZ5" s="5" t="n"/>
      <c r="BA5" s="5" t="n"/>
      <c r="BB5" s="5" t="n"/>
      <c r="BC5" s="5" t="n"/>
      <c r="BD5" s="5" t="n"/>
      <c r="BE5" s="5" t="n"/>
      <c r="BF5" s="5" t="n"/>
      <c r="BG5" s="5" t="n"/>
      <c r="BH5" s="5" t="n"/>
      <c r="BI5" s="5" t="n"/>
      <c r="BJ5" s="5" t="n"/>
      <c r="BK5" s="5" t="n"/>
      <c r="BL5" s="5" t="n"/>
      <c r="BM5" s="5" t="n"/>
      <c r="BN5" s="5" t="n"/>
    </row>
    <row r="6" ht="14.1" customHeight="1">
      <c r="C6" s="414" t="inlineStr">
        <is>
          <t>Prijs per eenheid</t>
        </is>
      </c>
      <c r="D6" s="425" t="n"/>
      <c r="E6" s="425" t="n"/>
      <c r="F6" s="426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  <c r="AX6" s="5" t="n"/>
      <c r="AY6" s="5" t="n"/>
      <c r="AZ6" s="5" t="n"/>
      <c r="BA6" s="5" t="n"/>
      <c r="BB6" s="5" t="n"/>
      <c r="BC6" s="5" t="n"/>
      <c r="BD6" s="5" t="n"/>
      <c r="BE6" s="5" t="n"/>
      <c r="BF6" s="5" t="n"/>
      <c r="BG6" s="5" t="n"/>
      <c r="BH6" s="5" t="n"/>
      <c r="BI6" s="5" t="n"/>
      <c r="BJ6" s="5" t="n"/>
      <c r="BK6" s="5" t="n"/>
      <c r="BL6" s="5" t="n"/>
      <c r="BM6" s="5" t="n"/>
      <c r="BN6" s="5" t="n"/>
    </row>
    <row r="7" ht="14.1" customHeight="1">
      <c r="C7" s="417" t="inlineStr">
        <is>
          <t>Verkoop</t>
        </is>
      </c>
      <c r="D7" s="425" t="n"/>
      <c r="E7" s="425" t="n"/>
      <c r="F7" s="426" t="n"/>
      <c r="G7" s="420">
        <f>G5*G6</f>
        <v/>
      </c>
      <c r="H7" s="420">
        <f>H5*H6</f>
        <v/>
      </c>
      <c r="I7" s="420">
        <f>I5*I6</f>
        <v/>
      </c>
      <c r="J7" s="420">
        <f>J5*J6</f>
        <v/>
      </c>
      <c r="K7" s="420">
        <f>K5*K6</f>
        <v/>
      </c>
      <c r="L7" s="420">
        <f>L5*L6</f>
        <v/>
      </c>
      <c r="M7" s="420">
        <f>M5*M6</f>
        <v/>
      </c>
      <c r="N7" s="420">
        <f>N5*N6</f>
        <v/>
      </c>
      <c r="O7" s="420">
        <f>O5*O6</f>
        <v/>
      </c>
      <c r="P7" s="420">
        <f>P5*P6</f>
        <v/>
      </c>
      <c r="Q7" s="420">
        <f>Q5*Q6</f>
        <v/>
      </c>
      <c r="R7" s="420">
        <f>R5*R6</f>
        <v/>
      </c>
      <c r="S7" s="420">
        <f>S5*S6</f>
        <v/>
      </c>
      <c r="T7" s="420">
        <f>T5*T6</f>
        <v/>
      </c>
      <c r="U7" s="420">
        <f>U5*U6</f>
        <v/>
      </c>
      <c r="V7" s="420">
        <f>V5*V6</f>
        <v/>
      </c>
      <c r="W7" s="420">
        <f>W5*W6</f>
        <v/>
      </c>
      <c r="X7" s="420">
        <f>X5*X6</f>
        <v/>
      </c>
      <c r="Y7" s="420">
        <f>Y5*Y6</f>
        <v/>
      </c>
      <c r="Z7" s="420">
        <f>Z5*Z6</f>
        <v/>
      </c>
      <c r="AA7" s="420">
        <f>AA5*AA6</f>
        <v/>
      </c>
      <c r="AB7" s="420">
        <f>AB5*AB6</f>
        <v/>
      </c>
      <c r="AC7" s="420">
        <f>AC5*AC6</f>
        <v/>
      </c>
      <c r="AD7" s="420">
        <f>AD5*AD6</f>
        <v/>
      </c>
      <c r="AE7" s="420">
        <f>AE5*AE6</f>
        <v/>
      </c>
      <c r="AF7" s="420">
        <f>AF5*AF6</f>
        <v/>
      </c>
      <c r="AG7" s="420">
        <f>AG5*AG6</f>
        <v/>
      </c>
      <c r="AH7" s="420">
        <f>AH5*AH6</f>
        <v/>
      </c>
      <c r="AI7" s="420">
        <f>AI5*AI6</f>
        <v/>
      </c>
      <c r="AJ7" s="420">
        <f>AJ5*AJ6</f>
        <v/>
      </c>
      <c r="AK7" s="420">
        <f>AK5*AK6</f>
        <v/>
      </c>
      <c r="AL7" s="420">
        <f>AL5*AL6</f>
        <v/>
      </c>
      <c r="AM7" s="420">
        <f>AM5*AM6</f>
        <v/>
      </c>
      <c r="AN7" s="420">
        <f>AN5*AN6</f>
        <v/>
      </c>
      <c r="AO7" s="420">
        <f>AO5*AO6</f>
        <v/>
      </c>
      <c r="AP7" s="420">
        <f>AP5*AP6</f>
        <v/>
      </c>
      <c r="AQ7" s="420">
        <f>AQ5*AQ6</f>
        <v/>
      </c>
      <c r="AR7" s="420">
        <f>AR5*AR6</f>
        <v/>
      </c>
      <c r="AS7" s="420">
        <f>AS5*AS6</f>
        <v/>
      </c>
      <c r="AT7" s="420">
        <f>AT5*AT6</f>
        <v/>
      </c>
      <c r="AU7" s="420">
        <f>AU5*AU6</f>
        <v/>
      </c>
      <c r="AV7" s="420">
        <f>AV5*AV6</f>
        <v/>
      </c>
      <c r="AW7" s="420">
        <f>AW5*AW6</f>
        <v/>
      </c>
      <c r="AX7" s="420">
        <f>AX5*AX6</f>
        <v/>
      </c>
      <c r="AY7" s="420">
        <f>AY5*AY6</f>
        <v/>
      </c>
      <c r="AZ7" s="420">
        <f>AZ5*AZ6</f>
        <v/>
      </c>
      <c r="BA7" s="420">
        <f>BA5*BA6</f>
        <v/>
      </c>
      <c r="BB7" s="420">
        <f>BB5*BB6</f>
        <v/>
      </c>
      <c r="BC7" s="420">
        <f>BC5*BC6</f>
        <v/>
      </c>
      <c r="BD7" s="420">
        <f>BD5*BD6</f>
        <v/>
      </c>
      <c r="BE7" s="420">
        <f>BE5*BE6</f>
        <v/>
      </c>
      <c r="BF7" s="420">
        <f>BF5*BF6</f>
        <v/>
      </c>
      <c r="BG7" s="420">
        <f>BG5*BG6</f>
        <v/>
      </c>
      <c r="BH7" s="420">
        <f>BH5*BH6</f>
        <v/>
      </c>
      <c r="BI7" s="420">
        <f>BI5*BI6</f>
        <v/>
      </c>
      <c r="BJ7" s="420">
        <f>BJ5*BJ6</f>
        <v/>
      </c>
      <c r="BK7" s="420">
        <f>BK5*BK6</f>
        <v/>
      </c>
      <c r="BL7" s="420">
        <f>BL5*BL6</f>
        <v/>
      </c>
      <c r="BM7" s="420">
        <f>BM5*BM6</f>
        <v/>
      </c>
      <c r="BN7" s="420">
        <f>BN5*BN6</f>
        <v/>
      </c>
    </row>
    <row r="8" ht="14.1" customHeight="1">
      <c r="C8" s="414" t="inlineStr">
        <is>
          <t>Cash inflow bij order</t>
        </is>
      </c>
      <c r="D8" s="425" t="n"/>
      <c r="E8" s="425" t="n"/>
      <c r="F8" s="426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  <c r="AX8" s="5" t="n"/>
      <c r="AY8" s="5" t="n"/>
      <c r="AZ8" s="5" t="n"/>
      <c r="BA8" s="5" t="n"/>
      <c r="BB8" s="5" t="n"/>
      <c r="BC8" s="5" t="n"/>
      <c r="BD8" s="5" t="n"/>
      <c r="BE8" s="5" t="n"/>
      <c r="BF8" s="5" t="n"/>
      <c r="BG8" s="5" t="n"/>
      <c r="BH8" s="5" t="n"/>
      <c r="BI8" s="5" t="n"/>
      <c r="BJ8" s="5" t="n"/>
      <c r="BK8" s="5" t="n"/>
      <c r="BL8" s="5" t="n"/>
      <c r="BM8" s="5" t="n"/>
      <c r="BN8" s="5" t="n"/>
      <c r="BO8" s="5" t="n"/>
    </row>
    <row r="9" ht="14.1" customHeight="1">
      <c r="C9" s="414" t="inlineStr">
        <is>
          <t>Cash inflow na 1 maand</t>
        </is>
      </c>
      <c r="D9" s="425" t="n"/>
      <c r="E9" s="425" t="n"/>
      <c r="F9" s="426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  <c r="AX9" s="5" t="n"/>
      <c r="AY9" s="5" t="n"/>
      <c r="AZ9" s="5" t="n"/>
      <c r="BA9" s="5" t="n"/>
      <c r="BB9" s="5" t="n"/>
      <c r="BC9" s="5" t="n"/>
      <c r="BD9" s="5" t="n"/>
      <c r="BE9" s="5" t="n"/>
      <c r="BF9" s="5" t="n"/>
      <c r="BG9" s="5" t="n"/>
      <c r="BH9" s="5" t="n"/>
      <c r="BI9" s="5" t="n"/>
      <c r="BJ9" s="5" t="n"/>
      <c r="BK9" s="5" t="n"/>
      <c r="BL9" s="5" t="n"/>
      <c r="BM9" s="5" t="n"/>
      <c r="BN9" s="5" t="n"/>
      <c r="BO9" s="5" t="n"/>
    </row>
    <row r="10" ht="14.1" customHeight="1">
      <c r="C10" s="414" t="inlineStr">
        <is>
          <t>Cash inflow na 2 maanden</t>
        </is>
      </c>
      <c r="D10" s="425" t="n"/>
      <c r="E10" s="425" t="n"/>
      <c r="F10" s="426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  <c r="AX10" s="5" t="n"/>
      <c r="AY10" s="5" t="n"/>
      <c r="AZ10" s="5" t="n"/>
      <c r="BA10" s="5" t="n"/>
      <c r="BB10" s="5" t="n"/>
      <c r="BC10" s="5" t="n"/>
      <c r="BD10" s="5" t="n"/>
      <c r="BE10" s="5" t="n"/>
      <c r="BF10" s="5" t="n"/>
      <c r="BG10" s="5" t="n"/>
      <c r="BH10" s="5" t="n"/>
      <c r="BI10" s="5" t="n"/>
      <c r="BJ10" s="5" t="n"/>
      <c r="BK10" s="5" t="n"/>
      <c r="BL10" s="5" t="n"/>
      <c r="BM10" s="5" t="n"/>
      <c r="BN10" s="5" t="n"/>
      <c r="BO10" s="5" t="n"/>
    </row>
    <row r="11" ht="14.1" customHeight="1">
      <c r="C11" s="414" t="inlineStr">
        <is>
          <t>Cash inflow na 3 maanden</t>
        </is>
      </c>
      <c r="D11" s="425" t="n"/>
      <c r="E11" s="425" t="n"/>
      <c r="F11" s="426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  <c r="AX11" s="5" t="n"/>
      <c r="AY11" s="5" t="n"/>
      <c r="AZ11" s="5" t="n"/>
      <c r="BA11" s="5" t="n"/>
      <c r="BB11" s="5" t="n"/>
      <c r="BC11" s="5" t="n"/>
      <c r="BD11" s="5" t="n"/>
      <c r="BE11" s="5" t="n"/>
      <c r="BF11" s="5" t="n"/>
      <c r="BG11" s="5" t="n"/>
      <c r="BH11" s="5" t="n"/>
      <c r="BI11" s="5" t="n"/>
      <c r="BJ11" s="5" t="n"/>
      <c r="BK11" s="5" t="n"/>
      <c r="BL11" s="5" t="n"/>
      <c r="BM11" s="5" t="n"/>
      <c r="BN11" s="5" t="n"/>
      <c r="BO11" s="5" t="n"/>
    </row>
    <row r="12" ht="14.1" customHeight="1">
      <c r="C12" s="414" t="inlineStr">
        <is>
          <t>Cash inflow na 4 maanden</t>
        </is>
      </c>
      <c r="D12" s="425" t="n"/>
      <c r="E12" s="425" t="n"/>
      <c r="F12" s="426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  <c r="AX12" s="5" t="n"/>
      <c r="AY12" s="5" t="n"/>
      <c r="AZ12" s="5" t="n"/>
      <c r="BA12" s="5" t="n"/>
      <c r="BB12" s="5" t="n"/>
      <c r="BC12" s="5" t="n"/>
      <c r="BD12" s="5" t="n"/>
      <c r="BE12" s="5" t="n"/>
      <c r="BF12" s="5" t="n"/>
      <c r="BG12" s="5" t="n"/>
      <c r="BH12" s="5" t="n"/>
      <c r="BI12" s="5" t="n"/>
      <c r="BJ12" s="5" t="n"/>
      <c r="BK12" s="5" t="n"/>
      <c r="BL12" s="5" t="n"/>
      <c r="BM12" s="5" t="n"/>
      <c r="BN12" s="5" t="n"/>
      <c r="BO12" s="5" t="n"/>
    </row>
    <row r="13" ht="14.1" customHeight="1">
      <c r="C13" s="414" t="inlineStr">
        <is>
          <t>Cash inflow na 5 maanden</t>
        </is>
      </c>
      <c r="D13" s="425" t="n"/>
      <c r="E13" s="425" t="n"/>
      <c r="F13" s="426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  <c r="AX13" s="5" t="n"/>
      <c r="AY13" s="5" t="n"/>
      <c r="AZ13" s="5" t="n"/>
      <c r="BA13" s="5" t="n"/>
      <c r="BB13" s="5" t="n"/>
      <c r="BC13" s="5" t="n"/>
      <c r="BD13" s="5" t="n"/>
      <c r="BE13" s="5" t="n"/>
      <c r="BF13" s="5" t="n"/>
      <c r="BG13" s="5" t="n"/>
      <c r="BH13" s="5" t="n"/>
      <c r="BI13" s="5" t="n"/>
      <c r="BJ13" s="5" t="n"/>
      <c r="BK13" s="5" t="n"/>
      <c r="BL13" s="5" t="n"/>
      <c r="BM13" s="5" t="n"/>
      <c r="BN13" s="5" t="n"/>
      <c r="BO13" s="5" t="n"/>
    </row>
    <row r="14" ht="14.1" customHeight="1">
      <c r="C14" s="414" t="inlineStr">
        <is>
          <t>Cash inflow na 6 maanden</t>
        </is>
      </c>
      <c r="D14" s="425" t="n"/>
      <c r="E14" s="425" t="n"/>
      <c r="F14" s="426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  <c r="AX14" s="5" t="n"/>
      <c r="AY14" s="5" t="n"/>
      <c r="AZ14" s="5" t="n"/>
      <c r="BA14" s="5" t="n"/>
      <c r="BB14" s="5" t="n"/>
      <c r="BC14" s="5" t="n"/>
      <c r="BD14" s="5" t="n"/>
      <c r="BE14" s="5" t="n"/>
      <c r="BF14" s="5" t="n"/>
      <c r="BG14" s="5" t="n"/>
      <c r="BH14" s="5" t="n"/>
      <c r="BI14" s="5" t="n"/>
      <c r="BJ14" s="5" t="n"/>
      <c r="BK14" s="5" t="n"/>
      <c r="BL14" s="5" t="n"/>
      <c r="BM14" s="5" t="n"/>
      <c r="BN14" s="5" t="n"/>
      <c r="BO14" s="5" t="n"/>
    </row>
    <row r="15" ht="14.1" customHeight="1">
      <c r="C15" s="417" t="inlineStr">
        <is>
          <t>Totale cash inflow verkoop</t>
        </is>
      </c>
      <c r="D15" s="425" t="n"/>
      <c r="E15" s="425" t="n"/>
      <c r="F15" s="426" t="n"/>
      <c r="G15" s="420">
        <f>SUM(G8:G14)</f>
        <v/>
      </c>
      <c r="H15" s="420">
        <f>SUM(H8:H14)</f>
        <v/>
      </c>
      <c r="I15" s="420">
        <f>SUM(I8:I14)</f>
        <v/>
      </c>
      <c r="J15" s="420">
        <f>SUM(J8:J14)</f>
        <v/>
      </c>
      <c r="K15" s="420">
        <f>SUM(K8:K14)</f>
        <v/>
      </c>
      <c r="L15" s="420">
        <f>SUM(L8:L14)</f>
        <v/>
      </c>
      <c r="M15" s="420">
        <f>SUM(M8:M14)</f>
        <v/>
      </c>
      <c r="N15" s="420">
        <f>SUM(N8:N14)</f>
        <v/>
      </c>
      <c r="O15" s="420">
        <f>SUM(O8:O14)</f>
        <v/>
      </c>
      <c r="P15" s="420">
        <f>SUM(P8:P14)</f>
        <v/>
      </c>
      <c r="Q15" s="420">
        <f>SUM(Q8:Q14)</f>
        <v/>
      </c>
      <c r="R15" s="420">
        <f>SUM(R8:R14)</f>
        <v/>
      </c>
      <c r="S15" s="420">
        <f>SUM(S8:S14)</f>
        <v/>
      </c>
      <c r="T15" s="420">
        <f>SUM(T8:T14)</f>
        <v/>
      </c>
      <c r="U15" s="420">
        <f>SUM(U8:U14)</f>
        <v/>
      </c>
      <c r="V15" s="420">
        <f>SUM(V8:V14)</f>
        <v/>
      </c>
      <c r="W15" s="420">
        <f>SUM(W8:W14)</f>
        <v/>
      </c>
      <c r="X15" s="420">
        <f>SUM(X8:X14)</f>
        <v/>
      </c>
      <c r="Y15" s="420">
        <f>SUM(Y8:Y14)</f>
        <v/>
      </c>
      <c r="Z15" s="420">
        <f>SUM(Z8:Z14)</f>
        <v/>
      </c>
      <c r="AA15" s="420">
        <f>SUM(AA8:AA14)</f>
        <v/>
      </c>
      <c r="AB15" s="420">
        <f>SUM(AB8:AB14)</f>
        <v/>
      </c>
      <c r="AC15" s="420">
        <f>SUM(AC8:AC14)</f>
        <v/>
      </c>
      <c r="AD15" s="420">
        <f>SUM(AD8:AD14)</f>
        <v/>
      </c>
      <c r="AE15" s="420">
        <f>SUM(AE8:AE14)</f>
        <v/>
      </c>
      <c r="AF15" s="420">
        <f>SUM(AF8:AF14)</f>
        <v/>
      </c>
      <c r="AG15" s="420">
        <f>SUM(AG8:AG14)</f>
        <v/>
      </c>
      <c r="AH15" s="420">
        <f>SUM(AH8:AH14)</f>
        <v/>
      </c>
      <c r="AI15" s="420">
        <f>SUM(AI8:AI14)</f>
        <v/>
      </c>
      <c r="AJ15" s="420">
        <f>SUM(AJ8:AJ14)</f>
        <v/>
      </c>
      <c r="AK15" s="420">
        <f>SUM(AK8:AK14)</f>
        <v/>
      </c>
      <c r="AL15" s="420">
        <f>SUM(AL8:AL14)</f>
        <v/>
      </c>
      <c r="AM15" s="420">
        <f>SUM(AM8:AM14)</f>
        <v/>
      </c>
      <c r="AN15" s="420">
        <f>SUM(AN8:AN14)</f>
        <v/>
      </c>
      <c r="AO15" s="420">
        <f>SUM(AO8:AO14)</f>
        <v/>
      </c>
      <c r="AP15" s="420">
        <f>SUM(AP8:AP14)</f>
        <v/>
      </c>
      <c r="AQ15" s="420">
        <f>SUM(AQ8:AQ14)</f>
        <v/>
      </c>
      <c r="AR15" s="420">
        <f>SUM(AR8:AR14)</f>
        <v/>
      </c>
      <c r="AS15" s="420">
        <f>SUM(AS8:AS14)</f>
        <v/>
      </c>
      <c r="AT15" s="420">
        <f>SUM(AT8:AT14)</f>
        <v/>
      </c>
      <c r="AU15" s="420">
        <f>SUM(AU8:AU14)</f>
        <v/>
      </c>
      <c r="AV15" s="420">
        <f>SUM(AV8:AV14)</f>
        <v/>
      </c>
      <c r="AW15" s="420">
        <f>SUM(AW8:AW14)</f>
        <v/>
      </c>
      <c r="AX15" s="420">
        <f>SUM(AX8:AX14)</f>
        <v/>
      </c>
      <c r="AY15" s="420">
        <f>SUM(AY8:AY14)</f>
        <v/>
      </c>
      <c r="AZ15" s="420">
        <f>SUM(AZ8:AZ14)</f>
        <v/>
      </c>
      <c r="BA15" s="420">
        <f>SUM(BA8:BA14)</f>
        <v/>
      </c>
      <c r="BB15" s="420">
        <f>SUM(BB8:BB14)</f>
        <v/>
      </c>
      <c r="BC15" s="420">
        <f>SUM(BC8:BC14)</f>
        <v/>
      </c>
      <c r="BD15" s="420">
        <f>SUM(BD8:BD14)</f>
        <v/>
      </c>
      <c r="BE15" s="420">
        <f>SUM(BE8:BE14)</f>
        <v/>
      </c>
      <c r="BF15" s="420">
        <f>SUM(BF8:BF14)</f>
        <v/>
      </c>
      <c r="BG15" s="420">
        <f>SUM(BG8:BG14)</f>
        <v/>
      </c>
      <c r="BH15" s="420">
        <f>SUM(BH8:BH14)</f>
        <v/>
      </c>
      <c r="BI15" s="420">
        <f>SUM(BI8:BI14)</f>
        <v/>
      </c>
      <c r="BJ15" s="420">
        <f>SUM(BJ8:BJ14)</f>
        <v/>
      </c>
      <c r="BK15" s="420">
        <f>SUM(BK8:BK14)</f>
        <v/>
      </c>
      <c r="BL15" s="420">
        <f>SUM(BL8:BL14)</f>
        <v/>
      </c>
      <c r="BM15" s="420">
        <f>SUM(BM8:BM14)</f>
        <v/>
      </c>
      <c r="BN15" s="420">
        <f>SUM(BN8:BN14)</f>
        <v/>
      </c>
    </row>
    <row r="16" ht="14.1" customHeight="1">
      <c r="C16" s="417" t="n"/>
      <c r="D16" s="5" t="n"/>
      <c r="E16" s="5" t="n"/>
      <c r="F16" s="21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  <c r="AX16" s="5" t="n"/>
      <c r="AY16" s="5" t="n"/>
      <c r="AZ16" s="5" t="n"/>
      <c r="BA16" s="5" t="n"/>
      <c r="BB16" s="5" t="n"/>
      <c r="BC16" s="5" t="n"/>
      <c r="BD16" s="5" t="n"/>
      <c r="BE16" s="5" t="n"/>
      <c r="BF16" s="5" t="n"/>
      <c r="BG16" s="5" t="n"/>
      <c r="BH16" s="5" t="n"/>
      <c r="BI16" s="5" t="n"/>
      <c r="BJ16" s="5" t="n"/>
      <c r="BK16" s="5" t="n"/>
      <c r="BL16" s="5" t="n"/>
      <c r="BM16" s="5" t="n"/>
      <c r="BN16" s="5" t="n"/>
    </row>
    <row r="17" outlineLevel="1" ht="14.1" customHeight="1">
      <c r="A17" s="431">
        <f>SUM(G17:BN17)</f>
        <v/>
      </c>
      <c r="B17" s="430" t="inlineStr">
        <is>
          <t>Check</t>
        </is>
      </c>
      <c r="C17" s="417" t="n"/>
      <c r="D17" s="5" t="n"/>
      <c r="E17" s="5" t="n"/>
      <c r="F17" s="21" t="n"/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P17" s="8" t="n"/>
      <c r="Q17" s="8" t="n"/>
      <c r="R17" s="8" t="n"/>
      <c r="S17" s="8" t="n"/>
      <c r="T17" s="8" t="n"/>
      <c r="U17" s="8" t="n"/>
      <c r="V17" s="8" t="n"/>
      <c r="W17" s="8" t="n"/>
      <c r="X17" s="8" t="n"/>
      <c r="Y17" s="8" t="n"/>
      <c r="Z17" s="8" t="n"/>
      <c r="AA17" s="8" t="n"/>
      <c r="AB17" s="8" t="n"/>
      <c r="AC17" s="8" t="n"/>
      <c r="AD17" s="8" t="n"/>
      <c r="AE17" s="8" t="n"/>
      <c r="AF17" s="8" t="n"/>
      <c r="AG17" s="8" t="n"/>
      <c r="AH17" s="8" t="n"/>
      <c r="AI17" s="8" t="n"/>
      <c r="AJ17" s="8" t="n"/>
      <c r="AK17" s="8" t="n"/>
      <c r="AL17" s="8" t="n"/>
      <c r="AM17" s="8" t="n"/>
      <c r="AN17" s="8" t="n"/>
      <c r="AO17" s="8" t="n"/>
      <c r="AP17" s="8" t="n"/>
      <c r="AQ17" s="8" t="n"/>
      <c r="AR17" s="8" t="n"/>
      <c r="AS17" s="8" t="n"/>
      <c r="AT17" s="8" t="n"/>
      <c r="AU17" s="8" t="n"/>
      <c r="AV17" s="8" t="n"/>
      <c r="AW17" s="8" t="n"/>
      <c r="AX17" s="8" t="n"/>
      <c r="AY17" s="8" t="n"/>
      <c r="AZ17" s="8" t="n"/>
      <c r="BA17" s="8" t="n"/>
      <c r="BB17" s="8" t="n"/>
      <c r="BC17" s="8" t="n"/>
      <c r="BD17" s="8" t="n"/>
      <c r="BE17" s="8" t="n"/>
      <c r="BF17" s="8" t="n"/>
      <c r="BG17" s="8" t="n"/>
      <c r="BH17" s="8" t="n"/>
      <c r="BI17" s="8" t="n"/>
      <c r="BJ17" s="8" t="n"/>
      <c r="BK17" s="8" t="n"/>
      <c r="BL17" s="8" t="n"/>
      <c r="BM17" s="8" t="n"/>
      <c r="BN17" s="8" t="n"/>
    </row>
    <row r="18" ht="14.1" customHeight="1">
      <c r="C18" s="417" t="n"/>
      <c r="D18" s="5" t="n"/>
      <c r="E18" s="5" t="n"/>
      <c r="F18" s="21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  <c r="AX18" s="5" t="n"/>
      <c r="AY18" s="5" t="n"/>
      <c r="AZ18" s="5" t="n"/>
      <c r="BA18" s="5" t="n"/>
      <c r="BB18" s="5" t="n"/>
      <c r="BC18" s="5" t="n"/>
      <c r="BD18" s="5" t="n"/>
      <c r="BE18" s="5" t="n"/>
      <c r="BF18" s="5" t="n"/>
      <c r="BG18" s="5" t="n"/>
      <c r="BH18" s="5" t="n"/>
      <c r="BI18" s="5" t="n"/>
      <c r="BJ18" s="5" t="n"/>
      <c r="BK18" s="5" t="n"/>
      <c r="BL18" s="5" t="n"/>
      <c r="BM18" s="5" t="n"/>
      <c r="BN18" s="5" t="n"/>
    </row>
    <row r="19" ht="14.1" customHeight="1">
      <c r="C19" s="406">
        <f>"Aantal eenheden - maandelijks - "&amp;Historiek!A2</f>
        <v/>
      </c>
      <c r="D19" s="407" t="n"/>
      <c r="E19" s="407" t="n"/>
      <c r="F19" s="13" t="n"/>
      <c r="G19" s="407" t="n"/>
      <c r="H19" s="407" t="n"/>
      <c r="I19" s="407" t="n"/>
      <c r="J19" s="3" t="n"/>
    </row>
    <row r="20" ht="14.1" customHeight="1">
      <c r="C20" s="738">
        <f>'BP - Monthly'!C4</f>
        <v/>
      </c>
      <c r="D20" s="741">
        <f>'BP - Monthly'!D4</f>
        <v/>
      </c>
      <c r="E20" s="741">
        <f>'BP - Monthly'!E4</f>
        <v/>
      </c>
      <c r="F20" s="743">
        <f>'BP - Monthly'!F4</f>
        <v/>
      </c>
      <c r="G20" s="741">
        <f>'BP - Monthly'!G4</f>
        <v/>
      </c>
      <c r="H20" s="741">
        <f>'BP - Monthly'!H4</f>
        <v/>
      </c>
      <c r="I20" s="741">
        <f>'BP - Monthly'!I4</f>
        <v/>
      </c>
      <c r="J20" s="741">
        <f>'BP - Monthly'!J4</f>
        <v/>
      </c>
      <c r="K20" s="741">
        <f>'BP - Monthly'!K4</f>
        <v/>
      </c>
      <c r="L20" s="741">
        <f>'BP - Monthly'!L4</f>
        <v/>
      </c>
      <c r="M20" s="741">
        <f>'BP - Monthly'!M4</f>
        <v/>
      </c>
      <c r="N20" s="741">
        <f>'BP - Monthly'!N4</f>
        <v/>
      </c>
      <c r="O20" s="741">
        <f>'BP - Monthly'!O4</f>
        <v/>
      </c>
      <c r="P20" s="741">
        <f>'BP - Monthly'!P4</f>
        <v/>
      </c>
      <c r="Q20" s="741">
        <f>'BP - Monthly'!Q4</f>
        <v/>
      </c>
      <c r="R20" s="741">
        <f>'BP - Monthly'!R4</f>
        <v/>
      </c>
      <c r="S20" s="741">
        <f>'BP - Monthly'!S4</f>
        <v/>
      </c>
      <c r="T20" s="741">
        <f>'BP - Monthly'!T4</f>
        <v/>
      </c>
      <c r="U20" s="741">
        <f>'BP - Monthly'!U4</f>
        <v/>
      </c>
      <c r="V20" s="741">
        <f>'BP - Monthly'!V4</f>
        <v/>
      </c>
      <c r="W20" s="741">
        <f>'BP - Monthly'!W4</f>
        <v/>
      </c>
      <c r="X20" s="741">
        <f>'BP - Monthly'!X4</f>
        <v/>
      </c>
      <c r="Y20" s="741">
        <f>'BP - Monthly'!Y4</f>
        <v/>
      </c>
      <c r="Z20" s="741">
        <f>'BP - Monthly'!Z4</f>
        <v/>
      </c>
      <c r="AA20" s="741">
        <f>'BP - Monthly'!AA4</f>
        <v/>
      </c>
      <c r="AB20" s="741">
        <f>'BP - Monthly'!AB4</f>
        <v/>
      </c>
      <c r="AC20" s="741">
        <f>'BP - Monthly'!AC4</f>
        <v/>
      </c>
      <c r="AD20" s="741">
        <f>'BP - Monthly'!AD4</f>
        <v/>
      </c>
      <c r="AE20" s="741">
        <f>'BP - Monthly'!AE4</f>
        <v/>
      </c>
      <c r="AF20" s="741">
        <f>'BP - Monthly'!AF4</f>
        <v/>
      </c>
      <c r="AG20" s="741">
        <f>'BP - Monthly'!AG4</f>
        <v/>
      </c>
      <c r="AH20" s="741">
        <f>'BP - Monthly'!AH4</f>
        <v/>
      </c>
      <c r="AI20" s="741">
        <f>'BP - Monthly'!AI4</f>
        <v/>
      </c>
      <c r="AJ20" s="741">
        <f>'BP - Monthly'!AJ4</f>
        <v/>
      </c>
      <c r="AK20" s="741">
        <f>'BP - Monthly'!AK4</f>
        <v/>
      </c>
      <c r="AL20" s="741">
        <f>'BP - Monthly'!AL4</f>
        <v/>
      </c>
      <c r="AM20" s="741">
        <f>'BP - Monthly'!AM4</f>
        <v/>
      </c>
      <c r="AN20" s="741">
        <f>'BP - Monthly'!AN4</f>
        <v/>
      </c>
      <c r="AO20" s="741">
        <f>'BP - Monthly'!AO4</f>
        <v/>
      </c>
      <c r="AP20" s="741">
        <f>'BP - Monthly'!AP4</f>
        <v/>
      </c>
      <c r="AQ20" s="741">
        <f>'BP - Monthly'!AQ4</f>
        <v/>
      </c>
      <c r="AR20" s="741">
        <f>'BP - Monthly'!AR4</f>
        <v/>
      </c>
      <c r="AS20" s="741">
        <f>'BP - Monthly'!AS4</f>
        <v/>
      </c>
      <c r="AT20" s="741">
        <f>'BP - Monthly'!AT4</f>
        <v/>
      </c>
      <c r="AU20" s="741">
        <f>'BP - Monthly'!AU4</f>
        <v/>
      </c>
      <c r="AV20" s="741">
        <f>'BP - Monthly'!AV4</f>
        <v/>
      </c>
      <c r="AW20" s="741">
        <f>'BP - Monthly'!AW4</f>
        <v/>
      </c>
      <c r="AX20" s="741">
        <f>'BP - Monthly'!AX4</f>
        <v/>
      </c>
      <c r="AY20" s="741">
        <f>'BP - Monthly'!AY4</f>
        <v/>
      </c>
      <c r="AZ20" s="741">
        <f>'BP - Monthly'!AZ4</f>
        <v/>
      </c>
      <c r="BA20" s="741">
        <f>'BP - Monthly'!BA4</f>
        <v/>
      </c>
      <c r="BB20" s="741">
        <f>'BP - Monthly'!BB4</f>
        <v/>
      </c>
      <c r="BC20" s="741">
        <f>'BP - Monthly'!BC4</f>
        <v/>
      </c>
      <c r="BD20" s="741">
        <f>'BP - Monthly'!BD4</f>
        <v/>
      </c>
      <c r="BE20" s="741">
        <f>'BP - Monthly'!BE4</f>
        <v/>
      </c>
      <c r="BF20" s="741">
        <f>'BP - Monthly'!BF4</f>
        <v/>
      </c>
      <c r="BG20" s="741">
        <f>'BP - Monthly'!BG4</f>
        <v/>
      </c>
      <c r="BH20" s="741">
        <f>'BP - Monthly'!BH4</f>
        <v/>
      </c>
      <c r="BI20" s="741">
        <f>'BP - Monthly'!BI4</f>
        <v/>
      </c>
      <c r="BJ20" s="741">
        <f>'BP - Monthly'!BJ4</f>
        <v/>
      </c>
      <c r="BK20" s="741">
        <f>'BP - Monthly'!BK4</f>
        <v/>
      </c>
      <c r="BL20" s="741">
        <f>'BP - Monthly'!BL4</f>
        <v/>
      </c>
      <c r="BM20" s="741">
        <f>'BP - Monthly'!BM4</f>
        <v/>
      </c>
      <c r="BN20" s="741">
        <f>'BP - Monthly'!BN4</f>
        <v/>
      </c>
    </row>
    <row r="21" ht="14.1" customHeight="1">
      <c r="C21" s="414" t="inlineStr">
        <is>
          <t># eenheden</t>
        </is>
      </c>
      <c r="D21" s="425" t="n"/>
      <c r="E21" s="425" t="n"/>
      <c r="F21" s="426" t="n"/>
      <c r="G21" s="5">
        <f>G5</f>
        <v/>
      </c>
      <c r="H21" s="5">
        <f>H5</f>
        <v/>
      </c>
      <c r="I21" s="5">
        <f>I5</f>
        <v/>
      </c>
      <c r="J21" s="5">
        <f>J5</f>
        <v/>
      </c>
      <c r="K21" s="5">
        <f>K5</f>
        <v/>
      </c>
      <c r="L21" s="5">
        <f>L5</f>
        <v/>
      </c>
      <c r="M21" s="5">
        <f>M5</f>
        <v/>
      </c>
      <c r="N21" s="5">
        <f>N5</f>
        <v/>
      </c>
      <c r="O21" s="5">
        <f>O5</f>
        <v/>
      </c>
      <c r="P21" s="5">
        <f>P5</f>
        <v/>
      </c>
      <c r="Q21" s="5">
        <f>Q5</f>
        <v/>
      </c>
      <c r="R21" s="5">
        <f>R5</f>
        <v/>
      </c>
      <c r="S21" s="5">
        <f>S5</f>
        <v/>
      </c>
      <c r="T21" s="5">
        <f>T5</f>
        <v/>
      </c>
      <c r="U21" s="5">
        <f>U5</f>
        <v/>
      </c>
      <c r="V21" s="5">
        <f>V5</f>
        <v/>
      </c>
      <c r="W21" s="5">
        <f>W5</f>
        <v/>
      </c>
      <c r="X21" s="5">
        <f>X5</f>
        <v/>
      </c>
      <c r="Y21" s="5">
        <f>Y5</f>
        <v/>
      </c>
      <c r="Z21" s="5">
        <f>Z5</f>
        <v/>
      </c>
      <c r="AA21" s="5">
        <f>AA5</f>
        <v/>
      </c>
      <c r="AB21" s="5">
        <f>AB5</f>
        <v/>
      </c>
      <c r="AC21" s="5">
        <f>AC5</f>
        <v/>
      </c>
      <c r="AD21" s="5">
        <f>AD5</f>
        <v/>
      </c>
      <c r="AE21" s="5">
        <f>AE5</f>
        <v/>
      </c>
      <c r="AF21" s="5">
        <f>AF5</f>
        <v/>
      </c>
      <c r="AG21" s="5">
        <f>AG5</f>
        <v/>
      </c>
      <c r="AH21" s="5">
        <f>AH5</f>
        <v/>
      </c>
      <c r="AI21" s="5">
        <f>AI5</f>
        <v/>
      </c>
      <c r="AJ21" s="5">
        <f>AJ5</f>
        <v/>
      </c>
      <c r="AK21" s="5">
        <f>AK5</f>
        <v/>
      </c>
      <c r="AL21" s="5">
        <f>AL5</f>
        <v/>
      </c>
      <c r="AM21" s="5">
        <f>AM5</f>
        <v/>
      </c>
      <c r="AN21" s="5">
        <f>AN5</f>
        <v/>
      </c>
      <c r="AO21" s="5">
        <f>AO5</f>
        <v/>
      </c>
      <c r="AP21" s="5">
        <f>AP5</f>
        <v/>
      </c>
      <c r="AQ21" s="5">
        <f>AQ5</f>
        <v/>
      </c>
      <c r="AR21" s="5">
        <f>AR5</f>
        <v/>
      </c>
      <c r="AS21" s="5">
        <f>AS5</f>
        <v/>
      </c>
      <c r="AT21" s="5">
        <f>AT5</f>
        <v/>
      </c>
      <c r="AU21" s="5">
        <f>AU5</f>
        <v/>
      </c>
      <c r="AV21" s="5">
        <f>AV5</f>
        <v/>
      </c>
      <c r="AW21" s="5">
        <f>AW5</f>
        <v/>
      </c>
      <c r="AX21" s="5">
        <f>AX5</f>
        <v/>
      </c>
      <c r="AY21" s="5">
        <f>AY5</f>
        <v/>
      </c>
      <c r="AZ21" s="5">
        <f>AZ5</f>
        <v/>
      </c>
      <c r="BA21" s="5">
        <f>BA5</f>
        <v/>
      </c>
      <c r="BB21" s="5">
        <f>BB5</f>
        <v/>
      </c>
      <c r="BC21" s="5">
        <f>BC5</f>
        <v/>
      </c>
      <c r="BD21" s="5">
        <f>BD5</f>
        <v/>
      </c>
      <c r="BE21" s="5">
        <f>BE5</f>
        <v/>
      </c>
      <c r="BF21" s="5">
        <f>BF5</f>
        <v/>
      </c>
      <c r="BG21" s="5">
        <f>BG5</f>
        <v/>
      </c>
      <c r="BH21" s="5">
        <f>BH5</f>
        <v/>
      </c>
      <c r="BI21" s="5">
        <f>BI5</f>
        <v/>
      </c>
      <c r="BJ21" s="5">
        <f>BJ5</f>
        <v/>
      </c>
      <c r="BK21" s="5">
        <f>BK5</f>
        <v/>
      </c>
      <c r="BL21" s="5">
        <f>BL5</f>
        <v/>
      </c>
      <c r="BM21" s="5">
        <f>BM5</f>
        <v/>
      </c>
      <c r="BN21" s="5">
        <f>BN5</f>
        <v/>
      </c>
    </row>
    <row r="22" ht="14.1" customHeight="1">
      <c r="C22" s="417" t="inlineStr">
        <is>
          <t>Gecumuleerd # eenheden</t>
        </is>
      </c>
      <c r="D22" s="425" t="n"/>
      <c r="E22" s="425" t="n"/>
      <c r="F22" s="426" t="n"/>
      <c r="G22" s="5">
        <f>G21</f>
        <v/>
      </c>
      <c r="H22" s="5">
        <f>G22+H21</f>
        <v/>
      </c>
      <c r="I22" s="5">
        <f>H22+I21</f>
        <v/>
      </c>
      <c r="J22" s="5">
        <f>I22+J21</f>
        <v/>
      </c>
      <c r="K22" s="5">
        <f>J22+K21</f>
        <v/>
      </c>
      <c r="L22" s="5">
        <f>K22+L21</f>
        <v/>
      </c>
      <c r="M22" s="5">
        <f>L22+M21</f>
        <v/>
      </c>
      <c r="N22" s="5">
        <f>M22+N21</f>
        <v/>
      </c>
      <c r="O22" s="5">
        <f>N22+O21</f>
        <v/>
      </c>
      <c r="P22" s="5">
        <f>O22+P21</f>
        <v/>
      </c>
      <c r="Q22" s="5">
        <f>P22+Q21</f>
        <v/>
      </c>
      <c r="R22" s="5">
        <f>Q22+R21</f>
        <v/>
      </c>
      <c r="S22" s="5">
        <f>R22+S21</f>
        <v/>
      </c>
      <c r="T22" s="5">
        <f>S22+T21</f>
        <v/>
      </c>
      <c r="U22" s="5">
        <f>T22+U21</f>
        <v/>
      </c>
      <c r="V22" s="5">
        <f>U22+V21</f>
        <v/>
      </c>
      <c r="W22" s="5">
        <f>V22+W21</f>
        <v/>
      </c>
      <c r="X22" s="5">
        <f>W22+X21</f>
        <v/>
      </c>
      <c r="Y22" s="5">
        <f>X22+Y21</f>
        <v/>
      </c>
      <c r="Z22" s="5">
        <f>Y22+Z21</f>
        <v/>
      </c>
      <c r="AA22" s="5">
        <f>Z22+AA21</f>
        <v/>
      </c>
      <c r="AB22" s="5">
        <f>AA22+AB21</f>
        <v/>
      </c>
      <c r="AC22" s="5">
        <f>AB22+AC21</f>
        <v/>
      </c>
      <c r="AD22" s="5">
        <f>AC22+AD21</f>
        <v/>
      </c>
      <c r="AE22" s="5">
        <f>AD22+AE21</f>
        <v/>
      </c>
      <c r="AF22" s="5">
        <f>AE22+AF21</f>
        <v/>
      </c>
      <c r="AG22" s="5">
        <f>AF22+AG21</f>
        <v/>
      </c>
      <c r="AH22" s="5">
        <f>AG22+AH21</f>
        <v/>
      </c>
      <c r="AI22" s="5">
        <f>AH22+AI21</f>
        <v/>
      </c>
      <c r="AJ22" s="5">
        <f>AI22+AJ21</f>
        <v/>
      </c>
      <c r="AK22" s="5">
        <f>AJ22+AK21</f>
        <v/>
      </c>
      <c r="AL22" s="5">
        <f>AK22+AL21</f>
        <v/>
      </c>
      <c r="AM22" s="5">
        <f>AL22+AM21</f>
        <v/>
      </c>
      <c r="AN22" s="5">
        <f>AM22+AN21</f>
        <v/>
      </c>
      <c r="AO22" s="5">
        <f>AN22+AO21</f>
        <v/>
      </c>
      <c r="AP22" s="5">
        <f>AO22+AP21</f>
        <v/>
      </c>
      <c r="AQ22" s="5">
        <f>AP22+AQ21</f>
        <v/>
      </c>
      <c r="AR22" s="5">
        <f>AQ22+AR21</f>
        <v/>
      </c>
      <c r="AS22" s="5">
        <f>AR22+AS21</f>
        <v/>
      </c>
      <c r="AT22" s="5">
        <f>AS22+AT21</f>
        <v/>
      </c>
      <c r="AU22" s="5">
        <f>AT22+AU21</f>
        <v/>
      </c>
      <c r="AV22" s="5">
        <f>AU22+AV21</f>
        <v/>
      </c>
      <c r="AW22" s="5">
        <f>AV22+AW21</f>
        <v/>
      </c>
      <c r="AX22" s="5">
        <f>AW22+AX21</f>
        <v/>
      </c>
      <c r="AY22" s="5">
        <f>AX22+AY21</f>
        <v/>
      </c>
      <c r="AZ22" s="5">
        <f>AY22+AZ21</f>
        <v/>
      </c>
      <c r="BA22" s="5">
        <f>AZ22+BA21</f>
        <v/>
      </c>
      <c r="BB22" s="5">
        <f>BA22+BB21</f>
        <v/>
      </c>
      <c r="BC22" s="5">
        <f>BB22+BC21</f>
        <v/>
      </c>
      <c r="BD22" s="5">
        <f>BC22+BD21</f>
        <v/>
      </c>
      <c r="BE22" s="5">
        <f>BD22+BE21</f>
        <v/>
      </c>
      <c r="BF22" s="5">
        <f>BE22+BF21</f>
        <v/>
      </c>
      <c r="BG22" s="5">
        <f>BF22+BG21</f>
        <v/>
      </c>
      <c r="BH22" s="5">
        <f>BG22+BH21</f>
        <v/>
      </c>
      <c r="BI22" s="5">
        <f>BH22+BI21</f>
        <v/>
      </c>
      <c r="BJ22" s="5">
        <f>BI22+BJ21</f>
        <v/>
      </c>
      <c r="BK22" s="5">
        <f>BJ22+BK21</f>
        <v/>
      </c>
      <c r="BL22" s="5">
        <f>BK22+BL21</f>
        <v/>
      </c>
      <c r="BM22" s="5">
        <f>BL22+BM21</f>
        <v/>
      </c>
      <c r="BN22" s="5">
        <f>BM22+BN21</f>
        <v/>
      </c>
    </row>
    <row r="23" ht="14.1" customHeight="1">
      <c r="C23" s="417" t="n"/>
      <c r="D23" s="417" t="n"/>
      <c r="E23" s="417" t="n"/>
      <c r="F23" s="417" t="n"/>
      <c r="G23" s="417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  <c r="AX23" s="5" t="n"/>
      <c r="AY23" s="5" t="n"/>
      <c r="AZ23" s="5" t="n"/>
      <c r="BA23" s="5" t="n"/>
      <c r="BB23" s="5" t="n"/>
      <c r="BC23" s="5" t="n"/>
      <c r="BD23" s="5" t="n"/>
      <c r="BE23" s="5" t="n"/>
      <c r="BF23" s="5" t="n"/>
      <c r="BG23" s="5" t="n"/>
      <c r="BH23" s="5" t="n"/>
      <c r="BI23" s="5" t="n"/>
      <c r="BJ23" s="5" t="n"/>
      <c r="BK23" s="5" t="n"/>
      <c r="BL23" s="5" t="n"/>
      <c r="BM23" s="5" t="n"/>
      <c r="BN23" s="5" t="n"/>
    </row>
    <row r="24" ht="14.1" customHeight="1">
      <c r="C24" s="417" t="n"/>
      <c r="D24" s="417" t="n"/>
      <c r="E24" s="417" t="n"/>
      <c r="F24" s="417" t="n"/>
      <c r="G24" s="417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  <c r="AX24" s="5" t="n"/>
      <c r="AY24" s="5" t="n"/>
      <c r="AZ24" s="5" t="n"/>
      <c r="BA24" s="5" t="n"/>
      <c r="BB24" s="5" t="n"/>
      <c r="BC24" s="5" t="n"/>
      <c r="BD24" s="5" t="n"/>
      <c r="BE24" s="5" t="n"/>
      <c r="BF24" s="5" t="n"/>
      <c r="BG24" s="5" t="n"/>
      <c r="BH24" s="5" t="n"/>
      <c r="BI24" s="5" t="n"/>
      <c r="BJ24" s="5" t="n"/>
      <c r="BK24" s="5" t="n"/>
      <c r="BL24" s="5" t="n"/>
      <c r="BM24" s="5" t="n"/>
      <c r="BN24" s="5" t="n"/>
    </row>
    <row r="25" ht="14.1" customHeight="1">
      <c r="C25" s="406">
        <f>"Aantal eenheden - jaarlijks - "&amp;Historiek!A2</f>
        <v/>
      </c>
      <c r="D25" s="407" t="n"/>
      <c r="E25" s="407" t="n"/>
      <c r="F25" s="13" t="n"/>
      <c r="G25" s="407" t="n"/>
      <c r="H25" s="407" t="n"/>
      <c r="I25" s="407" t="n"/>
      <c r="J25" s="3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  <c r="AX25" s="5" t="n"/>
      <c r="AY25" s="5" t="n"/>
      <c r="AZ25" s="5" t="n"/>
      <c r="BA25" s="5" t="n"/>
      <c r="BB25" s="5" t="n"/>
      <c r="BC25" s="5" t="n"/>
      <c r="BD25" s="5" t="n"/>
      <c r="BE25" s="5" t="n"/>
      <c r="BF25" s="5" t="n"/>
      <c r="BG25" s="5" t="n"/>
      <c r="BH25" s="5" t="n"/>
      <c r="BI25" s="5" t="n"/>
      <c r="BJ25" s="5" t="n"/>
      <c r="BK25" s="5" t="n"/>
      <c r="BL25" s="5" t="n"/>
      <c r="BM25" s="5" t="n"/>
      <c r="BN25" s="5" t="n"/>
    </row>
    <row r="26" ht="14.1" customHeight="1">
      <c r="C26" s="738">
        <f>'BP - Annual'!C4</f>
        <v/>
      </c>
      <c r="D26" s="741">
        <f>'BP - Annual'!D4</f>
        <v/>
      </c>
      <c r="E26" s="741">
        <f>'BP - Annual'!E4</f>
        <v/>
      </c>
      <c r="F26" s="743">
        <f>'BP - Annual'!F4</f>
        <v/>
      </c>
      <c r="G26" s="741">
        <f>'BP - Annual'!G4</f>
        <v/>
      </c>
      <c r="H26" s="741">
        <f>'BP - Annual'!H4</f>
        <v/>
      </c>
      <c r="I26" s="741">
        <f>'BP - Annual'!I4</f>
        <v/>
      </c>
      <c r="J26" s="741">
        <f>'BP - Annual'!J4</f>
        <v/>
      </c>
      <c r="K26" s="741">
        <f>'BP - Annual'!K4</f>
        <v/>
      </c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  <c r="AX26" s="5" t="n"/>
      <c r="AY26" s="5" t="n"/>
      <c r="AZ26" s="5" t="n"/>
      <c r="BA26" s="5" t="n"/>
      <c r="BB26" s="5" t="n"/>
      <c r="BC26" s="5" t="n"/>
      <c r="BD26" s="5" t="n"/>
      <c r="BE26" s="5" t="n"/>
      <c r="BF26" s="5" t="n"/>
      <c r="BG26" s="5" t="n"/>
      <c r="BH26" s="5" t="n"/>
      <c r="BI26" s="5" t="n"/>
      <c r="BJ26" s="5" t="n"/>
      <c r="BK26" s="5" t="n"/>
      <c r="BL26" s="5" t="n"/>
      <c r="BM26" s="5" t="n"/>
      <c r="BN26" s="5" t="n"/>
    </row>
    <row r="27" ht="14.1" customHeight="1">
      <c r="C27" s="414" t="inlineStr">
        <is>
          <t># eenheden</t>
        </is>
      </c>
      <c r="D27" s="425" t="n"/>
      <c r="E27" s="425" t="n"/>
      <c r="F27" s="426" t="n"/>
      <c r="G27" s="5">
        <f>SUM(G21:R21)</f>
        <v/>
      </c>
      <c r="H27" s="5">
        <f>SUM(S21:AD21)</f>
        <v/>
      </c>
      <c r="I27" s="5">
        <f>SUM(AE21:AP21)</f>
        <v/>
      </c>
      <c r="J27" s="5">
        <f>SUM(AQ21:BB21)</f>
        <v/>
      </c>
      <c r="K27" s="5">
        <f>SUM(BC21:BN21)</f>
        <v/>
      </c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  <c r="AX27" s="5" t="n"/>
      <c r="AY27" s="5" t="n"/>
      <c r="AZ27" s="5" t="n"/>
      <c r="BA27" s="5" t="n"/>
      <c r="BB27" s="5" t="n"/>
      <c r="BC27" s="5" t="n"/>
      <c r="BD27" s="5" t="n"/>
      <c r="BE27" s="5" t="n"/>
      <c r="BF27" s="5" t="n"/>
      <c r="BG27" s="5" t="n"/>
      <c r="BH27" s="5" t="n"/>
      <c r="BI27" s="5" t="n"/>
      <c r="BJ27" s="5" t="n"/>
      <c r="BK27" s="5" t="n"/>
      <c r="BL27" s="5" t="n"/>
      <c r="BM27" s="5" t="n"/>
      <c r="BN27" s="5" t="n"/>
    </row>
    <row r="28" ht="14.1" customHeight="1">
      <c r="C28" s="417" t="inlineStr">
        <is>
          <t>Gecumuleerd # eenheden</t>
        </is>
      </c>
      <c r="D28" s="425" t="n"/>
      <c r="E28" s="425" t="n"/>
      <c r="F28" s="426" t="n"/>
      <c r="G28" s="5">
        <f>G27</f>
        <v/>
      </c>
      <c r="H28" s="5">
        <f>G28+H27</f>
        <v/>
      </c>
      <c r="I28" s="5">
        <f>H28+I27</f>
        <v/>
      </c>
      <c r="J28" s="5">
        <f>I28+J27</f>
        <v/>
      </c>
      <c r="K28" s="5">
        <f>J28+K27</f>
        <v/>
      </c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  <c r="AX28" s="5" t="n"/>
      <c r="AY28" s="5" t="n"/>
      <c r="AZ28" s="5" t="n"/>
      <c r="BA28" s="5" t="n"/>
      <c r="BB28" s="5" t="n"/>
      <c r="BC28" s="5" t="n"/>
      <c r="BD28" s="5" t="n"/>
      <c r="BE28" s="5" t="n"/>
      <c r="BF28" s="5" t="n"/>
      <c r="BG28" s="5" t="n"/>
      <c r="BH28" s="5" t="n"/>
      <c r="BI28" s="5" t="n"/>
      <c r="BJ28" s="5" t="n"/>
      <c r="BK28" s="5" t="n"/>
      <c r="BL28" s="5" t="n"/>
      <c r="BM28" s="5" t="n"/>
      <c r="BN28" s="5" t="n"/>
    </row>
    <row r="29" ht="14.1" customHeight="1">
      <c r="C29" s="5" t="n"/>
      <c r="D29" s="5" t="n"/>
      <c r="E29" s="5" t="n"/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  <c r="AX29" s="5" t="n"/>
      <c r="AY29" s="5" t="n"/>
      <c r="AZ29" s="5" t="n"/>
      <c r="BA29" s="5" t="n"/>
      <c r="BB29" s="5" t="n"/>
      <c r="BC29" s="5" t="n"/>
      <c r="BD29" s="5" t="n"/>
      <c r="BE29" s="5" t="n"/>
      <c r="BF29" s="5" t="n"/>
      <c r="BG29" s="5" t="n"/>
      <c r="BH29" s="5" t="n"/>
      <c r="BI29" s="5" t="n"/>
      <c r="BJ29" s="5" t="n"/>
      <c r="BK29" s="5" t="n"/>
      <c r="BL29" s="5" t="n"/>
      <c r="BM29" s="5" t="n"/>
      <c r="BN29" s="5" t="n"/>
    </row>
    <row r="30" outlineLevel="1" ht="14.1" customHeight="1">
      <c r="A30" s="431">
        <f>SUM(G30:K30)</f>
        <v/>
      </c>
      <c r="B30" s="430" t="inlineStr">
        <is>
          <t>Check</t>
        </is>
      </c>
      <c r="C30" s="417" t="n"/>
      <c r="D30" s="5" t="n"/>
      <c r="E30" s="5" t="n"/>
      <c r="F30" s="21" t="n"/>
      <c r="G30" s="5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  <c r="AX30" s="5" t="n"/>
      <c r="AY30" s="5" t="n"/>
      <c r="AZ30" s="5" t="n"/>
      <c r="BA30" s="5" t="n"/>
      <c r="BB30" s="5" t="n"/>
      <c r="BC30" s="5" t="n"/>
      <c r="BD30" s="5" t="n"/>
      <c r="BE30" s="5" t="n"/>
      <c r="BF30" s="5" t="n"/>
      <c r="BG30" s="5" t="n"/>
      <c r="BH30" s="5" t="n"/>
      <c r="BI30" s="5" t="n"/>
      <c r="BJ30" s="5" t="n"/>
      <c r="BK30" s="5" t="n"/>
      <c r="BL30" s="5" t="n"/>
      <c r="BM30" s="5" t="n"/>
      <c r="BN30" s="5" t="n"/>
    </row>
    <row r="31" ht="14.1" customHeight="1">
      <c r="C31" s="417" t="n"/>
      <c r="D31" s="5" t="n"/>
      <c r="E31" s="5" t="n"/>
      <c r="F31" s="21" t="n"/>
      <c r="G31" s="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  <c r="AX31" s="5" t="n"/>
      <c r="AY31" s="5" t="n"/>
      <c r="AZ31" s="5" t="n"/>
      <c r="BA31" s="5" t="n"/>
      <c r="BB31" s="5" t="n"/>
      <c r="BC31" s="5" t="n"/>
      <c r="BD31" s="5" t="n"/>
      <c r="BE31" s="5" t="n"/>
      <c r="BF31" s="5" t="n"/>
      <c r="BG31" s="5" t="n"/>
      <c r="BH31" s="5" t="n"/>
      <c r="BI31" s="5" t="n"/>
      <c r="BJ31" s="5" t="n"/>
      <c r="BK31" s="5" t="n"/>
      <c r="BL31" s="5" t="n"/>
      <c r="BM31" s="5" t="n"/>
      <c r="BN31" s="5" t="n"/>
    </row>
    <row r="32" ht="14.1" customHeight="1">
      <c r="C32" s="417" t="n"/>
      <c r="D32" s="5" t="n"/>
      <c r="E32" s="5" t="n"/>
      <c r="F32" s="21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  <c r="AX32" s="5" t="n"/>
      <c r="AY32" s="5" t="n"/>
      <c r="AZ32" s="5" t="n"/>
      <c r="BA32" s="5" t="n"/>
      <c r="BB32" s="5" t="n"/>
      <c r="BC32" s="5" t="n"/>
      <c r="BD32" s="5" t="n"/>
      <c r="BE32" s="5" t="n"/>
      <c r="BF32" s="5" t="n"/>
      <c r="BG32" s="5" t="n"/>
      <c r="BH32" s="5" t="n"/>
      <c r="BI32" s="5" t="n"/>
      <c r="BJ32" s="5" t="n"/>
      <c r="BK32" s="5" t="n"/>
      <c r="BL32" s="5" t="n"/>
      <c r="BM32" s="5" t="n"/>
      <c r="BN32" s="5" t="n"/>
    </row>
    <row r="33" ht="14.1" customHeight="1">
      <c r="C33" s="417" t="n"/>
      <c r="D33" s="5" t="n"/>
      <c r="E33" s="5" t="n"/>
      <c r="F33" s="21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  <c r="AX33" s="5" t="n"/>
      <c r="AY33" s="5" t="n"/>
      <c r="AZ33" s="5" t="n"/>
      <c r="BA33" s="5" t="n"/>
      <c r="BB33" s="5" t="n"/>
      <c r="BC33" s="5" t="n"/>
      <c r="BD33" s="5" t="n"/>
      <c r="BE33" s="5" t="n"/>
      <c r="BF33" s="5" t="n"/>
      <c r="BG33" s="5" t="n"/>
      <c r="BH33" s="5" t="n"/>
      <c r="BI33" s="5" t="n"/>
      <c r="BJ33" s="5" t="n"/>
      <c r="BK33" s="5" t="n"/>
      <c r="BL33" s="5" t="n"/>
      <c r="BM33" s="5" t="n"/>
      <c r="BN33" s="5" t="n"/>
    </row>
    <row r="34" ht="14.1" customHeight="1">
      <c r="C34" s="417" t="n"/>
      <c r="D34" s="5" t="n"/>
      <c r="E34" s="5" t="n"/>
      <c r="F34" s="21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  <c r="AX34" s="5" t="n"/>
      <c r="AY34" s="5" t="n"/>
      <c r="AZ34" s="5" t="n"/>
      <c r="BA34" s="5" t="n"/>
      <c r="BB34" s="5" t="n"/>
      <c r="BC34" s="5" t="n"/>
      <c r="BD34" s="5" t="n"/>
      <c r="BE34" s="5" t="n"/>
      <c r="BF34" s="5" t="n"/>
      <c r="BG34" s="5" t="n"/>
      <c r="BH34" s="5" t="n"/>
      <c r="BI34" s="5" t="n"/>
      <c r="BJ34" s="5" t="n"/>
      <c r="BK34" s="5" t="n"/>
      <c r="BL34" s="5" t="n"/>
      <c r="BM34" s="5" t="n"/>
      <c r="BN34" s="5" t="n"/>
    </row>
    <row r="35" ht="14.1" customHeight="1">
      <c r="C35" s="417" t="n"/>
      <c r="D35" s="5" t="n"/>
      <c r="E35" s="5" t="n"/>
      <c r="F35" s="21" t="n"/>
      <c r="G35" s="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  <c r="AX35" s="5" t="n"/>
      <c r="AY35" s="5" t="n"/>
      <c r="AZ35" s="5" t="n"/>
      <c r="BA35" s="5" t="n"/>
      <c r="BB35" s="5" t="n"/>
      <c r="BC35" s="5" t="n"/>
      <c r="BD35" s="5" t="n"/>
      <c r="BE35" s="5" t="n"/>
      <c r="BF35" s="5" t="n"/>
      <c r="BG35" s="5" t="n"/>
      <c r="BH35" s="5" t="n"/>
      <c r="BI35" s="5" t="n"/>
      <c r="BJ35" s="5" t="n"/>
      <c r="BK35" s="5" t="n"/>
      <c r="BL35" s="5" t="n"/>
      <c r="BM35" s="5" t="n"/>
      <c r="BN35" s="5" t="n"/>
    </row>
    <row r="36" ht="14.1" customHeight="1">
      <c r="C36" s="417" t="n"/>
      <c r="D36" s="5" t="n"/>
      <c r="E36" s="5" t="n"/>
      <c r="F36" s="21" t="n"/>
      <c r="G36" s="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  <c r="AX36" s="5" t="n"/>
      <c r="AY36" s="5" t="n"/>
      <c r="AZ36" s="5" t="n"/>
      <c r="BA36" s="5" t="n"/>
      <c r="BB36" s="5" t="n"/>
      <c r="BC36" s="5" t="n"/>
      <c r="BD36" s="5" t="n"/>
      <c r="BE36" s="5" t="n"/>
      <c r="BF36" s="5" t="n"/>
      <c r="BG36" s="5" t="n"/>
      <c r="BH36" s="5" t="n"/>
      <c r="BI36" s="5" t="n"/>
      <c r="BJ36" s="5" t="n"/>
      <c r="BK36" s="5" t="n"/>
      <c r="BL36" s="5" t="n"/>
      <c r="BM36" s="5" t="n"/>
      <c r="BN36" s="5" t="n"/>
    </row>
    <row r="37" ht="14.1" customHeight="1">
      <c r="C37" s="417" t="n"/>
      <c r="D37" s="5" t="n"/>
      <c r="E37" s="5" t="n"/>
      <c r="F37" s="21" t="n"/>
      <c r="G37" s="5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  <c r="AX37" s="5" t="n"/>
      <c r="AY37" s="5" t="n"/>
      <c r="AZ37" s="5" t="n"/>
      <c r="BA37" s="5" t="n"/>
      <c r="BB37" s="5" t="n"/>
      <c r="BC37" s="5" t="n"/>
      <c r="BD37" s="5" t="n"/>
      <c r="BE37" s="5" t="n"/>
      <c r="BF37" s="5" t="n"/>
      <c r="BG37" s="5" t="n"/>
      <c r="BH37" s="5" t="n"/>
      <c r="BI37" s="5" t="n"/>
      <c r="BJ37" s="5" t="n"/>
      <c r="BK37" s="5" t="n"/>
      <c r="BL37" s="5" t="n"/>
      <c r="BM37" s="5" t="n"/>
      <c r="BN37" s="5" t="n"/>
    </row>
    <row r="38" ht="14.1" customHeight="1">
      <c r="C38" s="417" t="n"/>
      <c r="D38" s="5" t="n"/>
      <c r="E38" s="5" t="n"/>
      <c r="F38" s="21" t="n"/>
      <c r="G38" s="5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  <c r="AX38" s="5" t="n"/>
      <c r="AY38" s="5" t="n"/>
      <c r="AZ38" s="5" t="n"/>
      <c r="BA38" s="5" t="n"/>
      <c r="BB38" s="5" t="n"/>
      <c r="BC38" s="5" t="n"/>
      <c r="BD38" s="5" t="n"/>
      <c r="BE38" s="5" t="n"/>
      <c r="BF38" s="5" t="n"/>
      <c r="BG38" s="5" t="n"/>
      <c r="BH38" s="5" t="n"/>
      <c r="BI38" s="5" t="n"/>
      <c r="BJ38" s="5" t="n"/>
      <c r="BK38" s="5" t="n"/>
      <c r="BL38" s="5" t="n"/>
      <c r="BM38" s="5" t="n"/>
      <c r="BN38" s="5" t="n"/>
    </row>
    <row r="39" ht="14.1" customHeight="1">
      <c r="C39" s="417" t="n"/>
      <c r="D39" s="5" t="n"/>
      <c r="E39" s="5" t="n"/>
      <c r="F39" s="21" t="n"/>
      <c r="G39" s="5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  <c r="AX39" s="5" t="n"/>
      <c r="AY39" s="5" t="n"/>
      <c r="AZ39" s="5" t="n"/>
      <c r="BA39" s="5" t="n"/>
      <c r="BB39" s="5" t="n"/>
      <c r="BC39" s="5" t="n"/>
      <c r="BD39" s="5" t="n"/>
      <c r="BE39" s="5" t="n"/>
      <c r="BF39" s="5" t="n"/>
      <c r="BG39" s="5" t="n"/>
      <c r="BH39" s="5" t="n"/>
      <c r="BI39" s="5" t="n"/>
      <c r="BJ39" s="5" t="n"/>
      <c r="BK39" s="5" t="n"/>
      <c r="BL39" s="5" t="n"/>
      <c r="BM39" s="5" t="n"/>
      <c r="BN39" s="5" t="n"/>
    </row>
    <row r="40" ht="14.1" customHeight="1">
      <c r="C40" s="417" t="n"/>
      <c r="D40" s="5" t="n"/>
      <c r="E40" s="5" t="n"/>
      <c r="F40" s="21" t="n"/>
      <c r="G40" s="5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  <c r="AX40" s="5" t="n"/>
      <c r="AY40" s="5" t="n"/>
      <c r="AZ40" s="5" t="n"/>
      <c r="BA40" s="5" t="n"/>
      <c r="BB40" s="5" t="n"/>
      <c r="BC40" s="5" t="n"/>
      <c r="BD40" s="5" t="n"/>
      <c r="BE40" s="5" t="n"/>
      <c r="BF40" s="5" t="n"/>
      <c r="BG40" s="5" t="n"/>
      <c r="BH40" s="5" t="n"/>
      <c r="BI40" s="5" t="n"/>
      <c r="BJ40" s="5" t="n"/>
      <c r="BK40" s="5" t="n"/>
      <c r="BL40" s="5" t="n"/>
      <c r="BM40" s="5" t="n"/>
      <c r="BN40" s="5" t="n"/>
    </row>
    <row r="41" ht="14.1" customHeight="1">
      <c r="C41" s="417" t="n"/>
      <c r="D41" s="5" t="n"/>
      <c r="E41" s="5" t="n"/>
      <c r="F41" s="21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  <c r="AX41" s="5" t="n"/>
      <c r="AY41" s="5" t="n"/>
      <c r="AZ41" s="5" t="n"/>
      <c r="BA41" s="5" t="n"/>
      <c r="BB41" s="5" t="n"/>
      <c r="BC41" s="5" t="n"/>
      <c r="BD41" s="5" t="n"/>
      <c r="BE41" s="5" t="n"/>
      <c r="BF41" s="5" t="n"/>
      <c r="BG41" s="5" t="n"/>
      <c r="BH41" s="5" t="n"/>
      <c r="BI41" s="5" t="n"/>
      <c r="BJ41" s="5" t="n"/>
      <c r="BK41" s="5" t="n"/>
      <c r="BL41" s="5" t="n"/>
      <c r="BM41" s="5" t="n"/>
      <c r="BN41" s="5" t="n"/>
    </row>
    <row r="42" ht="14.1" customHeight="1">
      <c r="C42" s="417" t="n"/>
      <c r="D42" s="5" t="n"/>
      <c r="E42" s="5" t="n"/>
      <c r="F42" s="21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  <c r="AX42" s="5" t="n"/>
      <c r="AY42" s="5" t="n"/>
      <c r="AZ42" s="5" t="n"/>
      <c r="BA42" s="5" t="n"/>
      <c r="BB42" s="5" t="n"/>
      <c r="BC42" s="5" t="n"/>
      <c r="BD42" s="5" t="n"/>
      <c r="BE42" s="5" t="n"/>
      <c r="BF42" s="5" t="n"/>
      <c r="BG42" s="5" t="n"/>
      <c r="BH42" s="5" t="n"/>
      <c r="BI42" s="5" t="n"/>
      <c r="BJ42" s="5" t="n"/>
      <c r="BK42" s="5" t="n"/>
      <c r="BL42" s="5" t="n"/>
      <c r="BM42" s="5" t="n"/>
      <c r="BN42" s="5" t="n"/>
    </row>
    <row r="43" ht="14.1" customHeight="1">
      <c r="C43" s="417" t="n"/>
      <c r="D43" s="5" t="n"/>
      <c r="E43" s="5" t="n"/>
      <c r="F43" s="21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  <c r="AX43" s="5" t="n"/>
      <c r="AY43" s="5" t="n"/>
      <c r="AZ43" s="5" t="n"/>
      <c r="BA43" s="5" t="n"/>
      <c r="BB43" s="5" t="n"/>
      <c r="BC43" s="5" t="n"/>
      <c r="BD43" s="5" t="n"/>
      <c r="BE43" s="5" t="n"/>
      <c r="BF43" s="5" t="n"/>
      <c r="BG43" s="5" t="n"/>
      <c r="BH43" s="5" t="n"/>
      <c r="BI43" s="5" t="n"/>
      <c r="BJ43" s="5" t="n"/>
      <c r="BK43" s="5" t="n"/>
      <c r="BL43" s="5" t="n"/>
      <c r="BM43" s="5" t="n"/>
      <c r="BN43" s="5" t="n"/>
    </row>
    <row r="44" ht="14.1" customHeight="1">
      <c r="C44" s="417" t="n"/>
      <c r="D44" s="5" t="n"/>
      <c r="E44" s="5" t="n"/>
      <c r="F44" s="21" t="n"/>
      <c r="G44" s="5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  <c r="AX44" s="5" t="n"/>
      <c r="AY44" s="5" t="n"/>
      <c r="AZ44" s="5" t="n"/>
      <c r="BA44" s="5" t="n"/>
      <c r="BB44" s="5" t="n"/>
      <c r="BC44" s="5" t="n"/>
      <c r="BD44" s="5" t="n"/>
      <c r="BE44" s="5" t="n"/>
      <c r="BF44" s="5" t="n"/>
      <c r="BG44" s="5" t="n"/>
      <c r="BH44" s="5" t="n"/>
      <c r="BI44" s="5" t="n"/>
      <c r="BJ44" s="5" t="n"/>
      <c r="BK44" s="5" t="n"/>
      <c r="BL44" s="5" t="n"/>
      <c r="BM44" s="5" t="n"/>
      <c r="BN44" s="5" t="n"/>
    </row>
    <row r="45" ht="14.1" customHeight="1">
      <c r="C45" s="417" t="n"/>
      <c r="D45" s="5" t="n"/>
      <c r="E45" s="5" t="n"/>
      <c r="F45" s="21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  <c r="AX45" s="5" t="n"/>
      <c r="AY45" s="5" t="n"/>
      <c r="AZ45" s="5" t="n"/>
      <c r="BA45" s="5" t="n"/>
      <c r="BB45" s="5" t="n"/>
      <c r="BC45" s="5" t="n"/>
      <c r="BD45" s="5" t="n"/>
      <c r="BE45" s="5" t="n"/>
      <c r="BF45" s="5" t="n"/>
      <c r="BG45" s="5" t="n"/>
      <c r="BH45" s="5" t="n"/>
      <c r="BI45" s="5" t="n"/>
      <c r="BJ45" s="5" t="n"/>
      <c r="BK45" s="5" t="n"/>
      <c r="BL45" s="5" t="n"/>
      <c r="BM45" s="5" t="n"/>
      <c r="BN45" s="5" t="n"/>
    </row>
    <row r="46" ht="14.1" customHeight="1">
      <c r="C46" s="417" t="n"/>
      <c r="D46" s="5" t="n"/>
      <c r="E46" s="5" t="n"/>
      <c r="F46" s="21" t="n"/>
      <c r="G46" s="5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  <c r="AX46" s="5" t="n"/>
      <c r="AY46" s="5" t="n"/>
      <c r="AZ46" s="5" t="n"/>
      <c r="BA46" s="5" t="n"/>
      <c r="BB46" s="5" t="n"/>
      <c r="BC46" s="5" t="n"/>
      <c r="BD46" s="5" t="n"/>
      <c r="BE46" s="5" t="n"/>
      <c r="BF46" s="5" t="n"/>
      <c r="BG46" s="5" t="n"/>
      <c r="BH46" s="5" t="n"/>
      <c r="BI46" s="5" t="n"/>
      <c r="BJ46" s="5" t="n"/>
      <c r="BK46" s="5" t="n"/>
      <c r="BL46" s="5" t="n"/>
      <c r="BM46" s="5" t="n"/>
      <c r="BN46" s="5" t="n"/>
    </row>
    <row r="47" ht="14.1" customHeight="1">
      <c r="D47" s="422" t="n"/>
      <c r="E47" s="422" t="n"/>
      <c r="F47" s="26" t="n"/>
      <c r="G47" s="422" t="n"/>
      <c r="H47" s="422" t="n"/>
      <c r="I47" s="422" t="n"/>
      <c r="J47" s="3" t="n"/>
      <c r="K47" s="3" t="n"/>
      <c r="L47" s="3" t="n"/>
    </row>
  </sheetData>
  <pageMargins left="0.7" right="0.7" top="0.75" bottom="0.75" header="0.3" footer="0.3"/>
  <pageSetup orientation="portrait" paperSize="9" verticalDpi="0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tabColor theme="4" tint="0.7999816888943144"/>
    <outlinePr summaryBelow="1" summaryRight="1"/>
    <pageSetUpPr/>
  </sheetPr>
  <dimension ref="A1:BN35"/>
  <sheetViews>
    <sheetView showGridLines="0" workbookViewId="0">
      <selection activeCell="K36" sqref="K36"/>
    </sheetView>
  </sheetViews>
  <sheetFormatPr baseColWidth="8" defaultColWidth="0" defaultRowHeight="13.2" outlineLevelRow="1"/>
  <cols>
    <col width="9.109375" customWidth="1" style="405" min="1" max="1"/>
    <col width="9.109375" customWidth="1" style="2" min="2" max="2"/>
    <col width="38.44140625" customWidth="1" style="2" min="3" max="3"/>
    <col collapsed="1" width="9.33203125" customWidth="1" style="2" min="4" max="5"/>
    <col width="9.33203125" customWidth="1" style="12" min="6" max="6"/>
    <col width="9.33203125" customWidth="1" style="2" min="7" max="67"/>
    <col hidden="1" style="2" min="68" max="88"/>
    <col hidden="1" width="9.109375" customWidth="1" style="2" min="89" max="16384"/>
  </cols>
  <sheetData>
    <row r="1">
      <c r="A1" s="1">
        <f>SUM(A2:A200)</f>
        <v/>
      </c>
    </row>
    <row r="3">
      <c r="C3" s="406">
        <f>"Analyse D&amp;DG - maandelijks - "&amp;Historiek!A2</f>
        <v/>
      </c>
    </row>
    <row r="4" ht="14.1" customHeight="1">
      <c r="C4" s="738">
        <f>'BP - Monthly'!C4</f>
        <v/>
      </c>
      <c r="D4" s="741">
        <f>'BP - Monthly'!D4</f>
        <v/>
      </c>
      <c r="E4" s="741">
        <f>'BP - Monthly'!E4</f>
        <v/>
      </c>
      <c r="F4" s="743">
        <f>'BP - Monthly'!F4</f>
        <v/>
      </c>
      <c r="G4" s="741">
        <f>'BP - Monthly'!G4</f>
        <v/>
      </c>
      <c r="H4" s="741">
        <f>'BP - Monthly'!H4</f>
        <v/>
      </c>
      <c r="I4" s="741">
        <f>'BP - Monthly'!I4</f>
        <v/>
      </c>
      <c r="J4" s="741">
        <f>'BP - Monthly'!J4</f>
        <v/>
      </c>
      <c r="K4" s="741">
        <f>'BP - Monthly'!K4</f>
        <v/>
      </c>
      <c r="L4" s="741">
        <f>'BP - Monthly'!L4</f>
        <v/>
      </c>
      <c r="M4" s="741">
        <f>'BP - Monthly'!M4</f>
        <v/>
      </c>
      <c r="N4" s="741">
        <f>'BP - Monthly'!N4</f>
        <v/>
      </c>
      <c r="O4" s="741">
        <f>'BP - Monthly'!O4</f>
        <v/>
      </c>
      <c r="P4" s="741">
        <f>'BP - Monthly'!P4</f>
        <v/>
      </c>
      <c r="Q4" s="741">
        <f>'BP - Monthly'!Q4</f>
        <v/>
      </c>
      <c r="R4" s="741">
        <f>'BP - Monthly'!R4</f>
        <v/>
      </c>
      <c r="S4" s="741">
        <f>'BP - Monthly'!S4</f>
        <v/>
      </c>
      <c r="T4" s="741">
        <f>'BP - Monthly'!T4</f>
        <v/>
      </c>
      <c r="U4" s="741">
        <f>'BP - Monthly'!U4</f>
        <v/>
      </c>
      <c r="V4" s="741">
        <f>'BP - Monthly'!V4</f>
        <v/>
      </c>
      <c r="W4" s="741">
        <f>'BP - Monthly'!W4</f>
        <v/>
      </c>
      <c r="X4" s="741">
        <f>'BP - Monthly'!X4</f>
        <v/>
      </c>
      <c r="Y4" s="741">
        <f>'BP - Monthly'!Y4</f>
        <v/>
      </c>
      <c r="Z4" s="741">
        <f>'BP - Monthly'!Z4</f>
        <v/>
      </c>
      <c r="AA4" s="741">
        <f>'BP - Monthly'!AA4</f>
        <v/>
      </c>
      <c r="AB4" s="741">
        <f>'BP - Monthly'!AB4</f>
        <v/>
      </c>
      <c r="AC4" s="741">
        <f>'BP - Monthly'!AC4</f>
        <v/>
      </c>
      <c r="AD4" s="741">
        <f>'BP - Monthly'!AD4</f>
        <v/>
      </c>
      <c r="AE4" s="741">
        <f>'BP - Monthly'!AE4</f>
        <v/>
      </c>
      <c r="AF4" s="741">
        <f>'BP - Monthly'!AF4</f>
        <v/>
      </c>
      <c r="AG4" s="741">
        <f>'BP - Monthly'!AG4</f>
        <v/>
      </c>
      <c r="AH4" s="741">
        <f>'BP - Monthly'!AH4</f>
        <v/>
      </c>
      <c r="AI4" s="741">
        <f>'BP - Monthly'!AI4</f>
        <v/>
      </c>
      <c r="AJ4" s="741">
        <f>'BP - Monthly'!AJ4</f>
        <v/>
      </c>
      <c r="AK4" s="741">
        <f>'BP - Monthly'!AK4</f>
        <v/>
      </c>
      <c r="AL4" s="741">
        <f>'BP - Monthly'!AL4</f>
        <v/>
      </c>
      <c r="AM4" s="741">
        <f>'BP - Monthly'!AM4</f>
        <v/>
      </c>
      <c r="AN4" s="741">
        <f>'BP - Monthly'!AN4</f>
        <v/>
      </c>
      <c r="AO4" s="741">
        <f>'BP - Monthly'!AO4</f>
        <v/>
      </c>
      <c r="AP4" s="741">
        <f>'BP - Monthly'!AP4</f>
        <v/>
      </c>
      <c r="AQ4" s="741">
        <f>'BP - Monthly'!AQ4</f>
        <v/>
      </c>
      <c r="AR4" s="741">
        <f>'BP - Monthly'!AR4</f>
        <v/>
      </c>
      <c r="AS4" s="741">
        <f>'BP - Monthly'!AS4</f>
        <v/>
      </c>
      <c r="AT4" s="741">
        <f>'BP - Monthly'!AT4</f>
        <v/>
      </c>
      <c r="AU4" s="741">
        <f>'BP - Monthly'!AU4</f>
        <v/>
      </c>
      <c r="AV4" s="741">
        <f>'BP - Monthly'!AV4</f>
        <v/>
      </c>
      <c r="AW4" s="741">
        <f>'BP - Monthly'!AW4</f>
        <v/>
      </c>
      <c r="AX4" s="741">
        <f>'BP - Monthly'!AX4</f>
        <v/>
      </c>
      <c r="AY4" s="741">
        <f>'BP - Monthly'!AY4</f>
        <v/>
      </c>
      <c r="AZ4" s="741">
        <f>'BP - Monthly'!AZ4</f>
        <v/>
      </c>
      <c r="BA4" s="741">
        <f>'BP - Monthly'!BA4</f>
        <v/>
      </c>
      <c r="BB4" s="741">
        <f>'BP - Monthly'!BB4</f>
        <v/>
      </c>
      <c r="BC4" s="741">
        <f>'BP - Monthly'!BC4</f>
        <v/>
      </c>
      <c r="BD4" s="741">
        <f>'BP - Monthly'!BD4</f>
        <v/>
      </c>
      <c r="BE4" s="741">
        <f>'BP - Monthly'!BE4</f>
        <v/>
      </c>
      <c r="BF4" s="741">
        <f>'BP - Monthly'!BF4</f>
        <v/>
      </c>
      <c r="BG4" s="741">
        <f>'BP - Monthly'!BG4</f>
        <v/>
      </c>
      <c r="BH4" s="741">
        <f>'BP - Monthly'!BH4</f>
        <v/>
      </c>
      <c r="BI4" s="741">
        <f>'BP - Monthly'!BI4</f>
        <v/>
      </c>
      <c r="BJ4" s="741">
        <f>'BP - Monthly'!BJ4</f>
        <v/>
      </c>
      <c r="BK4" s="741">
        <f>'BP - Monthly'!BK4</f>
        <v/>
      </c>
      <c r="BL4" s="741">
        <f>'BP - Monthly'!BL4</f>
        <v/>
      </c>
      <c r="BM4" s="741">
        <f>'BP - Monthly'!BM4</f>
        <v/>
      </c>
      <c r="BN4" s="741">
        <f>'BP - Monthly'!BN4</f>
        <v/>
      </c>
    </row>
    <row r="5" ht="14.1" customHeight="1">
      <c r="C5" s="414" t="inlineStr">
        <is>
          <t>Managementvergoedingen</t>
        </is>
      </c>
      <c r="D5" s="425" t="n"/>
      <c r="E5" s="425" t="n"/>
      <c r="F5" s="426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  <c r="AX5" s="5" t="n"/>
      <c r="AY5" s="5" t="n"/>
      <c r="AZ5" s="5" t="n"/>
      <c r="BA5" s="5" t="n"/>
      <c r="BB5" s="5" t="n"/>
      <c r="BC5" s="5" t="n"/>
      <c r="BD5" s="5" t="n"/>
      <c r="BE5" s="5" t="n"/>
      <c r="BF5" s="5" t="n"/>
      <c r="BG5" s="5" t="n"/>
      <c r="BH5" s="5" t="n"/>
      <c r="BI5" s="5" t="n"/>
      <c r="BJ5" s="5" t="n"/>
      <c r="BK5" s="5" t="n"/>
      <c r="BL5" s="5" t="n"/>
      <c r="BM5" s="5" t="n"/>
      <c r="BN5" s="5" t="n"/>
    </row>
    <row r="6" ht="14.1" customHeight="1">
      <c r="C6" s="414" t="inlineStr">
        <is>
          <t>Huisvesting</t>
        </is>
      </c>
      <c r="D6" s="425" t="n"/>
      <c r="E6" s="425" t="n"/>
      <c r="F6" s="426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  <c r="AX6" s="5" t="n"/>
      <c r="AY6" s="5" t="n"/>
      <c r="AZ6" s="5" t="n"/>
      <c r="BA6" s="5" t="n"/>
      <c r="BB6" s="5" t="n"/>
      <c r="BC6" s="5" t="n"/>
      <c r="BD6" s="5" t="n"/>
      <c r="BE6" s="5" t="n"/>
      <c r="BF6" s="5" t="n"/>
      <c r="BG6" s="5" t="n"/>
      <c r="BH6" s="5" t="n"/>
      <c r="BI6" s="5" t="n"/>
      <c r="BJ6" s="5" t="n"/>
      <c r="BK6" s="5" t="n"/>
      <c r="BL6" s="5" t="n"/>
      <c r="BM6" s="5" t="n"/>
      <c r="BN6" s="5" t="n"/>
    </row>
    <row r="7" ht="14.1" customHeight="1">
      <c r="C7" s="414" t="inlineStr">
        <is>
          <t>Erelonen</t>
        </is>
      </c>
      <c r="D7" s="425" t="n"/>
      <c r="E7" s="425" t="n"/>
      <c r="F7" s="426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  <c r="BB7" s="5" t="n"/>
      <c r="BC7" s="5" t="n"/>
      <c r="BD7" s="5" t="n"/>
      <c r="BE7" s="5" t="n"/>
      <c r="BF7" s="5" t="n"/>
      <c r="BG7" s="5" t="n"/>
      <c r="BH7" s="5" t="n"/>
      <c r="BI7" s="5" t="n"/>
      <c r="BJ7" s="5" t="n"/>
      <c r="BK7" s="5" t="n"/>
      <c r="BL7" s="5" t="n"/>
      <c r="BM7" s="5" t="n"/>
      <c r="BN7" s="5" t="n"/>
    </row>
    <row r="8" ht="14.1" customHeight="1">
      <c r="C8" s="414" t="inlineStr">
        <is>
          <t>IT &amp; software</t>
        </is>
      </c>
      <c r="D8" s="425" t="n"/>
      <c r="E8" s="425" t="n"/>
      <c r="F8" s="426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  <c r="AX8" s="5" t="n"/>
      <c r="AY8" s="5" t="n"/>
      <c r="AZ8" s="5" t="n"/>
      <c r="BA8" s="5" t="n"/>
      <c r="BB8" s="5" t="n"/>
      <c r="BC8" s="5" t="n"/>
      <c r="BD8" s="5" t="n"/>
      <c r="BE8" s="5" t="n"/>
      <c r="BF8" s="5" t="n"/>
      <c r="BG8" s="5" t="n"/>
      <c r="BH8" s="5" t="n"/>
      <c r="BI8" s="5" t="n"/>
      <c r="BJ8" s="5" t="n"/>
      <c r="BK8" s="5" t="n"/>
      <c r="BL8" s="5" t="n"/>
      <c r="BM8" s="5" t="n"/>
      <c r="BN8" s="5" t="n"/>
    </row>
    <row r="9" ht="14.1" customHeight="1">
      <c r="C9" s="414" t="inlineStr">
        <is>
          <t>Personenwagens</t>
        </is>
      </c>
      <c r="D9" s="425" t="n"/>
      <c r="E9" s="425" t="n"/>
      <c r="F9" s="426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  <c r="AX9" s="5" t="n"/>
      <c r="AY9" s="5" t="n"/>
      <c r="AZ9" s="5" t="n"/>
      <c r="BA9" s="5" t="n"/>
      <c r="BB9" s="5" t="n"/>
      <c r="BC9" s="5" t="n"/>
      <c r="BD9" s="5" t="n"/>
      <c r="BE9" s="5" t="n"/>
      <c r="BF9" s="5" t="n"/>
      <c r="BG9" s="5" t="n"/>
      <c r="BH9" s="5" t="n"/>
      <c r="BI9" s="5" t="n"/>
      <c r="BJ9" s="5" t="n"/>
      <c r="BK9" s="5" t="n"/>
      <c r="BL9" s="5" t="n"/>
      <c r="BM9" s="5" t="n"/>
      <c r="BN9" s="5" t="n"/>
    </row>
    <row r="10" ht="14.1" customHeight="1">
      <c r="C10" s="414" t="inlineStr">
        <is>
          <t>Verzekeringen</t>
        </is>
      </c>
      <c r="D10" s="425" t="n"/>
      <c r="E10" s="425" t="n"/>
      <c r="F10" s="426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  <c r="AX10" s="5" t="n"/>
      <c r="AY10" s="5" t="n"/>
      <c r="AZ10" s="5" t="n"/>
      <c r="BA10" s="5" t="n"/>
      <c r="BB10" s="5" t="n"/>
      <c r="BC10" s="5" t="n"/>
      <c r="BD10" s="5" t="n"/>
      <c r="BE10" s="5" t="n"/>
      <c r="BF10" s="5" t="n"/>
      <c r="BG10" s="5" t="n"/>
      <c r="BH10" s="5" t="n"/>
      <c r="BI10" s="5" t="n"/>
      <c r="BJ10" s="5" t="n"/>
      <c r="BK10" s="5" t="n"/>
      <c r="BL10" s="5" t="n"/>
      <c r="BM10" s="5" t="n"/>
      <c r="BN10" s="5" t="n"/>
    </row>
    <row r="11" ht="14.1" customHeight="1">
      <c r="C11" s="414" t="inlineStr">
        <is>
          <t>Reiskosten</t>
        </is>
      </c>
      <c r="D11" s="425" t="n"/>
      <c r="E11" s="425" t="n"/>
      <c r="F11" s="426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  <c r="AX11" s="5" t="n"/>
      <c r="AY11" s="5" t="n"/>
      <c r="AZ11" s="5" t="n"/>
      <c r="BA11" s="5" t="n"/>
      <c r="BB11" s="5" t="n"/>
      <c r="BC11" s="5" t="n"/>
      <c r="BD11" s="5" t="n"/>
      <c r="BE11" s="5" t="n"/>
      <c r="BF11" s="5" t="n"/>
      <c r="BG11" s="5" t="n"/>
      <c r="BH11" s="5" t="n"/>
      <c r="BI11" s="5" t="n"/>
      <c r="BJ11" s="5" t="n"/>
      <c r="BK11" s="5" t="n"/>
      <c r="BL11" s="5" t="n"/>
      <c r="BM11" s="5" t="n"/>
      <c r="BN11" s="5" t="n"/>
    </row>
    <row r="12" ht="14.1" customHeight="1">
      <c r="C12" s="414" t="inlineStr">
        <is>
          <t>Marketing</t>
        </is>
      </c>
      <c r="D12" s="425" t="n"/>
      <c r="E12" s="425" t="n"/>
      <c r="F12" s="426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  <c r="AX12" s="5" t="n"/>
      <c r="AY12" s="5" t="n"/>
      <c r="AZ12" s="5" t="n"/>
      <c r="BA12" s="5" t="n"/>
      <c r="BB12" s="5" t="n"/>
      <c r="BC12" s="5" t="n"/>
      <c r="BD12" s="5" t="n"/>
      <c r="BE12" s="5" t="n"/>
      <c r="BF12" s="5" t="n"/>
      <c r="BG12" s="5" t="n"/>
      <c r="BH12" s="5" t="n"/>
      <c r="BI12" s="5" t="n"/>
      <c r="BJ12" s="5" t="n"/>
      <c r="BK12" s="5" t="n"/>
      <c r="BL12" s="5" t="n"/>
      <c r="BM12" s="5" t="n"/>
      <c r="BN12" s="5" t="n"/>
    </row>
    <row r="13" ht="14.1" customHeight="1">
      <c r="C13" s="414" t="inlineStr">
        <is>
          <t>R&amp;D</t>
        </is>
      </c>
      <c r="D13" s="425" t="n"/>
      <c r="E13" s="425" t="n"/>
      <c r="F13" s="426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  <c r="AX13" s="5" t="n"/>
      <c r="AY13" s="5" t="n"/>
      <c r="AZ13" s="5" t="n"/>
      <c r="BA13" s="5" t="n"/>
      <c r="BB13" s="5" t="n"/>
      <c r="BC13" s="5" t="n"/>
      <c r="BD13" s="5" t="n"/>
      <c r="BE13" s="5" t="n"/>
      <c r="BF13" s="5" t="n"/>
      <c r="BG13" s="5" t="n"/>
      <c r="BH13" s="5" t="n"/>
      <c r="BI13" s="5" t="n"/>
      <c r="BJ13" s="5" t="n"/>
      <c r="BK13" s="5" t="n"/>
      <c r="BL13" s="5" t="n"/>
      <c r="BM13" s="5" t="n"/>
      <c r="BN13" s="5" t="n"/>
    </row>
    <row r="14" ht="14.1" customHeight="1">
      <c r="C14" s="414" t="inlineStr">
        <is>
          <t>Overige administratieve kosten</t>
        </is>
      </c>
      <c r="D14" s="425" t="n"/>
      <c r="E14" s="425" t="n"/>
      <c r="F14" s="426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  <c r="AX14" s="5" t="n"/>
      <c r="AY14" s="5" t="n"/>
      <c r="AZ14" s="5" t="n"/>
      <c r="BA14" s="5" t="n"/>
      <c r="BB14" s="5" t="n"/>
      <c r="BC14" s="5" t="n"/>
      <c r="BD14" s="5" t="n"/>
      <c r="BE14" s="5" t="n"/>
      <c r="BF14" s="5" t="n"/>
      <c r="BG14" s="5" t="n"/>
      <c r="BH14" s="5" t="n"/>
      <c r="BI14" s="5" t="n"/>
      <c r="BJ14" s="5" t="n"/>
      <c r="BK14" s="5" t="n"/>
      <c r="BL14" s="5" t="n"/>
      <c r="BM14" s="5" t="n"/>
      <c r="BN14" s="5" t="n"/>
    </row>
    <row r="15" ht="14.1" customHeight="1">
      <c r="C15" s="417" t="inlineStr">
        <is>
          <t>Totaal D&amp;DG</t>
        </is>
      </c>
      <c r="D15" s="425" t="n"/>
      <c r="E15" s="425" t="n"/>
      <c r="F15" s="426" t="n"/>
      <c r="G15" s="420">
        <f>SUM(G5:G14)</f>
        <v/>
      </c>
      <c r="H15" s="420">
        <f>SUM(H5:H14)</f>
        <v/>
      </c>
      <c r="I15" s="420">
        <f>SUM(I5:I14)</f>
        <v/>
      </c>
      <c r="J15" s="420">
        <f>SUM(J5:J14)</f>
        <v/>
      </c>
      <c r="K15" s="420">
        <f>SUM(K5:K14)</f>
        <v/>
      </c>
      <c r="L15" s="420">
        <f>SUM(L5:L14)</f>
        <v/>
      </c>
      <c r="M15" s="420">
        <f>SUM(M5:M14)</f>
        <v/>
      </c>
      <c r="N15" s="420">
        <f>SUM(N5:N14)</f>
        <v/>
      </c>
      <c r="O15" s="420">
        <f>SUM(O5:O14)</f>
        <v/>
      </c>
      <c r="P15" s="420">
        <f>SUM(P5:P14)</f>
        <v/>
      </c>
      <c r="Q15" s="420">
        <f>SUM(Q5:Q14)</f>
        <v/>
      </c>
      <c r="R15" s="420">
        <f>SUM(R5:R14)</f>
        <v/>
      </c>
      <c r="S15" s="420">
        <f>SUM(S5:S14)</f>
        <v/>
      </c>
      <c r="T15" s="420">
        <f>SUM(T5:T14)</f>
        <v/>
      </c>
      <c r="U15" s="420">
        <f>SUM(U5:U14)</f>
        <v/>
      </c>
      <c r="V15" s="420">
        <f>SUM(V5:V14)</f>
        <v/>
      </c>
      <c r="W15" s="420">
        <f>SUM(W5:W14)</f>
        <v/>
      </c>
      <c r="X15" s="420">
        <f>SUM(X5:X14)</f>
        <v/>
      </c>
      <c r="Y15" s="420">
        <f>SUM(Y5:Y14)</f>
        <v/>
      </c>
      <c r="Z15" s="420">
        <f>SUM(Z5:Z14)</f>
        <v/>
      </c>
      <c r="AA15" s="420">
        <f>SUM(AA5:AA14)</f>
        <v/>
      </c>
      <c r="AB15" s="420">
        <f>SUM(AB5:AB14)</f>
        <v/>
      </c>
      <c r="AC15" s="420">
        <f>SUM(AC5:AC14)</f>
        <v/>
      </c>
      <c r="AD15" s="420">
        <f>SUM(AD5:AD14)</f>
        <v/>
      </c>
      <c r="AE15" s="420">
        <f>SUM(AE5:AE14)</f>
        <v/>
      </c>
      <c r="AF15" s="420">
        <f>SUM(AF5:AF14)</f>
        <v/>
      </c>
      <c r="AG15" s="420">
        <f>SUM(AG5:AG14)</f>
        <v/>
      </c>
      <c r="AH15" s="420">
        <f>SUM(AH5:AH14)</f>
        <v/>
      </c>
      <c r="AI15" s="420">
        <f>SUM(AI5:AI14)</f>
        <v/>
      </c>
      <c r="AJ15" s="420">
        <f>SUM(AJ5:AJ14)</f>
        <v/>
      </c>
      <c r="AK15" s="420">
        <f>SUM(AK5:AK14)</f>
        <v/>
      </c>
      <c r="AL15" s="420">
        <f>SUM(AL5:AL14)</f>
        <v/>
      </c>
      <c r="AM15" s="420">
        <f>SUM(AM5:AM14)</f>
        <v/>
      </c>
      <c r="AN15" s="420">
        <f>SUM(AN5:AN14)</f>
        <v/>
      </c>
      <c r="AO15" s="420">
        <f>SUM(AO5:AO14)</f>
        <v/>
      </c>
      <c r="AP15" s="420">
        <f>SUM(AP5:AP14)</f>
        <v/>
      </c>
      <c r="AQ15" s="420">
        <f>SUM(AQ5:AQ14)</f>
        <v/>
      </c>
      <c r="AR15" s="420">
        <f>SUM(AR5:AR14)</f>
        <v/>
      </c>
      <c r="AS15" s="420">
        <f>SUM(AS5:AS14)</f>
        <v/>
      </c>
      <c r="AT15" s="420">
        <f>SUM(AT5:AT14)</f>
        <v/>
      </c>
      <c r="AU15" s="420">
        <f>SUM(AU5:AU14)</f>
        <v/>
      </c>
      <c r="AV15" s="420">
        <f>SUM(AV5:AV14)</f>
        <v/>
      </c>
      <c r="AW15" s="420">
        <f>SUM(AW5:AW14)</f>
        <v/>
      </c>
      <c r="AX15" s="420">
        <f>SUM(AX5:AX14)</f>
        <v/>
      </c>
      <c r="AY15" s="420">
        <f>SUM(AY5:AY14)</f>
        <v/>
      </c>
      <c r="AZ15" s="420">
        <f>SUM(AZ5:AZ14)</f>
        <v/>
      </c>
      <c r="BA15" s="420">
        <f>SUM(BA5:BA14)</f>
        <v/>
      </c>
      <c r="BB15" s="420">
        <f>SUM(BB5:BB14)</f>
        <v/>
      </c>
      <c r="BC15" s="420">
        <f>SUM(BC5:BC14)</f>
        <v/>
      </c>
      <c r="BD15" s="420">
        <f>SUM(BD5:BD14)</f>
        <v/>
      </c>
      <c r="BE15" s="420">
        <f>SUM(BE5:BE14)</f>
        <v/>
      </c>
      <c r="BF15" s="420">
        <f>SUM(BF5:BF14)</f>
        <v/>
      </c>
      <c r="BG15" s="420">
        <f>SUM(BG5:BG14)</f>
        <v/>
      </c>
      <c r="BH15" s="420">
        <f>SUM(BH5:BH14)</f>
        <v/>
      </c>
      <c r="BI15" s="420">
        <f>SUM(BI5:BI14)</f>
        <v/>
      </c>
      <c r="BJ15" s="420">
        <f>SUM(BJ5:BJ14)</f>
        <v/>
      </c>
      <c r="BK15" s="420">
        <f>SUM(BK5:BK14)</f>
        <v/>
      </c>
      <c r="BL15" s="420">
        <f>SUM(BL5:BL14)</f>
        <v/>
      </c>
      <c r="BM15" s="420">
        <f>SUM(BM5:BM14)</f>
        <v/>
      </c>
      <c r="BN15" s="420">
        <f>SUM(BN5:BN14)</f>
        <v/>
      </c>
    </row>
    <row r="16" ht="14.1" customHeight="1">
      <c r="C16" s="417" t="n"/>
      <c r="D16" s="5" t="n"/>
      <c r="E16" s="5" t="n"/>
      <c r="F16" s="21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  <c r="AX16" s="5" t="n"/>
      <c r="AY16" s="5" t="n"/>
      <c r="AZ16" s="5" t="n"/>
      <c r="BA16" s="5" t="n"/>
      <c r="BB16" s="5" t="n"/>
      <c r="BC16" s="5" t="n"/>
      <c r="BD16" s="5" t="n"/>
      <c r="BE16" s="5" t="n"/>
      <c r="BF16" s="5" t="n"/>
      <c r="BG16" s="5" t="n"/>
      <c r="BH16" s="5" t="n"/>
      <c r="BI16" s="5" t="n"/>
      <c r="BJ16" s="5" t="n"/>
      <c r="BK16" s="5" t="n"/>
      <c r="BL16" s="5" t="n"/>
      <c r="BM16" s="5" t="n"/>
      <c r="BN16" s="5" t="n"/>
    </row>
    <row r="17" outlineLevel="1" ht="14.1" customHeight="1">
      <c r="A17" s="431">
        <f>SUM(G17:BN17)</f>
        <v/>
      </c>
      <c r="B17" s="430" t="inlineStr">
        <is>
          <t>Check</t>
        </is>
      </c>
      <c r="C17" s="417" t="n"/>
      <c r="D17" s="5" t="n"/>
      <c r="E17" s="5" t="n"/>
      <c r="F17" s="21" t="n"/>
      <c r="G17" s="8">
        <f>G15+'BP - Monthly'!G56</f>
        <v/>
      </c>
      <c r="H17" s="8">
        <f>H15+'BP - Monthly'!H56</f>
        <v/>
      </c>
      <c r="I17" s="8">
        <f>I15+'BP - Monthly'!I56</f>
        <v/>
      </c>
      <c r="J17" s="8">
        <f>J15+'BP - Monthly'!J56</f>
        <v/>
      </c>
      <c r="K17" s="8">
        <f>K15+'BP - Monthly'!K56</f>
        <v/>
      </c>
      <c r="L17" s="8">
        <f>L15+'BP - Monthly'!L56</f>
        <v/>
      </c>
      <c r="M17" s="8">
        <f>M15+'BP - Monthly'!M56</f>
        <v/>
      </c>
      <c r="N17" s="8">
        <f>N15+'BP - Monthly'!N56</f>
        <v/>
      </c>
      <c r="O17" s="8">
        <f>O15+'BP - Monthly'!O56</f>
        <v/>
      </c>
      <c r="P17" s="8">
        <f>P15+'BP - Monthly'!P56</f>
        <v/>
      </c>
      <c r="Q17" s="8">
        <f>Q15+'BP - Monthly'!Q56</f>
        <v/>
      </c>
      <c r="R17" s="8">
        <f>R15+'BP - Monthly'!R56</f>
        <v/>
      </c>
      <c r="S17" s="8">
        <f>S15+'BP - Monthly'!S56</f>
        <v/>
      </c>
      <c r="T17" s="8">
        <f>T15+'BP - Monthly'!T56</f>
        <v/>
      </c>
      <c r="U17" s="8">
        <f>U15+'BP - Monthly'!U56</f>
        <v/>
      </c>
      <c r="V17" s="8">
        <f>V15+'BP - Monthly'!V56</f>
        <v/>
      </c>
      <c r="W17" s="8">
        <f>W15+'BP - Monthly'!W56</f>
        <v/>
      </c>
      <c r="X17" s="8">
        <f>X15+'BP - Monthly'!X56</f>
        <v/>
      </c>
      <c r="Y17" s="8">
        <f>Y15+'BP - Monthly'!Y56</f>
        <v/>
      </c>
      <c r="Z17" s="8">
        <f>Z15+'BP - Monthly'!Z56</f>
        <v/>
      </c>
      <c r="AA17" s="8">
        <f>AA15+'BP - Monthly'!AA56</f>
        <v/>
      </c>
      <c r="AB17" s="8">
        <f>AB15+'BP - Monthly'!AB56</f>
        <v/>
      </c>
      <c r="AC17" s="8">
        <f>AC15+'BP - Monthly'!AC56</f>
        <v/>
      </c>
      <c r="AD17" s="8">
        <f>AD15+'BP - Monthly'!AD56</f>
        <v/>
      </c>
      <c r="AE17" s="8">
        <f>AE15+'BP - Monthly'!AE56</f>
        <v/>
      </c>
      <c r="AF17" s="8">
        <f>AF15+'BP - Monthly'!AF56</f>
        <v/>
      </c>
      <c r="AG17" s="8">
        <f>AG15+'BP - Monthly'!AG56</f>
        <v/>
      </c>
      <c r="AH17" s="8">
        <f>AH15+'BP - Monthly'!AH56</f>
        <v/>
      </c>
      <c r="AI17" s="8">
        <f>AI15+'BP - Monthly'!AI56</f>
        <v/>
      </c>
      <c r="AJ17" s="8">
        <f>AJ15+'BP - Monthly'!AJ56</f>
        <v/>
      </c>
      <c r="AK17" s="8">
        <f>AK15+'BP - Monthly'!AK56</f>
        <v/>
      </c>
      <c r="AL17" s="8">
        <f>AL15+'BP - Monthly'!AL56</f>
        <v/>
      </c>
      <c r="AM17" s="8">
        <f>AM15+'BP - Monthly'!AM56</f>
        <v/>
      </c>
      <c r="AN17" s="8">
        <f>AN15+'BP - Monthly'!AN56</f>
        <v/>
      </c>
      <c r="AO17" s="8">
        <f>AO15+'BP - Monthly'!AO56</f>
        <v/>
      </c>
      <c r="AP17" s="8">
        <f>AP15+'BP - Monthly'!AP56</f>
        <v/>
      </c>
      <c r="AQ17" s="8">
        <f>AQ15+'BP - Monthly'!AQ56</f>
        <v/>
      </c>
      <c r="AR17" s="8">
        <f>AR15+'BP - Monthly'!AR56</f>
        <v/>
      </c>
      <c r="AS17" s="8">
        <f>AS15+'BP - Monthly'!AS56</f>
        <v/>
      </c>
      <c r="AT17" s="8">
        <f>AT15+'BP - Monthly'!AT56</f>
        <v/>
      </c>
      <c r="AU17" s="8">
        <f>AU15+'BP - Monthly'!AU56</f>
        <v/>
      </c>
      <c r="AV17" s="8">
        <f>AV15+'BP - Monthly'!AV56</f>
        <v/>
      </c>
      <c r="AW17" s="8">
        <f>AW15+'BP - Monthly'!AW56</f>
        <v/>
      </c>
      <c r="AX17" s="8">
        <f>AX15+'BP - Monthly'!AX56</f>
        <v/>
      </c>
      <c r="AY17" s="8">
        <f>AY15+'BP - Monthly'!AY56</f>
        <v/>
      </c>
      <c r="AZ17" s="8">
        <f>AZ15+'BP - Monthly'!AZ56</f>
        <v/>
      </c>
      <c r="BA17" s="8">
        <f>BA15+'BP - Monthly'!BA56</f>
        <v/>
      </c>
      <c r="BB17" s="8">
        <f>BB15+'BP - Monthly'!BB56</f>
        <v/>
      </c>
      <c r="BC17" s="8">
        <f>BC15+'BP - Monthly'!BC56</f>
        <v/>
      </c>
      <c r="BD17" s="8">
        <f>BD15+'BP - Monthly'!BD56</f>
        <v/>
      </c>
      <c r="BE17" s="8">
        <f>BE15+'BP - Monthly'!BE56</f>
        <v/>
      </c>
      <c r="BF17" s="8">
        <f>BF15+'BP - Monthly'!BF56</f>
        <v/>
      </c>
      <c r="BG17" s="8">
        <f>BG15+'BP - Monthly'!BG56</f>
        <v/>
      </c>
      <c r="BH17" s="8">
        <f>BH15+'BP - Monthly'!BH56</f>
        <v/>
      </c>
      <c r="BI17" s="8">
        <f>BI15+'BP - Monthly'!BI56</f>
        <v/>
      </c>
      <c r="BJ17" s="8">
        <f>BJ15+'BP - Monthly'!BJ56</f>
        <v/>
      </c>
      <c r="BK17" s="8">
        <f>BK15+'BP - Monthly'!BK56</f>
        <v/>
      </c>
      <c r="BL17" s="8">
        <f>BL15+'BP - Monthly'!BL56</f>
        <v/>
      </c>
      <c r="BM17" s="8">
        <f>BM15+'BP - Monthly'!BM56</f>
        <v/>
      </c>
      <c r="BN17" s="8">
        <f>BN15+'BP - Monthly'!BN56</f>
        <v/>
      </c>
    </row>
    <row r="18" outlineLevel="1" ht="14.1" customHeight="1">
      <c r="A18" s="431">
        <f>SUM(G18:BN18)</f>
        <v/>
      </c>
      <c r="B18" s="430" t="inlineStr">
        <is>
          <t>Check</t>
        </is>
      </c>
      <c r="C18" s="417" t="n"/>
      <c r="D18" s="5" t="n"/>
      <c r="E18" s="5" t="n"/>
      <c r="F18" s="21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R18" s="8" t="n"/>
      <c r="AS18" s="8" t="n"/>
      <c r="AT18" s="8" t="n"/>
      <c r="AU18" s="8" t="n"/>
      <c r="AV18" s="8" t="n"/>
      <c r="AW18" s="8" t="n"/>
      <c r="AX18" s="8" t="n"/>
      <c r="AY18" s="8" t="n"/>
      <c r="AZ18" s="8" t="n"/>
      <c r="BA18" s="8" t="n"/>
      <c r="BB18" s="8" t="n"/>
      <c r="BC18" s="8" t="n"/>
      <c r="BD18" s="8" t="n"/>
      <c r="BE18" s="8" t="n"/>
      <c r="BF18" s="8" t="n"/>
      <c r="BG18" s="8" t="n"/>
      <c r="BH18" s="8" t="n"/>
      <c r="BI18" s="8" t="n"/>
      <c r="BJ18" s="8" t="n"/>
      <c r="BK18" s="8" t="n"/>
      <c r="BL18" s="8" t="n"/>
      <c r="BM18" s="8" t="n"/>
      <c r="BN18" s="8" t="n"/>
    </row>
    <row r="20">
      <c r="C20" s="406">
        <f>"Analyse D&amp;DG - jaarlijks - "&amp;Historiek!A2</f>
        <v/>
      </c>
      <c r="D20" s="407" t="n"/>
      <c r="E20" s="407" t="n"/>
      <c r="F20" s="13" t="n"/>
      <c r="G20" s="407" t="n"/>
      <c r="H20" s="407" t="n"/>
      <c r="I20" s="407" t="n"/>
      <c r="J20" s="3" t="n"/>
    </row>
    <row r="21">
      <c r="C21" s="738">
        <f>'BP - Annual'!C4</f>
        <v/>
      </c>
      <c r="D21" s="741">
        <f>'BP - Annual'!D4</f>
        <v/>
      </c>
      <c r="E21" s="741">
        <f>'BP - Annual'!E4</f>
        <v/>
      </c>
      <c r="F21" s="743">
        <f>'BP - Annual'!F4</f>
        <v/>
      </c>
      <c r="G21" s="741">
        <f>'BP - Annual'!G4</f>
        <v/>
      </c>
      <c r="H21" s="741">
        <f>'BP - Annual'!H4</f>
        <v/>
      </c>
      <c r="I21" s="741">
        <f>'BP - Annual'!I4</f>
        <v/>
      </c>
      <c r="J21" s="741">
        <f>'BP - Annual'!J4</f>
        <v/>
      </c>
      <c r="K21" s="741">
        <f>'BP - Annual'!K4</f>
        <v/>
      </c>
    </row>
    <row r="22">
      <c r="C22" s="414" t="inlineStr">
        <is>
          <t>Managementvergoedingen</t>
        </is>
      </c>
      <c r="D22" s="425" t="n"/>
      <c r="E22" s="425" t="n"/>
      <c r="F22" s="426" t="n"/>
      <c r="G22" s="5">
        <f>SUM(G5:R5)</f>
        <v/>
      </c>
      <c r="H22" s="5">
        <f>SUM(S5:AD5)</f>
        <v/>
      </c>
      <c r="I22" s="5">
        <f>SUM(AE5:AP5)</f>
        <v/>
      </c>
      <c r="J22" s="5">
        <f>SUM(AQ5:BB5)</f>
        <v/>
      </c>
      <c r="K22" s="5">
        <f>SUM(BC5:BN5)</f>
        <v/>
      </c>
    </row>
    <row r="23">
      <c r="C23" s="414" t="inlineStr">
        <is>
          <t>Huisvesting</t>
        </is>
      </c>
      <c r="D23" s="425" t="n"/>
      <c r="E23" s="425" t="n"/>
      <c r="F23" s="426" t="n"/>
      <c r="G23" s="5">
        <f>SUM(G6:R6)</f>
        <v/>
      </c>
      <c r="H23" s="5">
        <f>SUM(S6:AD6)</f>
        <v/>
      </c>
      <c r="I23" s="5">
        <f>SUM(AE6:AP6)</f>
        <v/>
      </c>
      <c r="J23" s="5">
        <f>SUM(AQ6:BB6)</f>
        <v/>
      </c>
      <c r="K23" s="5">
        <f>SUM(BC6:BN6)</f>
        <v/>
      </c>
    </row>
    <row r="24">
      <c r="C24" s="414" t="inlineStr">
        <is>
          <t>Erelonen</t>
        </is>
      </c>
      <c r="D24" s="425" t="n"/>
      <c r="E24" s="425" t="n"/>
      <c r="F24" s="426" t="n"/>
      <c r="G24" s="5">
        <f>SUM(G7:R7)</f>
        <v/>
      </c>
      <c r="H24" s="5">
        <f>SUM(S7:AD7)</f>
        <v/>
      </c>
      <c r="I24" s="5">
        <f>SUM(AE7:AP7)</f>
        <v/>
      </c>
      <c r="J24" s="5">
        <f>SUM(AQ7:BB7)</f>
        <v/>
      </c>
      <c r="K24" s="5">
        <f>SUM(BC7:BN7)</f>
        <v/>
      </c>
    </row>
    <row r="25">
      <c r="C25" s="414" t="inlineStr">
        <is>
          <t>IT &amp; software</t>
        </is>
      </c>
      <c r="D25" s="425" t="n"/>
      <c r="E25" s="425" t="n"/>
      <c r="F25" s="426" t="n"/>
      <c r="G25" s="5">
        <f>SUM(G8:R8)</f>
        <v/>
      </c>
      <c r="H25" s="5">
        <f>SUM(S8:AD8)</f>
        <v/>
      </c>
      <c r="I25" s="5">
        <f>SUM(AE8:AP8)</f>
        <v/>
      </c>
      <c r="J25" s="5">
        <f>SUM(AQ8:BB8)</f>
        <v/>
      </c>
      <c r="K25" s="5">
        <f>SUM(BC8:BN8)</f>
        <v/>
      </c>
    </row>
    <row r="26">
      <c r="C26" s="414" t="inlineStr">
        <is>
          <t>Personenwagens</t>
        </is>
      </c>
      <c r="D26" s="425" t="n"/>
      <c r="E26" s="425" t="n"/>
      <c r="F26" s="426" t="n"/>
      <c r="G26" s="5">
        <f>SUM(G9:R9)</f>
        <v/>
      </c>
      <c r="H26" s="5">
        <f>SUM(S9:AD9)</f>
        <v/>
      </c>
      <c r="I26" s="5">
        <f>SUM(AE9:AP9)</f>
        <v/>
      </c>
      <c r="J26" s="5">
        <f>SUM(AQ9:BB9)</f>
        <v/>
      </c>
      <c r="K26" s="5">
        <f>SUM(BC9:BN9)</f>
        <v/>
      </c>
    </row>
    <row r="27">
      <c r="C27" s="414" t="inlineStr">
        <is>
          <t>Verzekeringen</t>
        </is>
      </c>
      <c r="D27" s="425" t="n"/>
      <c r="E27" s="425" t="n"/>
      <c r="F27" s="426" t="n"/>
      <c r="G27" s="5">
        <f>SUM(G10:R10)</f>
        <v/>
      </c>
      <c r="H27" s="5">
        <f>SUM(S10:AD10)</f>
        <v/>
      </c>
      <c r="I27" s="5">
        <f>SUM(AE10:AP10)</f>
        <v/>
      </c>
      <c r="J27" s="5">
        <f>SUM(AQ10:BB10)</f>
        <v/>
      </c>
      <c r="K27" s="5">
        <f>SUM(BC10:BN10)</f>
        <v/>
      </c>
    </row>
    <row r="28">
      <c r="C28" s="414" t="inlineStr">
        <is>
          <t>Reiskosten</t>
        </is>
      </c>
      <c r="D28" s="425" t="n"/>
      <c r="E28" s="425" t="n"/>
      <c r="F28" s="426" t="n"/>
      <c r="G28" s="5">
        <f>SUM(G11:R11)</f>
        <v/>
      </c>
      <c r="H28" s="5">
        <f>SUM(S11:AD11)</f>
        <v/>
      </c>
      <c r="I28" s="5">
        <f>SUM(AE11:AP11)</f>
        <v/>
      </c>
      <c r="J28" s="5">
        <f>SUM(AQ11:BB11)</f>
        <v/>
      </c>
      <c r="K28" s="5">
        <f>SUM(BC11:BN11)</f>
        <v/>
      </c>
    </row>
    <row r="29">
      <c r="C29" s="414" t="inlineStr">
        <is>
          <t>Marketing</t>
        </is>
      </c>
      <c r="D29" s="425" t="n"/>
      <c r="E29" s="425" t="n"/>
      <c r="F29" s="426" t="n"/>
      <c r="G29" s="5">
        <f>SUM(G12:R12)</f>
        <v/>
      </c>
      <c r="H29" s="5">
        <f>SUM(S12:AD12)</f>
        <v/>
      </c>
      <c r="I29" s="5">
        <f>SUM(AE12:AP12)</f>
        <v/>
      </c>
      <c r="J29" s="5">
        <f>SUM(AQ12:BB12)</f>
        <v/>
      </c>
      <c r="K29" s="5">
        <f>SUM(BC12:BN12)</f>
        <v/>
      </c>
    </row>
    <row r="30">
      <c r="C30" s="414" t="inlineStr">
        <is>
          <t>R&amp;D</t>
        </is>
      </c>
      <c r="D30" s="425" t="n"/>
      <c r="E30" s="425" t="n"/>
      <c r="F30" s="426" t="n"/>
      <c r="G30" s="5">
        <f>SUM(G13:R13)</f>
        <v/>
      </c>
      <c r="H30" s="5">
        <f>SUM(S13:AD13)</f>
        <v/>
      </c>
      <c r="I30" s="5">
        <f>SUM(AE13:AP13)</f>
        <v/>
      </c>
      <c r="J30" s="5">
        <f>SUM(AQ13:BB13)</f>
        <v/>
      </c>
      <c r="K30" s="5">
        <f>SUM(BC13:BN13)</f>
        <v/>
      </c>
    </row>
    <row r="31">
      <c r="C31" s="414" t="inlineStr">
        <is>
          <t>Overige administratieve kosten</t>
        </is>
      </c>
      <c r="D31" s="425" t="n"/>
      <c r="E31" s="425" t="n"/>
      <c r="F31" s="426" t="n"/>
      <c r="G31" s="5">
        <f>SUM(G14:R14)</f>
        <v/>
      </c>
      <c r="H31" s="5">
        <f>SUM(S14:AD14)</f>
        <v/>
      </c>
      <c r="I31" s="5">
        <f>SUM(AE14:AP14)</f>
        <v/>
      </c>
      <c r="J31" s="5">
        <f>SUM(AQ14:BB14)</f>
        <v/>
      </c>
      <c r="K31" s="5">
        <f>SUM(BC14:BN14)</f>
        <v/>
      </c>
    </row>
    <row r="32">
      <c r="C32" s="417" t="inlineStr">
        <is>
          <t>Totaal D&amp;DG</t>
        </is>
      </c>
      <c r="D32" s="425" t="n"/>
      <c r="E32" s="425" t="n"/>
      <c r="F32" s="426" t="n"/>
      <c r="G32" s="420">
        <f>SUM(G22:G31)</f>
        <v/>
      </c>
      <c r="H32" s="420">
        <f>SUM(H22:H31)</f>
        <v/>
      </c>
      <c r="I32" s="420">
        <f>SUM(I22:I31)</f>
        <v/>
      </c>
      <c r="J32" s="420">
        <f>SUM(J22:J31)</f>
        <v/>
      </c>
      <c r="K32" s="420">
        <f>SUM(K22:K31)</f>
        <v/>
      </c>
    </row>
    <row r="33">
      <c r="G33" s="5" t="n"/>
      <c r="H33" s="5" t="n"/>
      <c r="I33" s="5" t="n"/>
      <c r="J33" s="5" t="n"/>
      <c r="K33" s="5" t="n"/>
    </row>
    <row r="34" outlineLevel="1">
      <c r="A34" s="431">
        <f>SUM(G34:BN34)</f>
        <v/>
      </c>
      <c r="B34" s="430" t="inlineStr">
        <is>
          <t>Check</t>
        </is>
      </c>
      <c r="C34" s="417" t="n"/>
      <c r="D34" s="5" t="n"/>
      <c r="E34" s="5" t="n"/>
      <c r="F34" s="21" t="n"/>
      <c r="G34" s="8">
        <f>G32+'BP - Annual'!G56</f>
        <v/>
      </c>
      <c r="H34" s="8">
        <f>H32+'BP - Annual'!H56</f>
        <v/>
      </c>
      <c r="I34" s="8">
        <f>I32+'BP - Annual'!I56</f>
        <v/>
      </c>
      <c r="J34" s="8">
        <f>J32+'BP - Annual'!J56</f>
        <v/>
      </c>
      <c r="K34" s="8">
        <f>K32+'BP - Annual'!K56</f>
        <v/>
      </c>
    </row>
    <row r="35" outlineLevel="1">
      <c r="A35" s="431">
        <f>SUM(G35:BN35)</f>
        <v/>
      </c>
      <c r="B35" s="430" t="inlineStr">
        <is>
          <t>Check</t>
        </is>
      </c>
      <c r="C35" s="417" t="n"/>
      <c r="D35" s="5" t="n"/>
      <c r="E35" s="5" t="n"/>
      <c r="F35" s="21" t="n"/>
      <c r="G35" s="8" t="n"/>
      <c r="H35" s="8" t="n"/>
      <c r="I35" s="8" t="n"/>
      <c r="J35" s="8" t="n"/>
      <c r="K35" s="8" t="n"/>
    </row>
  </sheetData>
  <pageMargins left="0.7" right="0.7" top="0.75" bottom="0.75" header="0.3" footer="0.3"/>
  <pageSetup orientation="portrait" paperSize="9" verticalDpi="0"/>
</worksheet>
</file>

<file path=xl/worksheets/sheet14.xml><?xml version="1.0" encoding="utf-8"?>
<worksheet xmlns="http://schemas.openxmlformats.org/spreadsheetml/2006/main">
  <sheetPr>
    <tabColor theme="4" tint="0.7999816888943144"/>
    <outlinePr summaryBelow="1" summaryRight="1"/>
    <pageSetUpPr/>
  </sheetPr>
  <dimension ref="A1:BN193"/>
  <sheetViews>
    <sheetView showGridLines="0" zoomScaleNormal="100" workbookViewId="0">
      <selection activeCell="U34" sqref="U34"/>
    </sheetView>
  </sheetViews>
  <sheetFormatPr baseColWidth="8" defaultColWidth="0" defaultRowHeight="13.2" outlineLevelRow="1"/>
  <cols>
    <col width="9.109375" customWidth="1" style="497" min="1" max="2"/>
    <col width="24.88671875" customWidth="1" style="497" min="3" max="3"/>
    <col width="9.33203125" customWidth="1" style="497" min="4" max="7"/>
    <col width="9.33203125" customWidth="1" style="498" min="8" max="8"/>
    <col width="9.33203125" customWidth="1" style="497" min="9" max="67"/>
    <col hidden="1" width="9.33203125" customWidth="1" style="497" min="68" max="16384"/>
  </cols>
  <sheetData>
    <row r="1">
      <c r="A1" s="1">
        <f>SUM(A2:A200)</f>
        <v/>
      </c>
    </row>
    <row r="3">
      <c r="C3" s="500">
        <f>"Evolutie # FTE's - "&amp;Historiek!A2</f>
        <v/>
      </c>
      <c r="D3" s="500" t="n"/>
      <c r="E3" s="500" t="n"/>
      <c r="F3" s="500" t="n"/>
      <c r="H3" s="497" t="n"/>
    </row>
    <row r="4">
      <c r="C4" s="753">
        <f>'BP - Monthly'!C4</f>
        <v/>
      </c>
      <c r="D4" s="741">
        <f>'BP - Monthly'!D4</f>
        <v/>
      </c>
      <c r="E4" s="741">
        <f>'BP - Monthly'!E4</f>
        <v/>
      </c>
      <c r="F4" s="743">
        <f>'BP - Monthly'!F4</f>
        <v/>
      </c>
      <c r="G4" s="756">
        <f>'BP - Monthly'!G4</f>
        <v/>
      </c>
      <c r="H4" s="751">
        <f>'BP - Monthly'!H4</f>
        <v/>
      </c>
      <c r="I4" s="751">
        <f>'BP - Monthly'!I4</f>
        <v/>
      </c>
      <c r="J4" s="757">
        <f>'BP - Monthly'!J4</f>
        <v/>
      </c>
      <c r="K4" s="756">
        <f>'BP - Monthly'!K4</f>
        <v/>
      </c>
      <c r="L4" s="756">
        <f>'BP - Monthly'!L4</f>
        <v/>
      </c>
      <c r="M4" s="756">
        <f>'BP - Monthly'!M4</f>
        <v/>
      </c>
      <c r="N4" s="756">
        <f>'BP - Monthly'!N4</f>
        <v/>
      </c>
      <c r="O4" s="756">
        <f>'BP - Monthly'!O4</f>
        <v/>
      </c>
      <c r="P4" s="756">
        <f>'BP - Monthly'!P4</f>
        <v/>
      </c>
      <c r="Q4" s="756">
        <f>'BP - Monthly'!Q4</f>
        <v/>
      </c>
      <c r="R4" s="756">
        <f>'BP - Monthly'!R4</f>
        <v/>
      </c>
      <c r="S4" s="756">
        <f>'BP - Monthly'!S4</f>
        <v/>
      </c>
      <c r="T4" s="751">
        <f>'BP - Monthly'!T4</f>
        <v/>
      </c>
      <c r="U4" s="751">
        <f>'BP - Monthly'!U4</f>
        <v/>
      </c>
      <c r="V4" s="757">
        <f>'BP - Monthly'!V4</f>
        <v/>
      </c>
      <c r="W4" s="756">
        <f>'BP - Monthly'!W4</f>
        <v/>
      </c>
      <c r="X4" s="756">
        <f>'BP - Monthly'!X4</f>
        <v/>
      </c>
      <c r="Y4" s="756">
        <f>'BP - Monthly'!Y4</f>
        <v/>
      </c>
      <c r="Z4" s="756">
        <f>'BP - Monthly'!Z4</f>
        <v/>
      </c>
      <c r="AA4" s="756">
        <f>'BP - Monthly'!AA4</f>
        <v/>
      </c>
      <c r="AB4" s="756">
        <f>'BP - Monthly'!AB4</f>
        <v/>
      </c>
      <c r="AC4" s="756">
        <f>'BP - Monthly'!AC4</f>
        <v/>
      </c>
      <c r="AD4" s="756">
        <f>'BP - Monthly'!AD4</f>
        <v/>
      </c>
      <c r="AE4" s="756">
        <f>'BP - Monthly'!AE4</f>
        <v/>
      </c>
      <c r="AF4" s="751">
        <f>'BP - Monthly'!AF4</f>
        <v/>
      </c>
      <c r="AG4" s="751">
        <f>'BP - Monthly'!AG4</f>
        <v/>
      </c>
      <c r="AH4" s="757">
        <f>'BP - Monthly'!AH4</f>
        <v/>
      </c>
      <c r="AI4" s="756">
        <f>'BP - Monthly'!AI4</f>
        <v/>
      </c>
      <c r="AJ4" s="756">
        <f>'BP - Monthly'!AJ4</f>
        <v/>
      </c>
      <c r="AK4" s="756">
        <f>'BP - Monthly'!AK4</f>
        <v/>
      </c>
      <c r="AL4" s="756">
        <f>'BP - Monthly'!AL4</f>
        <v/>
      </c>
      <c r="AM4" s="756">
        <f>'BP - Monthly'!AM4</f>
        <v/>
      </c>
      <c r="AN4" s="756">
        <f>'BP - Monthly'!AN4</f>
        <v/>
      </c>
      <c r="AO4" s="756">
        <f>'BP - Monthly'!AO4</f>
        <v/>
      </c>
      <c r="AP4" s="756">
        <f>'BP - Monthly'!AP4</f>
        <v/>
      </c>
      <c r="AQ4" s="756">
        <f>'BP - Monthly'!AQ4</f>
        <v/>
      </c>
      <c r="AR4" s="751">
        <f>'BP - Monthly'!AR4</f>
        <v/>
      </c>
      <c r="AS4" s="751">
        <f>'BP - Monthly'!AS4</f>
        <v/>
      </c>
      <c r="AT4" s="757">
        <f>'BP - Monthly'!AT4</f>
        <v/>
      </c>
      <c r="AU4" s="756">
        <f>'BP - Monthly'!AU4</f>
        <v/>
      </c>
      <c r="AV4" s="756">
        <f>'BP - Monthly'!AV4</f>
        <v/>
      </c>
      <c r="AW4" s="756">
        <f>'BP - Monthly'!AW4</f>
        <v/>
      </c>
      <c r="AX4" s="756">
        <f>'BP - Monthly'!AX4</f>
        <v/>
      </c>
      <c r="AY4" s="756">
        <f>'BP - Monthly'!AY4</f>
        <v/>
      </c>
      <c r="AZ4" s="756">
        <f>'BP - Monthly'!AZ4</f>
        <v/>
      </c>
      <c r="BA4" s="756">
        <f>'BP - Monthly'!BA4</f>
        <v/>
      </c>
      <c r="BB4" s="756">
        <f>'BP - Monthly'!BB4</f>
        <v/>
      </c>
      <c r="BC4" s="756">
        <f>'BP - Monthly'!BC4</f>
        <v/>
      </c>
      <c r="BD4" s="756">
        <f>'BP - Monthly'!BD4</f>
        <v/>
      </c>
      <c r="BE4" s="756">
        <f>'BP - Monthly'!BE4</f>
        <v/>
      </c>
      <c r="BF4" s="756">
        <f>'BP - Monthly'!BF4</f>
        <v/>
      </c>
      <c r="BG4" s="756">
        <f>'BP - Monthly'!BG4</f>
        <v/>
      </c>
      <c r="BH4" s="756">
        <f>'BP - Monthly'!BH4</f>
        <v/>
      </c>
      <c r="BI4" s="756">
        <f>'BP - Monthly'!BI4</f>
        <v/>
      </c>
      <c r="BJ4" s="756">
        <f>'BP - Monthly'!BJ4</f>
        <v/>
      </c>
      <c r="BK4" s="756">
        <f>'BP - Monthly'!BK4</f>
        <v/>
      </c>
      <c r="BL4" s="756">
        <f>'BP - Monthly'!BL4</f>
        <v/>
      </c>
      <c r="BM4" s="756">
        <f>'BP - Monthly'!BM4</f>
        <v/>
      </c>
      <c r="BN4" s="756">
        <f>'BP - Monthly'!BN4</f>
        <v/>
      </c>
    </row>
    <row r="5">
      <c r="C5" s="497" t="inlineStr">
        <is>
          <t>Management</t>
        </is>
      </c>
      <c r="D5" s="5" t="n"/>
      <c r="E5" s="5" t="n"/>
      <c r="F5" s="21" t="n"/>
      <c r="G5" s="509" t="n"/>
      <c r="H5" s="509" t="n"/>
      <c r="I5" s="509" t="n"/>
      <c r="J5" s="509" t="n"/>
      <c r="K5" s="509" t="n"/>
      <c r="L5" s="509" t="n"/>
      <c r="M5" s="509" t="n"/>
      <c r="N5" s="509" t="n"/>
      <c r="O5" s="509" t="n"/>
      <c r="P5" s="509" t="n"/>
      <c r="Q5" s="509" t="n"/>
      <c r="R5" s="509" t="n"/>
      <c r="S5" s="509" t="n"/>
      <c r="T5" s="509" t="n"/>
      <c r="U5" s="509" t="n"/>
      <c r="V5" s="509" t="n"/>
      <c r="W5" s="509" t="n"/>
      <c r="X5" s="509" t="n"/>
      <c r="Y5" s="509" t="n"/>
      <c r="Z5" s="509" t="n"/>
      <c r="AA5" s="509" t="n"/>
      <c r="AB5" s="509" t="n"/>
      <c r="AC5" s="509" t="n"/>
      <c r="AD5" s="509" t="n"/>
      <c r="AE5" s="509" t="n"/>
      <c r="AF5" s="509" t="n"/>
      <c r="AG5" s="509" t="n"/>
      <c r="AH5" s="509" t="n"/>
      <c r="AI5" s="509" t="n"/>
      <c r="AJ5" s="509" t="n"/>
      <c r="AK5" s="509" t="n"/>
      <c r="AL5" s="509" t="n"/>
      <c r="AM5" s="509" t="n"/>
      <c r="AN5" s="509" t="n"/>
      <c r="AO5" s="509" t="n"/>
      <c r="AP5" s="509" t="n"/>
      <c r="AQ5" s="509" t="n"/>
      <c r="AR5" s="509" t="n"/>
      <c r="AS5" s="509" t="n"/>
      <c r="AT5" s="509" t="n"/>
      <c r="AU5" s="509" t="n"/>
      <c r="AV5" s="509" t="n"/>
      <c r="AW5" s="509" t="n"/>
      <c r="AX5" s="509" t="n"/>
      <c r="AY5" s="509" t="n"/>
      <c r="AZ5" s="509" t="n"/>
      <c r="BA5" s="509" t="n"/>
      <c r="BB5" s="509" t="n"/>
    </row>
    <row r="6">
      <c r="C6" s="497" t="inlineStr">
        <is>
          <t>Sales</t>
        </is>
      </c>
      <c r="D6" s="5" t="n"/>
      <c r="E6" s="5" t="n"/>
      <c r="F6" s="21" t="n"/>
      <c r="G6" s="509" t="n"/>
      <c r="H6" s="509" t="n"/>
      <c r="I6" s="509" t="n"/>
      <c r="J6" s="509" t="n"/>
      <c r="K6" s="509" t="n"/>
      <c r="L6" s="509" t="n"/>
      <c r="M6" s="509" t="n"/>
      <c r="N6" s="509" t="n"/>
      <c r="O6" s="509" t="n"/>
      <c r="P6" s="509" t="n"/>
      <c r="Q6" s="509" t="n"/>
      <c r="R6" s="509" t="n"/>
      <c r="S6" s="509" t="n"/>
      <c r="T6" s="509" t="n"/>
      <c r="U6" s="509" t="n"/>
      <c r="V6" s="509" t="n"/>
      <c r="W6" s="509" t="n"/>
      <c r="X6" s="509" t="n"/>
      <c r="Y6" s="509" t="n"/>
      <c r="Z6" s="509" t="n"/>
      <c r="AA6" s="509" t="n"/>
      <c r="AB6" s="509" t="n"/>
      <c r="AC6" s="509" t="n"/>
      <c r="AD6" s="509" t="n"/>
      <c r="AE6" s="509" t="n"/>
      <c r="AF6" s="509" t="n"/>
      <c r="AG6" s="509" t="n"/>
      <c r="AH6" s="509" t="n"/>
      <c r="AI6" s="509" t="n"/>
      <c r="AJ6" s="509" t="n"/>
      <c r="AK6" s="509" t="n"/>
      <c r="AL6" s="509" t="n"/>
      <c r="AM6" s="509" t="n"/>
      <c r="AN6" s="509" t="n"/>
      <c r="AO6" s="509" t="n"/>
      <c r="AP6" s="509" t="n"/>
      <c r="AQ6" s="509" t="n"/>
      <c r="AR6" s="509" t="n"/>
      <c r="AS6" s="509" t="n"/>
      <c r="AT6" s="509" t="n"/>
      <c r="AU6" s="509" t="n"/>
      <c r="AV6" s="509" t="n"/>
      <c r="AW6" s="509" t="n"/>
      <c r="AX6" s="509" t="n"/>
      <c r="AY6" s="509" t="n"/>
      <c r="AZ6" s="509" t="n"/>
      <c r="BA6" s="509" t="n"/>
      <c r="BB6" s="509" t="n"/>
    </row>
    <row r="7">
      <c r="C7" s="497" t="inlineStr">
        <is>
          <t>R&amp;D</t>
        </is>
      </c>
      <c r="D7" s="5" t="n"/>
      <c r="E7" s="5" t="n"/>
      <c r="F7" s="21" t="n"/>
      <c r="G7" s="509" t="n"/>
      <c r="H7" s="509" t="n"/>
      <c r="I7" s="509" t="n"/>
      <c r="J7" s="509" t="n"/>
      <c r="K7" s="509" t="n"/>
      <c r="L7" s="509" t="n"/>
      <c r="M7" s="509" t="n"/>
      <c r="N7" s="509" t="n"/>
      <c r="O7" s="509" t="n"/>
      <c r="P7" s="509" t="n"/>
      <c r="Q7" s="509" t="n"/>
      <c r="R7" s="509" t="n"/>
      <c r="S7" s="509" t="n"/>
      <c r="T7" s="509" t="n"/>
      <c r="U7" s="509" t="n"/>
      <c r="V7" s="509" t="n"/>
      <c r="W7" s="509" t="n"/>
      <c r="X7" s="509" t="n"/>
      <c r="Y7" s="509" t="n"/>
      <c r="Z7" s="509" t="n"/>
      <c r="AA7" s="509" t="n"/>
      <c r="AB7" s="509" t="n"/>
      <c r="AC7" s="509" t="n"/>
      <c r="AD7" s="509" t="n"/>
      <c r="AE7" s="509" t="n"/>
      <c r="AF7" s="509" t="n"/>
      <c r="AG7" s="509" t="n"/>
      <c r="AH7" s="509" t="n"/>
      <c r="AI7" s="509" t="n"/>
      <c r="AJ7" s="509" t="n"/>
      <c r="AK7" s="509" t="n"/>
      <c r="AL7" s="509" t="n"/>
      <c r="AM7" s="509" t="n"/>
      <c r="AN7" s="509" t="n"/>
      <c r="AO7" s="509" t="n"/>
      <c r="AP7" s="509" t="n"/>
      <c r="AQ7" s="509" t="n"/>
      <c r="AR7" s="509" t="n"/>
      <c r="AS7" s="509" t="n"/>
      <c r="AT7" s="509" t="n"/>
      <c r="AU7" s="509" t="n"/>
      <c r="AV7" s="509" t="n"/>
      <c r="AW7" s="509" t="n"/>
      <c r="AX7" s="509" t="n"/>
      <c r="AY7" s="509" t="n"/>
      <c r="AZ7" s="509" t="n"/>
      <c r="BA7" s="509" t="n"/>
      <c r="BB7" s="509" t="n"/>
    </row>
    <row r="8">
      <c r="C8" s="497" t="inlineStr">
        <is>
          <t>Finance</t>
        </is>
      </c>
      <c r="D8" s="5" t="n"/>
      <c r="E8" s="5" t="n"/>
      <c r="F8" s="21" t="n"/>
      <c r="G8" s="509" t="n"/>
      <c r="H8" s="509" t="n"/>
      <c r="I8" s="509" t="n"/>
      <c r="J8" s="509" t="n"/>
      <c r="K8" s="509" t="n"/>
      <c r="L8" s="509" t="n"/>
      <c r="M8" s="509" t="n"/>
      <c r="N8" s="509" t="n"/>
      <c r="O8" s="509" t="n"/>
      <c r="P8" s="509" t="n"/>
      <c r="Q8" s="509" t="n"/>
      <c r="R8" s="509" t="n"/>
      <c r="S8" s="509" t="n"/>
      <c r="T8" s="509" t="n"/>
      <c r="U8" s="509" t="n"/>
      <c r="V8" s="509" t="n"/>
      <c r="W8" s="509" t="n"/>
      <c r="X8" s="509" t="n"/>
      <c r="Y8" s="509" t="n"/>
      <c r="Z8" s="509" t="n"/>
      <c r="AA8" s="509" t="n"/>
      <c r="AB8" s="509" t="n"/>
      <c r="AC8" s="509" t="n"/>
      <c r="AD8" s="509" t="n"/>
      <c r="AE8" s="509" t="n"/>
      <c r="AF8" s="509" t="n"/>
      <c r="AG8" s="509" t="n"/>
      <c r="AH8" s="509" t="n"/>
      <c r="AI8" s="509" t="n"/>
      <c r="AJ8" s="509" t="n"/>
      <c r="AK8" s="509" t="n"/>
      <c r="AL8" s="509" t="n"/>
      <c r="AM8" s="509" t="n"/>
      <c r="AN8" s="509" t="n"/>
      <c r="AO8" s="509" t="n"/>
      <c r="AP8" s="509" t="n"/>
      <c r="AQ8" s="509" t="n"/>
      <c r="AR8" s="509" t="n"/>
      <c r="AS8" s="509" t="n"/>
      <c r="AT8" s="509" t="n"/>
      <c r="AU8" s="509" t="n"/>
      <c r="AV8" s="509" t="n"/>
      <c r="AW8" s="509" t="n"/>
      <c r="AX8" s="509" t="n"/>
      <c r="AY8" s="509" t="n"/>
      <c r="AZ8" s="509" t="n"/>
      <c r="BA8" s="509" t="n"/>
      <c r="BB8" s="509" t="n"/>
    </row>
    <row r="9">
      <c r="C9" s="497" t="inlineStr">
        <is>
          <t>Admin</t>
        </is>
      </c>
      <c r="D9" s="5" t="n"/>
      <c r="E9" s="5" t="n"/>
      <c r="F9" s="21" t="n"/>
      <c r="G9" s="509" t="n"/>
      <c r="H9" s="509" t="n"/>
      <c r="I9" s="509" t="n"/>
      <c r="J9" s="509" t="n"/>
      <c r="K9" s="509" t="n"/>
      <c r="L9" s="509" t="n"/>
      <c r="M9" s="509" t="n"/>
      <c r="N9" s="509" t="n"/>
      <c r="O9" s="509" t="n"/>
      <c r="P9" s="509" t="n"/>
      <c r="Q9" s="509" t="n"/>
      <c r="R9" s="509" t="n"/>
      <c r="S9" s="509" t="n"/>
      <c r="T9" s="509" t="n"/>
      <c r="U9" s="509" t="n"/>
      <c r="V9" s="509" t="n"/>
      <c r="W9" s="509" t="n"/>
      <c r="X9" s="509" t="n"/>
      <c r="Y9" s="509" t="n"/>
      <c r="Z9" s="509" t="n"/>
      <c r="AA9" s="509" t="n"/>
      <c r="AB9" s="509" t="n"/>
      <c r="AC9" s="509" t="n"/>
      <c r="AD9" s="509" t="n"/>
      <c r="AE9" s="509" t="n"/>
      <c r="AF9" s="509" t="n"/>
      <c r="AG9" s="509" t="n"/>
      <c r="AH9" s="509" t="n"/>
      <c r="AI9" s="509" t="n"/>
      <c r="AJ9" s="509" t="n"/>
      <c r="AK9" s="509" t="n"/>
      <c r="AL9" s="509" t="n"/>
      <c r="AM9" s="509" t="n"/>
      <c r="AN9" s="509" t="n"/>
      <c r="AO9" s="509" t="n"/>
      <c r="AP9" s="509" t="n"/>
      <c r="AQ9" s="509" t="n"/>
      <c r="AR9" s="509" t="n"/>
      <c r="AS9" s="509" t="n"/>
      <c r="AT9" s="509" t="n"/>
      <c r="AU9" s="509" t="n"/>
      <c r="AV9" s="509" t="n"/>
      <c r="AW9" s="509" t="n"/>
      <c r="AX9" s="509" t="n"/>
      <c r="AY9" s="509" t="n"/>
      <c r="AZ9" s="509" t="n"/>
      <c r="BA9" s="509" t="n"/>
      <c r="BB9" s="509" t="n"/>
    </row>
    <row r="10">
      <c r="C10" s="497" t="inlineStr">
        <is>
          <t>Overige</t>
        </is>
      </c>
      <c r="D10" s="5" t="n"/>
      <c r="E10" s="5" t="n"/>
      <c r="F10" s="21" t="n"/>
      <c r="G10" s="509" t="n"/>
      <c r="H10" s="509" t="n"/>
      <c r="I10" s="509" t="n"/>
      <c r="J10" s="509" t="n"/>
      <c r="K10" s="509" t="n"/>
      <c r="L10" s="509" t="n"/>
      <c r="M10" s="509" t="n"/>
      <c r="N10" s="509" t="n"/>
      <c r="O10" s="509" t="n"/>
      <c r="P10" s="509" t="n"/>
      <c r="Q10" s="509" t="n"/>
      <c r="R10" s="509" t="n"/>
      <c r="S10" s="509" t="n"/>
      <c r="T10" s="509" t="n"/>
      <c r="U10" s="509" t="n"/>
      <c r="V10" s="509" t="n"/>
      <c r="W10" s="509" t="n"/>
      <c r="X10" s="509" t="n"/>
      <c r="Y10" s="509" t="n"/>
      <c r="Z10" s="509" t="n"/>
      <c r="AA10" s="509" t="n"/>
      <c r="AB10" s="509" t="n"/>
      <c r="AC10" s="509" t="n"/>
      <c r="AD10" s="509" t="n"/>
      <c r="AE10" s="509" t="n"/>
      <c r="AF10" s="509" t="n"/>
      <c r="AG10" s="509" t="n"/>
      <c r="AH10" s="509" t="n"/>
      <c r="AI10" s="509" t="n"/>
      <c r="AJ10" s="509" t="n"/>
      <c r="AK10" s="509" t="n"/>
      <c r="AL10" s="509" t="n"/>
      <c r="AM10" s="509" t="n"/>
      <c r="AN10" s="509" t="n"/>
      <c r="AO10" s="509" t="n"/>
      <c r="AP10" s="509" t="n"/>
      <c r="AQ10" s="509" t="n"/>
      <c r="AR10" s="509" t="n"/>
      <c r="AS10" s="509" t="n"/>
      <c r="AT10" s="509" t="n"/>
      <c r="AU10" s="509" t="n"/>
      <c r="AV10" s="509" t="n"/>
      <c r="AW10" s="509" t="n"/>
      <c r="AX10" s="509" t="n"/>
      <c r="AY10" s="509" t="n"/>
      <c r="AZ10" s="509" t="n"/>
      <c r="BA10" s="509" t="n"/>
      <c r="BB10" s="509" t="n"/>
    </row>
    <row r="11">
      <c r="C11" s="500" t="inlineStr">
        <is>
          <t>Totaal</t>
        </is>
      </c>
      <c r="D11" s="510">
        <f>SUM(D5:D10)</f>
        <v/>
      </c>
      <c r="E11" s="510">
        <f>SUM(E5:E10)</f>
        <v/>
      </c>
      <c r="F11" s="510">
        <f>SUM(F5:F10)</f>
        <v/>
      </c>
      <c r="G11" s="510">
        <f>SUM(G5:G10)</f>
        <v/>
      </c>
      <c r="H11" s="510">
        <f>SUM(H5:H10)</f>
        <v/>
      </c>
      <c r="I11" s="510">
        <f>SUM(I5:I10)</f>
        <v/>
      </c>
      <c r="J11" s="510">
        <f>SUM(J5:J10)</f>
        <v/>
      </c>
      <c r="K11" s="510">
        <f>SUM(K5:K10)</f>
        <v/>
      </c>
      <c r="L11" s="510">
        <f>SUM(L5:L10)</f>
        <v/>
      </c>
      <c r="M11" s="510">
        <f>SUM(M5:M10)</f>
        <v/>
      </c>
      <c r="N11" s="510">
        <f>SUM(N5:N10)</f>
        <v/>
      </c>
      <c r="O11" s="510">
        <f>SUM(O5:O10)</f>
        <v/>
      </c>
      <c r="P11" s="510">
        <f>SUM(P5:P10)</f>
        <v/>
      </c>
      <c r="Q11" s="510">
        <f>SUM(Q5:Q10)</f>
        <v/>
      </c>
      <c r="R11" s="510">
        <f>SUM(R5:R10)</f>
        <v/>
      </c>
      <c r="S11" s="510">
        <f>SUM(S5:S10)</f>
        <v/>
      </c>
      <c r="T11" s="510">
        <f>SUM(T5:T10)</f>
        <v/>
      </c>
      <c r="U11" s="510">
        <f>SUM(U5:U10)</f>
        <v/>
      </c>
      <c r="V11" s="510">
        <f>SUM(V5:V10)</f>
        <v/>
      </c>
      <c r="W11" s="510">
        <f>SUM(W5:W10)</f>
        <v/>
      </c>
      <c r="X11" s="510">
        <f>SUM(X5:X10)</f>
        <v/>
      </c>
      <c r="Y11" s="510">
        <f>SUM(Y5:Y10)</f>
        <v/>
      </c>
      <c r="Z11" s="510">
        <f>SUM(Z5:Z10)</f>
        <v/>
      </c>
      <c r="AA11" s="510">
        <f>SUM(AA5:AA10)</f>
        <v/>
      </c>
      <c r="AB11" s="510">
        <f>SUM(AB5:AB10)</f>
        <v/>
      </c>
      <c r="AC11" s="510">
        <f>SUM(AC5:AC10)</f>
        <v/>
      </c>
      <c r="AD11" s="510">
        <f>SUM(AD5:AD10)</f>
        <v/>
      </c>
      <c r="AE11" s="510">
        <f>SUM(AE5:AE10)</f>
        <v/>
      </c>
      <c r="AF11" s="510">
        <f>SUM(AF5:AF10)</f>
        <v/>
      </c>
      <c r="AG11" s="510">
        <f>SUM(AG5:AG10)</f>
        <v/>
      </c>
      <c r="AH11" s="510">
        <f>SUM(AH5:AH10)</f>
        <v/>
      </c>
      <c r="AI11" s="510">
        <f>SUM(AI5:AI10)</f>
        <v/>
      </c>
      <c r="AJ11" s="510">
        <f>SUM(AJ5:AJ10)</f>
        <v/>
      </c>
      <c r="AK11" s="510">
        <f>SUM(AK5:AK10)</f>
        <v/>
      </c>
      <c r="AL11" s="510">
        <f>SUM(AL5:AL10)</f>
        <v/>
      </c>
      <c r="AM11" s="510">
        <f>SUM(AM5:AM10)</f>
        <v/>
      </c>
      <c r="AN11" s="510">
        <f>SUM(AN5:AN10)</f>
        <v/>
      </c>
      <c r="AO11" s="510">
        <f>SUM(AO5:AO10)</f>
        <v/>
      </c>
      <c r="AP11" s="510">
        <f>SUM(AP5:AP10)</f>
        <v/>
      </c>
      <c r="AQ11" s="510">
        <f>SUM(AQ5:AQ10)</f>
        <v/>
      </c>
      <c r="AR11" s="510">
        <f>SUM(AR5:AR10)</f>
        <v/>
      </c>
      <c r="AS11" s="510">
        <f>SUM(AS5:AS10)</f>
        <v/>
      </c>
      <c r="AT11" s="510">
        <f>SUM(AT5:AT10)</f>
        <v/>
      </c>
      <c r="AU11" s="510">
        <f>SUM(AU5:AU10)</f>
        <v/>
      </c>
      <c r="AV11" s="510">
        <f>SUM(AV5:AV10)</f>
        <v/>
      </c>
      <c r="AW11" s="510">
        <f>SUM(AW5:AW10)</f>
        <v/>
      </c>
      <c r="AX11" s="510">
        <f>SUM(AX5:AX10)</f>
        <v/>
      </c>
      <c r="AY11" s="510">
        <f>SUM(AY5:AY10)</f>
        <v/>
      </c>
      <c r="AZ11" s="510">
        <f>SUM(AZ5:AZ10)</f>
        <v/>
      </c>
      <c r="BA11" s="510">
        <f>SUM(BA5:BA10)</f>
        <v/>
      </c>
      <c r="BB11" s="510">
        <f>SUM(BB5:BB10)</f>
        <v/>
      </c>
      <c r="BC11" s="510">
        <f>SUM(BC5:BC10)</f>
        <v/>
      </c>
      <c r="BD11" s="510">
        <f>SUM(BD5:BD10)</f>
        <v/>
      </c>
      <c r="BE11" s="510">
        <f>SUM(BE5:BE10)</f>
        <v/>
      </c>
      <c r="BF11" s="510">
        <f>SUM(BF5:BF10)</f>
        <v/>
      </c>
      <c r="BG11" s="510">
        <f>SUM(BG5:BG10)</f>
        <v/>
      </c>
      <c r="BH11" s="510">
        <f>SUM(BH5:BH10)</f>
        <v/>
      </c>
      <c r="BI11" s="510">
        <f>SUM(BI5:BI10)</f>
        <v/>
      </c>
      <c r="BJ11" s="510">
        <f>SUM(BJ5:BJ10)</f>
        <v/>
      </c>
      <c r="BK11" s="510">
        <f>SUM(BK5:BK10)</f>
        <v/>
      </c>
      <c r="BL11" s="510">
        <f>SUM(BL5:BL10)</f>
        <v/>
      </c>
      <c r="BM11" s="510">
        <f>SUM(BM5:BM10)</f>
        <v/>
      </c>
      <c r="BN11" s="510">
        <f>SUM(BN5:BN10)</f>
        <v/>
      </c>
    </row>
    <row r="13" outlineLevel="1">
      <c r="A13" s="431">
        <f>SUM(G13:BN13)</f>
        <v/>
      </c>
      <c r="B13" s="430" t="inlineStr">
        <is>
          <t>Check</t>
        </is>
      </c>
      <c r="C13" s="417" t="n"/>
      <c r="D13" s="5" t="n"/>
      <c r="E13" s="5" t="n"/>
      <c r="F13" s="21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" t="n"/>
      <c r="AB13" s="8" t="n"/>
      <c r="AC13" s="8" t="n"/>
      <c r="AD13" s="8" t="n"/>
      <c r="AE13" s="8" t="n"/>
      <c r="AF13" s="8" t="n"/>
      <c r="AG13" s="8" t="n"/>
      <c r="AH13" s="8" t="n"/>
      <c r="AI13" s="8" t="n"/>
      <c r="AJ13" s="8" t="n"/>
      <c r="AK13" s="8" t="n"/>
      <c r="AL13" s="8" t="n"/>
      <c r="AM13" s="8" t="n"/>
      <c r="AN13" s="8" t="n"/>
      <c r="AO13" s="8" t="n"/>
      <c r="AP13" s="8" t="n"/>
      <c r="AQ13" s="8" t="n"/>
      <c r="AR13" s="8" t="n"/>
      <c r="AS13" s="8" t="n"/>
      <c r="AT13" s="8" t="n"/>
      <c r="AU13" s="8" t="n"/>
      <c r="AV13" s="8" t="n"/>
      <c r="AW13" s="8" t="n"/>
      <c r="AX13" s="8" t="n"/>
      <c r="AY13" s="8" t="n"/>
      <c r="AZ13" s="8" t="n"/>
      <c r="BA13" s="8" t="n"/>
      <c r="BB13" s="8" t="n"/>
      <c r="BC13" s="8" t="n"/>
      <c r="BD13" s="8" t="n"/>
      <c r="BE13" s="8" t="n"/>
      <c r="BF13" s="8" t="n"/>
      <c r="BG13" s="8" t="n"/>
      <c r="BH13" s="8" t="n"/>
      <c r="BI13" s="8" t="n"/>
      <c r="BJ13" s="8" t="n"/>
      <c r="BK13" s="8" t="n"/>
      <c r="BL13" s="8" t="n"/>
      <c r="BM13" s="8" t="n"/>
      <c r="BN13" s="8" t="n"/>
    </row>
    <row r="34">
      <c r="C34" s="500">
        <f>"Personeelskosten (incl. management) - "&amp;Historiek!A2</f>
        <v/>
      </c>
      <c r="D34" s="500" t="n"/>
      <c r="E34" s="500" t="n"/>
      <c r="F34" s="500" t="n"/>
      <c r="H34" s="497" t="n"/>
    </row>
    <row r="35">
      <c r="C35" s="753">
        <f>'BP - Monthly'!C4</f>
        <v/>
      </c>
      <c r="D35" s="758">
        <f>'BP - Monthly'!D4</f>
        <v/>
      </c>
      <c r="E35" s="758">
        <f>'BP - Monthly'!E4</f>
        <v/>
      </c>
      <c r="F35" s="743">
        <f>'BP - Monthly'!F4</f>
        <v/>
      </c>
      <c r="G35" s="756">
        <f>'BP - Monthly'!G4</f>
        <v/>
      </c>
      <c r="H35" s="758">
        <f>'BP - Monthly'!H4</f>
        <v/>
      </c>
      <c r="I35" s="758">
        <f>'BP - Monthly'!I4</f>
        <v/>
      </c>
      <c r="J35" s="758">
        <f>'BP - Monthly'!J4</f>
        <v/>
      </c>
      <c r="K35" s="758">
        <f>'BP - Monthly'!K4</f>
        <v/>
      </c>
      <c r="L35" s="758">
        <f>'BP - Monthly'!L4</f>
        <v/>
      </c>
      <c r="M35" s="758">
        <f>'BP - Monthly'!M4</f>
        <v/>
      </c>
      <c r="N35" s="758">
        <f>'BP - Monthly'!N4</f>
        <v/>
      </c>
      <c r="O35" s="758">
        <f>'BP - Monthly'!O4</f>
        <v/>
      </c>
      <c r="P35" s="758">
        <f>'BP - Monthly'!P4</f>
        <v/>
      </c>
      <c r="Q35" s="758">
        <f>'BP - Monthly'!Q4</f>
        <v/>
      </c>
      <c r="R35" s="758">
        <f>'BP - Monthly'!R4</f>
        <v/>
      </c>
      <c r="S35" s="758">
        <f>'BP - Monthly'!S4</f>
        <v/>
      </c>
      <c r="T35" s="758">
        <f>'BP - Monthly'!T4</f>
        <v/>
      </c>
      <c r="U35" s="758">
        <f>'BP - Monthly'!U4</f>
        <v/>
      </c>
      <c r="V35" s="758">
        <f>'BP - Monthly'!V4</f>
        <v/>
      </c>
      <c r="W35" s="758">
        <f>'BP - Monthly'!W4</f>
        <v/>
      </c>
      <c r="X35" s="758">
        <f>'BP - Monthly'!X4</f>
        <v/>
      </c>
      <c r="Y35" s="758">
        <f>'BP - Monthly'!Y4</f>
        <v/>
      </c>
      <c r="Z35" s="758">
        <f>'BP - Monthly'!Z4</f>
        <v/>
      </c>
      <c r="AA35" s="758">
        <f>'BP - Monthly'!AA4</f>
        <v/>
      </c>
      <c r="AB35" s="758">
        <f>'BP - Monthly'!AB4</f>
        <v/>
      </c>
      <c r="AC35" s="758">
        <f>'BP - Monthly'!AC4</f>
        <v/>
      </c>
      <c r="AD35" s="758">
        <f>'BP - Monthly'!AD4</f>
        <v/>
      </c>
      <c r="AE35" s="758">
        <f>'BP - Monthly'!AE4</f>
        <v/>
      </c>
      <c r="AF35" s="758">
        <f>'BP - Monthly'!AF4</f>
        <v/>
      </c>
      <c r="AG35" s="758">
        <f>'BP - Monthly'!AG4</f>
        <v/>
      </c>
      <c r="AH35" s="758">
        <f>'BP - Monthly'!AH4</f>
        <v/>
      </c>
      <c r="AI35" s="758">
        <f>'BP - Monthly'!AI4</f>
        <v/>
      </c>
      <c r="AJ35" s="758">
        <f>'BP - Monthly'!AJ4</f>
        <v/>
      </c>
      <c r="AK35" s="758">
        <f>'BP - Monthly'!AK4</f>
        <v/>
      </c>
      <c r="AL35" s="758">
        <f>'BP - Monthly'!AL4</f>
        <v/>
      </c>
      <c r="AM35" s="758">
        <f>'BP - Monthly'!AM4</f>
        <v/>
      </c>
      <c r="AN35" s="758">
        <f>'BP - Monthly'!AN4</f>
        <v/>
      </c>
      <c r="AO35" s="758">
        <f>'BP - Monthly'!AO4</f>
        <v/>
      </c>
      <c r="AP35" s="758">
        <f>'BP - Monthly'!AP4</f>
        <v/>
      </c>
      <c r="AQ35" s="758">
        <f>'BP - Monthly'!AQ4</f>
        <v/>
      </c>
      <c r="AR35" s="758">
        <f>'BP - Monthly'!AR4</f>
        <v/>
      </c>
      <c r="AS35" s="758">
        <f>'BP - Monthly'!AS4</f>
        <v/>
      </c>
      <c r="AT35" s="758">
        <f>'BP - Monthly'!AT4</f>
        <v/>
      </c>
      <c r="AU35" s="758">
        <f>'BP - Monthly'!AU4</f>
        <v/>
      </c>
      <c r="AV35" s="758">
        <f>'BP - Monthly'!AV4</f>
        <v/>
      </c>
      <c r="AW35" s="758">
        <f>'BP - Monthly'!AW4</f>
        <v/>
      </c>
      <c r="AX35" s="758">
        <f>'BP - Monthly'!AX4</f>
        <v/>
      </c>
      <c r="AY35" s="758">
        <f>'BP - Monthly'!AY4</f>
        <v/>
      </c>
      <c r="AZ35" s="758">
        <f>'BP - Monthly'!AZ4</f>
        <v/>
      </c>
      <c r="BA35" s="758">
        <f>'BP - Monthly'!BA4</f>
        <v/>
      </c>
      <c r="BB35" s="758">
        <f>'BP - Monthly'!BB4</f>
        <v/>
      </c>
      <c r="BC35" s="758">
        <f>'BP - Monthly'!BC4</f>
        <v/>
      </c>
      <c r="BD35" s="758">
        <f>'BP - Monthly'!BD4</f>
        <v/>
      </c>
      <c r="BE35" s="758">
        <f>'BP - Monthly'!BE4</f>
        <v/>
      </c>
      <c r="BF35" s="758">
        <f>'BP - Monthly'!BF4</f>
        <v/>
      </c>
      <c r="BG35" s="758">
        <f>'BP - Monthly'!BG4</f>
        <v/>
      </c>
      <c r="BH35" s="758">
        <f>'BP - Monthly'!BH4</f>
        <v/>
      </c>
      <c r="BI35" s="758">
        <f>'BP - Monthly'!BI4</f>
        <v/>
      </c>
      <c r="BJ35" s="758">
        <f>'BP - Monthly'!BJ4</f>
        <v/>
      </c>
      <c r="BK35" s="758">
        <f>'BP - Monthly'!BK4</f>
        <v/>
      </c>
      <c r="BL35" s="758">
        <f>'BP - Monthly'!BL4</f>
        <v/>
      </c>
      <c r="BM35" s="758">
        <f>'BP - Monthly'!BM4</f>
        <v/>
      </c>
      <c r="BN35" s="758">
        <f>'BP - Monthly'!BN4</f>
        <v/>
      </c>
    </row>
    <row r="36">
      <c r="C36" s="497" t="inlineStr">
        <is>
          <t>Management</t>
        </is>
      </c>
      <c r="G36" s="511" t="n"/>
      <c r="H36" s="511" t="n"/>
      <c r="I36" s="511" t="n"/>
      <c r="J36" s="511" t="n"/>
      <c r="K36" s="511" t="n"/>
      <c r="L36" s="511" t="n"/>
      <c r="M36" s="511" t="n"/>
      <c r="N36" s="511" t="n"/>
      <c r="O36" s="511" t="n"/>
      <c r="P36" s="511" t="n"/>
      <c r="Q36" s="511" t="n"/>
      <c r="R36" s="511" t="n"/>
      <c r="S36" s="511" t="n"/>
      <c r="T36" s="511" t="n"/>
      <c r="U36" s="511" t="n"/>
      <c r="V36" s="511" t="n"/>
      <c r="W36" s="511" t="n"/>
      <c r="X36" s="511" t="n"/>
      <c r="Y36" s="511" t="n"/>
      <c r="Z36" s="511" t="n"/>
      <c r="AA36" s="511" t="n"/>
      <c r="AB36" s="511" t="n"/>
      <c r="AC36" s="511" t="n"/>
      <c r="AD36" s="511" t="n"/>
      <c r="AE36" s="511" t="n"/>
      <c r="AF36" s="511" t="n"/>
      <c r="AG36" s="511" t="n"/>
      <c r="AH36" s="511" t="n"/>
      <c r="AI36" s="511" t="n"/>
      <c r="AJ36" s="511" t="n"/>
      <c r="AK36" s="511" t="n"/>
      <c r="AL36" s="511" t="n"/>
      <c r="AM36" s="511" t="n"/>
      <c r="AN36" s="511" t="n"/>
      <c r="AO36" s="511" t="n"/>
      <c r="AP36" s="511" t="n"/>
      <c r="AQ36" s="511" t="n"/>
      <c r="AR36" s="511" t="n"/>
      <c r="AS36" s="511" t="n"/>
      <c r="AT36" s="511" t="n"/>
      <c r="AU36" s="511" t="n"/>
      <c r="AV36" s="511" t="n"/>
      <c r="AW36" s="511" t="n"/>
      <c r="AX36" s="511" t="n"/>
      <c r="AY36" s="511" t="n"/>
      <c r="AZ36" s="511" t="n"/>
      <c r="BA36" s="511" t="n"/>
      <c r="BB36" s="511" t="n"/>
    </row>
    <row r="37">
      <c r="C37" s="497" t="inlineStr">
        <is>
          <t>Sales</t>
        </is>
      </c>
      <c r="G37" s="511" t="n"/>
      <c r="H37" s="511" t="n"/>
      <c r="I37" s="511" t="n"/>
      <c r="J37" s="511" t="n"/>
      <c r="K37" s="511" t="n"/>
      <c r="L37" s="511" t="n"/>
      <c r="M37" s="511" t="n"/>
      <c r="N37" s="511" t="n"/>
      <c r="O37" s="511" t="n"/>
      <c r="P37" s="511" t="n"/>
      <c r="Q37" s="511" t="n"/>
      <c r="R37" s="511" t="n"/>
      <c r="S37" s="511" t="n"/>
      <c r="T37" s="511" t="n"/>
      <c r="U37" s="511" t="n"/>
      <c r="V37" s="511" t="n"/>
      <c r="W37" s="511" t="n"/>
      <c r="X37" s="511" t="n"/>
      <c r="Y37" s="511" t="n"/>
      <c r="Z37" s="511" t="n"/>
      <c r="AA37" s="511" t="n"/>
      <c r="AB37" s="511" t="n"/>
      <c r="AC37" s="511" t="n"/>
      <c r="AD37" s="511" t="n"/>
      <c r="AE37" s="511" t="n"/>
      <c r="AF37" s="511" t="n"/>
      <c r="AG37" s="511" t="n"/>
      <c r="AH37" s="511" t="n"/>
      <c r="AI37" s="511" t="n"/>
      <c r="AJ37" s="511" t="n"/>
      <c r="AK37" s="511" t="n"/>
      <c r="AL37" s="511" t="n"/>
      <c r="AM37" s="511" t="n"/>
      <c r="AN37" s="511" t="n"/>
      <c r="AO37" s="511" t="n"/>
      <c r="AP37" s="511" t="n"/>
      <c r="AQ37" s="511" t="n"/>
      <c r="AR37" s="511" t="n"/>
      <c r="AS37" s="511" t="n"/>
      <c r="AT37" s="511" t="n"/>
      <c r="AU37" s="511" t="n"/>
      <c r="AV37" s="511" t="n"/>
      <c r="AW37" s="511" t="n"/>
      <c r="AX37" s="511" t="n"/>
      <c r="AY37" s="511" t="n"/>
      <c r="AZ37" s="511" t="n"/>
      <c r="BA37" s="511" t="n"/>
      <c r="BB37" s="511" t="n"/>
    </row>
    <row r="38">
      <c r="C38" s="497" t="inlineStr">
        <is>
          <t>R&amp;D</t>
        </is>
      </c>
      <c r="G38" s="511" t="n"/>
      <c r="H38" s="511" t="n"/>
      <c r="I38" s="511" t="n"/>
      <c r="J38" s="511" t="n"/>
      <c r="K38" s="511" t="n"/>
      <c r="L38" s="511" t="n"/>
      <c r="M38" s="511" t="n"/>
      <c r="N38" s="511" t="n"/>
      <c r="O38" s="511" t="n"/>
      <c r="P38" s="511" t="n"/>
      <c r="Q38" s="511" t="n"/>
      <c r="R38" s="511" t="n"/>
      <c r="S38" s="511" t="n"/>
      <c r="T38" s="511" t="n"/>
      <c r="U38" s="511" t="n"/>
      <c r="V38" s="511" t="n"/>
      <c r="W38" s="511" t="n"/>
      <c r="X38" s="511" t="n"/>
      <c r="Y38" s="511" t="n"/>
      <c r="Z38" s="511" t="n"/>
      <c r="AA38" s="511" t="n"/>
      <c r="AB38" s="511" t="n"/>
      <c r="AC38" s="511" t="n"/>
      <c r="AD38" s="511" t="n"/>
      <c r="AE38" s="511" t="n"/>
      <c r="AF38" s="511" t="n"/>
      <c r="AG38" s="511" t="n"/>
      <c r="AH38" s="511" t="n"/>
      <c r="AI38" s="511" t="n"/>
      <c r="AJ38" s="511" t="n"/>
      <c r="AK38" s="511" t="n"/>
      <c r="AL38" s="511" t="n"/>
      <c r="AM38" s="511" t="n"/>
      <c r="AN38" s="511" t="n"/>
      <c r="AO38" s="511" t="n"/>
      <c r="AP38" s="511" t="n"/>
      <c r="AQ38" s="511" t="n"/>
      <c r="AR38" s="511" t="n"/>
      <c r="AS38" s="511" t="n"/>
      <c r="AT38" s="511" t="n"/>
      <c r="AU38" s="511" t="n"/>
      <c r="AV38" s="511" t="n"/>
      <c r="AW38" s="511" t="n"/>
      <c r="AX38" s="511" t="n"/>
      <c r="AY38" s="511" t="n"/>
      <c r="AZ38" s="511" t="n"/>
      <c r="BA38" s="511" t="n"/>
      <c r="BB38" s="511" t="n"/>
    </row>
    <row r="39">
      <c r="C39" s="497" t="inlineStr">
        <is>
          <t>Finance</t>
        </is>
      </c>
      <c r="G39" s="511" t="n"/>
      <c r="H39" s="511" t="n"/>
      <c r="I39" s="511" t="n"/>
      <c r="J39" s="511" t="n"/>
      <c r="K39" s="511" t="n"/>
      <c r="L39" s="511" t="n"/>
      <c r="M39" s="511" t="n"/>
      <c r="N39" s="511" t="n"/>
      <c r="O39" s="511" t="n"/>
      <c r="P39" s="511" t="n"/>
      <c r="Q39" s="511" t="n"/>
      <c r="R39" s="511" t="n"/>
      <c r="S39" s="511" t="n"/>
      <c r="T39" s="511" t="n"/>
      <c r="U39" s="511" t="n"/>
      <c r="V39" s="511" t="n"/>
      <c r="W39" s="511" t="n"/>
      <c r="X39" s="511" t="n"/>
      <c r="Y39" s="511" t="n"/>
      <c r="Z39" s="511" t="n"/>
      <c r="AA39" s="511" t="n"/>
      <c r="AB39" s="511" t="n"/>
      <c r="AC39" s="511" t="n"/>
      <c r="AD39" s="511" t="n"/>
      <c r="AE39" s="511" t="n"/>
      <c r="AF39" s="511" t="n"/>
      <c r="AG39" s="511" t="n"/>
      <c r="AH39" s="511" t="n"/>
      <c r="AI39" s="511" t="n"/>
      <c r="AJ39" s="511" t="n"/>
      <c r="AK39" s="511" t="n"/>
      <c r="AL39" s="511" t="n"/>
      <c r="AM39" s="511" t="n"/>
      <c r="AN39" s="511" t="n"/>
      <c r="AO39" s="511" t="n"/>
      <c r="AP39" s="511" t="n"/>
      <c r="AQ39" s="511" t="n"/>
      <c r="AR39" s="511" t="n"/>
      <c r="AS39" s="511" t="n"/>
      <c r="AT39" s="511" t="n"/>
      <c r="AU39" s="511" t="n"/>
      <c r="AV39" s="511" t="n"/>
      <c r="AW39" s="511" t="n"/>
      <c r="AX39" s="511" t="n"/>
      <c r="AY39" s="511" t="n"/>
      <c r="AZ39" s="511" t="n"/>
      <c r="BA39" s="511" t="n"/>
      <c r="BB39" s="511" t="n"/>
    </row>
    <row r="40">
      <c r="C40" s="497" t="inlineStr">
        <is>
          <t>Admin</t>
        </is>
      </c>
      <c r="G40" s="511" t="n"/>
      <c r="H40" s="511" t="n"/>
      <c r="I40" s="511" t="n"/>
      <c r="J40" s="511" t="n"/>
      <c r="K40" s="511" t="n"/>
      <c r="L40" s="511" t="n"/>
      <c r="M40" s="511" t="n"/>
      <c r="N40" s="511" t="n"/>
      <c r="O40" s="511" t="n"/>
      <c r="P40" s="511" t="n"/>
      <c r="Q40" s="511" t="n"/>
      <c r="R40" s="511" t="n"/>
      <c r="S40" s="511" t="n"/>
      <c r="T40" s="511" t="n"/>
      <c r="U40" s="511" t="n"/>
      <c r="V40" s="511" t="n"/>
      <c r="W40" s="511" t="n"/>
      <c r="X40" s="511" t="n"/>
      <c r="Y40" s="511" t="n"/>
      <c r="Z40" s="511" t="n"/>
      <c r="AA40" s="511" t="n"/>
      <c r="AB40" s="511" t="n"/>
      <c r="AC40" s="511" t="n"/>
      <c r="AD40" s="511" t="n"/>
      <c r="AE40" s="511" t="n"/>
      <c r="AF40" s="511" t="n"/>
      <c r="AG40" s="511" t="n"/>
      <c r="AH40" s="511" t="n"/>
      <c r="AI40" s="511" t="n"/>
      <c r="AJ40" s="511" t="n"/>
      <c r="AK40" s="511" t="n"/>
      <c r="AL40" s="511" t="n"/>
      <c r="AM40" s="511" t="n"/>
      <c r="AN40" s="511" t="n"/>
      <c r="AO40" s="511" t="n"/>
      <c r="AP40" s="511" t="n"/>
      <c r="AQ40" s="511" t="n"/>
      <c r="AR40" s="511" t="n"/>
      <c r="AS40" s="511" t="n"/>
      <c r="AT40" s="511" t="n"/>
      <c r="AU40" s="511" t="n"/>
      <c r="AV40" s="511" t="n"/>
      <c r="AW40" s="511" t="n"/>
      <c r="AX40" s="511" t="n"/>
      <c r="AY40" s="511" t="n"/>
      <c r="AZ40" s="511" t="n"/>
      <c r="BA40" s="511" t="n"/>
      <c r="BB40" s="511" t="n"/>
    </row>
    <row r="41">
      <c r="C41" s="497" t="inlineStr">
        <is>
          <t>Overige</t>
        </is>
      </c>
      <c r="G41" s="511" t="n"/>
      <c r="H41" s="511" t="n"/>
      <c r="I41" s="511" t="n"/>
      <c r="J41" s="511" t="n"/>
      <c r="K41" s="511" t="n"/>
      <c r="L41" s="511" t="n"/>
      <c r="M41" s="511" t="n"/>
      <c r="N41" s="511" t="n"/>
      <c r="O41" s="511" t="n"/>
      <c r="P41" s="511" t="n"/>
      <c r="Q41" s="511" t="n"/>
      <c r="R41" s="511" t="n"/>
      <c r="S41" s="511" t="n"/>
      <c r="T41" s="511" t="n"/>
      <c r="U41" s="511" t="n"/>
      <c r="V41" s="511" t="n"/>
      <c r="W41" s="511" t="n"/>
      <c r="X41" s="511" t="n"/>
      <c r="Y41" s="511" t="n"/>
      <c r="Z41" s="511" t="n"/>
      <c r="AA41" s="511" t="n"/>
      <c r="AB41" s="511" t="n"/>
      <c r="AC41" s="511" t="n"/>
      <c r="AD41" s="511" t="n"/>
      <c r="AE41" s="511" t="n"/>
      <c r="AF41" s="511" t="n"/>
      <c r="AG41" s="511" t="n"/>
      <c r="AH41" s="511" t="n"/>
      <c r="AI41" s="511" t="n"/>
      <c r="AJ41" s="511" t="n"/>
      <c r="AK41" s="511" t="n"/>
      <c r="AL41" s="511" t="n"/>
      <c r="AM41" s="511" t="n"/>
      <c r="AN41" s="511" t="n"/>
      <c r="AO41" s="511" t="n"/>
      <c r="AP41" s="511" t="n"/>
      <c r="AQ41" s="511" t="n"/>
      <c r="AR41" s="511" t="n"/>
      <c r="AS41" s="511" t="n"/>
      <c r="AT41" s="511" t="n"/>
      <c r="AU41" s="511" t="n"/>
      <c r="AV41" s="511" t="n"/>
      <c r="AW41" s="511" t="n"/>
      <c r="AX41" s="511" t="n"/>
      <c r="AY41" s="511" t="n"/>
      <c r="AZ41" s="511" t="n"/>
      <c r="BA41" s="511" t="n"/>
      <c r="BB41" s="511" t="n"/>
    </row>
    <row r="42">
      <c r="C42" s="500" t="inlineStr">
        <is>
          <t>Totaal</t>
        </is>
      </c>
      <c r="D42" s="510">
        <f>SUM(D36:D41)</f>
        <v/>
      </c>
      <c r="E42" s="510">
        <f>SUM(E36:E41)</f>
        <v/>
      </c>
      <c r="F42" s="510">
        <f>SUM(F36:F41)</f>
        <v/>
      </c>
      <c r="G42" s="510">
        <f>SUM(G36:G41)</f>
        <v/>
      </c>
      <c r="H42" s="510">
        <f>SUM(H36:H41)</f>
        <v/>
      </c>
      <c r="I42" s="510">
        <f>SUM(I36:I41)</f>
        <v/>
      </c>
      <c r="J42" s="510">
        <f>SUM(J36:J41)</f>
        <v/>
      </c>
      <c r="K42" s="510">
        <f>SUM(K36:K41)</f>
        <v/>
      </c>
      <c r="L42" s="510">
        <f>SUM(L36:L41)</f>
        <v/>
      </c>
      <c r="M42" s="510">
        <f>SUM(M36:M41)</f>
        <v/>
      </c>
      <c r="N42" s="510">
        <f>SUM(N36:N41)</f>
        <v/>
      </c>
      <c r="O42" s="510">
        <f>SUM(O36:O41)</f>
        <v/>
      </c>
      <c r="P42" s="510">
        <f>SUM(P36:P41)</f>
        <v/>
      </c>
      <c r="Q42" s="510">
        <f>SUM(Q36:Q41)</f>
        <v/>
      </c>
      <c r="R42" s="510">
        <f>SUM(R36:R41)</f>
        <v/>
      </c>
      <c r="S42" s="510">
        <f>SUM(S36:S41)</f>
        <v/>
      </c>
      <c r="T42" s="510">
        <f>SUM(T36:T41)</f>
        <v/>
      </c>
      <c r="U42" s="510">
        <f>SUM(U36:U41)</f>
        <v/>
      </c>
      <c r="V42" s="510">
        <f>SUM(V36:V41)</f>
        <v/>
      </c>
      <c r="W42" s="510">
        <f>SUM(W36:W41)</f>
        <v/>
      </c>
      <c r="X42" s="510">
        <f>SUM(X36:X41)</f>
        <v/>
      </c>
      <c r="Y42" s="510">
        <f>SUM(Y36:Y41)</f>
        <v/>
      </c>
      <c r="Z42" s="510">
        <f>SUM(Z36:Z41)</f>
        <v/>
      </c>
      <c r="AA42" s="510">
        <f>SUM(AA36:AA41)</f>
        <v/>
      </c>
      <c r="AB42" s="510">
        <f>SUM(AB36:AB41)</f>
        <v/>
      </c>
      <c r="AC42" s="510">
        <f>SUM(AC36:AC41)</f>
        <v/>
      </c>
      <c r="AD42" s="510">
        <f>SUM(AD36:AD41)</f>
        <v/>
      </c>
      <c r="AE42" s="510">
        <f>SUM(AE36:AE41)</f>
        <v/>
      </c>
      <c r="AF42" s="510">
        <f>SUM(AF36:AF41)</f>
        <v/>
      </c>
      <c r="AG42" s="510">
        <f>SUM(AG36:AG41)</f>
        <v/>
      </c>
      <c r="AH42" s="510">
        <f>SUM(AH36:AH41)</f>
        <v/>
      </c>
      <c r="AI42" s="510">
        <f>SUM(AI36:AI41)</f>
        <v/>
      </c>
      <c r="AJ42" s="510">
        <f>SUM(AJ36:AJ41)</f>
        <v/>
      </c>
      <c r="AK42" s="510">
        <f>SUM(AK36:AK41)</f>
        <v/>
      </c>
      <c r="AL42" s="510">
        <f>SUM(AL36:AL41)</f>
        <v/>
      </c>
      <c r="AM42" s="510">
        <f>SUM(AM36:AM41)</f>
        <v/>
      </c>
      <c r="AN42" s="510">
        <f>SUM(AN36:AN41)</f>
        <v/>
      </c>
      <c r="AO42" s="510">
        <f>SUM(AO36:AO41)</f>
        <v/>
      </c>
      <c r="AP42" s="510">
        <f>SUM(AP36:AP41)</f>
        <v/>
      </c>
      <c r="AQ42" s="510">
        <f>SUM(AQ36:AQ41)</f>
        <v/>
      </c>
      <c r="AR42" s="510">
        <f>SUM(AR36:AR41)</f>
        <v/>
      </c>
      <c r="AS42" s="510">
        <f>SUM(AS36:AS41)</f>
        <v/>
      </c>
      <c r="AT42" s="510">
        <f>SUM(AT36:AT41)</f>
        <v/>
      </c>
      <c r="AU42" s="510">
        <f>SUM(AU36:AU41)</f>
        <v/>
      </c>
      <c r="AV42" s="510">
        <f>SUM(AV36:AV41)</f>
        <v/>
      </c>
      <c r="AW42" s="510">
        <f>SUM(AW36:AW41)</f>
        <v/>
      </c>
      <c r="AX42" s="510">
        <f>SUM(AX36:AX41)</f>
        <v/>
      </c>
      <c r="AY42" s="510">
        <f>SUM(AY36:AY41)</f>
        <v/>
      </c>
      <c r="AZ42" s="510">
        <f>SUM(AZ36:AZ41)</f>
        <v/>
      </c>
      <c r="BA42" s="510">
        <f>SUM(BA36:BA41)</f>
        <v/>
      </c>
      <c r="BB42" s="510">
        <f>SUM(BB36:BB41)</f>
        <v/>
      </c>
      <c r="BC42" s="510">
        <f>SUM(BC36:BC41)</f>
        <v/>
      </c>
      <c r="BD42" s="510">
        <f>SUM(BD36:BD41)</f>
        <v/>
      </c>
      <c r="BE42" s="510">
        <f>SUM(BE36:BE41)</f>
        <v/>
      </c>
      <c r="BF42" s="510">
        <f>SUM(BF36:BF41)</f>
        <v/>
      </c>
      <c r="BG42" s="510">
        <f>SUM(BG36:BG41)</f>
        <v/>
      </c>
      <c r="BH42" s="510">
        <f>SUM(BH36:BH41)</f>
        <v/>
      </c>
      <c r="BI42" s="510">
        <f>SUM(BI36:BI41)</f>
        <v/>
      </c>
      <c r="BJ42" s="510">
        <f>SUM(BJ36:BJ41)</f>
        <v/>
      </c>
      <c r="BK42" s="510">
        <f>SUM(BK36:BK41)</f>
        <v/>
      </c>
      <c r="BL42" s="510">
        <f>SUM(BL36:BL41)</f>
        <v/>
      </c>
      <c r="BM42" s="510">
        <f>SUM(BM36:BM41)</f>
        <v/>
      </c>
      <c r="BN42" s="510">
        <f>SUM(BN36:BN41)</f>
        <v/>
      </c>
    </row>
    <row r="43">
      <c r="G43" s="511" t="n"/>
      <c r="H43" s="511" t="n"/>
      <c r="I43" s="511" t="n"/>
      <c r="J43" s="511" t="n"/>
      <c r="K43" s="511" t="n"/>
      <c r="L43" s="511" t="n"/>
      <c r="M43" s="511" t="n"/>
      <c r="N43" s="511" t="n"/>
      <c r="O43" s="511" t="n"/>
      <c r="P43" s="511" t="n"/>
      <c r="Q43" s="511" t="n"/>
      <c r="R43" s="511" t="n"/>
      <c r="S43" s="511" t="n"/>
      <c r="T43" s="511" t="n"/>
      <c r="U43" s="511" t="n"/>
      <c r="V43" s="511" t="n"/>
      <c r="W43" s="511" t="n"/>
      <c r="X43" s="511" t="n"/>
      <c r="Y43" s="511" t="n"/>
      <c r="Z43" s="511" t="n"/>
      <c r="AA43" s="511" t="n"/>
      <c r="AB43" s="511" t="n"/>
      <c r="AC43" s="511" t="n"/>
      <c r="AD43" s="511" t="n"/>
      <c r="AE43" s="511" t="n"/>
      <c r="AF43" s="511" t="n"/>
      <c r="AG43" s="511" t="n"/>
      <c r="AH43" s="511" t="n"/>
      <c r="AI43" s="511" t="n"/>
      <c r="AJ43" s="511" t="n"/>
      <c r="AK43" s="511" t="n"/>
      <c r="AL43" s="511" t="n"/>
      <c r="AM43" s="511" t="n"/>
      <c r="AN43" s="511" t="n"/>
      <c r="AO43" s="511" t="n"/>
      <c r="AP43" s="511" t="n"/>
      <c r="AQ43" s="511" t="n"/>
      <c r="AR43" s="511" t="n"/>
      <c r="AS43" s="511" t="n"/>
      <c r="AT43" s="511" t="n"/>
      <c r="AU43" s="511" t="n"/>
      <c r="AV43" s="511" t="n"/>
      <c r="AW43" s="511" t="n"/>
      <c r="AX43" s="511" t="n"/>
      <c r="AY43" s="511" t="n"/>
      <c r="AZ43" s="511" t="n"/>
      <c r="BA43" s="511" t="n"/>
      <c r="BB43" s="511" t="n"/>
    </row>
    <row r="44" outlineLevel="1">
      <c r="A44" s="431">
        <f>SUM(G44:BN44)</f>
        <v/>
      </c>
      <c r="B44" s="430" t="inlineStr">
        <is>
          <t>Check</t>
        </is>
      </c>
      <c r="C44" s="417" t="n"/>
      <c r="D44" s="5" t="n"/>
      <c r="E44" s="5" t="n"/>
      <c r="F44" s="21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8" t="n"/>
      <c r="AZ44" s="8" t="n"/>
      <c r="BA44" s="8" t="n"/>
      <c r="BB44" s="8" t="n"/>
      <c r="BC44" s="8" t="n"/>
      <c r="BD44" s="8" t="n"/>
      <c r="BE44" s="8" t="n"/>
      <c r="BF44" s="8" t="n"/>
      <c r="BG44" s="8" t="n"/>
      <c r="BH44" s="8" t="n"/>
      <c r="BI44" s="8" t="n"/>
      <c r="BJ44" s="8" t="n"/>
      <c r="BK44" s="8" t="n"/>
      <c r="BL44" s="8" t="n"/>
      <c r="BM44" s="8" t="n"/>
      <c r="BN44" s="8" t="n"/>
    </row>
    <row r="45">
      <c r="G45" s="511" t="n"/>
      <c r="H45" s="511" t="n"/>
      <c r="I45" s="511" t="n"/>
      <c r="J45" s="511" t="n"/>
      <c r="K45" s="511" t="n"/>
      <c r="L45" s="511" t="n"/>
      <c r="M45" s="8" t="n"/>
      <c r="N45" s="8" t="n"/>
      <c r="O45" s="8" t="n"/>
      <c r="P45" s="8" t="n"/>
      <c r="Q45" s="8" t="n"/>
      <c r="R45" s="8" t="n"/>
      <c r="S45" s="8" t="n"/>
      <c r="T45" s="511" t="n"/>
      <c r="U45" s="511" t="n"/>
      <c r="V45" s="511" t="n"/>
      <c r="W45" s="511" t="n"/>
      <c r="X45" s="511" t="n"/>
      <c r="Y45" s="511" t="n"/>
      <c r="Z45" s="511" t="n"/>
      <c r="AA45" s="511" t="n"/>
      <c r="AB45" s="511" t="n"/>
      <c r="AC45" s="511" t="n"/>
      <c r="AD45" s="511" t="n"/>
      <c r="AE45" s="511" t="n"/>
      <c r="AF45" s="511" t="n"/>
      <c r="AG45" s="511" t="n"/>
      <c r="AH45" s="511" t="n"/>
      <c r="AI45" s="511" t="n"/>
      <c r="AJ45" s="511" t="n"/>
      <c r="AK45" s="511" t="n"/>
      <c r="AL45" s="511" t="n"/>
      <c r="AM45" s="511" t="n"/>
      <c r="AN45" s="511" t="n"/>
      <c r="AO45" s="511" t="n"/>
      <c r="AP45" s="511" t="n"/>
      <c r="AQ45" s="511" t="n"/>
      <c r="AR45" s="511" t="n"/>
      <c r="AS45" s="511" t="n"/>
      <c r="AT45" s="511" t="n"/>
      <c r="AU45" s="511" t="n"/>
      <c r="AV45" s="511" t="n"/>
      <c r="AW45" s="511" t="n"/>
      <c r="AX45" s="511" t="n"/>
      <c r="AY45" s="511" t="n"/>
      <c r="AZ45" s="511" t="n"/>
      <c r="BA45" s="511" t="n"/>
      <c r="BB45" s="511" t="n"/>
    </row>
    <row r="46">
      <c r="C46" s="500">
        <f>"Personeelskosten (incl. management) - "&amp;Historiek!A2</f>
        <v/>
      </c>
      <c r="D46" s="500" t="n"/>
      <c r="E46" s="500" t="n"/>
      <c r="F46" s="500" t="n"/>
      <c r="H46" s="497" t="n"/>
      <c r="M46" s="8" t="n"/>
      <c r="N46" s="8" t="n"/>
      <c r="O46" s="8" t="n"/>
      <c r="P46" s="8" t="n"/>
      <c r="Q46" s="8" t="n"/>
      <c r="R46" s="8" t="n"/>
      <c r="S46" s="8" t="n"/>
      <c r="T46" s="511" t="n"/>
      <c r="U46" s="511" t="n"/>
      <c r="V46" s="511" t="n"/>
      <c r="W46" s="511" t="n"/>
      <c r="X46" s="511" t="n"/>
      <c r="Y46" s="511" t="n"/>
      <c r="Z46" s="511" t="n"/>
      <c r="AA46" s="511" t="n"/>
      <c r="AB46" s="511" t="n"/>
      <c r="AC46" s="511" t="n"/>
      <c r="AD46" s="511" t="n"/>
      <c r="AE46" s="511" t="n"/>
      <c r="AF46" s="511" t="n"/>
      <c r="AG46" s="511" t="n"/>
      <c r="AH46" s="511" t="n"/>
      <c r="AI46" s="511" t="n"/>
      <c r="AJ46" s="511" t="n"/>
      <c r="AK46" s="511" t="n"/>
      <c r="AL46" s="511" t="n"/>
      <c r="AM46" s="511" t="n"/>
      <c r="AN46" s="511" t="n"/>
      <c r="AO46" s="511" t="n"/>
      <c r="AP46" s="511" t="n"/>
      <c r="AQ46" s="511" t="n"/>
      <c r="AR46" s="511" t="n"/>
      <c r="AS46" s="511" t="n"/>
      <c r="AT46" s="511" t="n"/>
      <c r="AU46" s="511" t="n"/>
      <c r="AV46" s="511" t="n"/>
      <c r="AW46" s="511" t="n"/>
      <c r="AX46" s="511" t="n"/>
      <c r="AY46" s="511" t="n"/>
      <c r="AZ46" s="511" t="n"/>
      <c r="BA46" s="511" t="n"/>
      <c r="BB46" s="511" t="n"/>
    </row>
    <row r="47">
      <c r="C47" s="753">
        <f>'BP - Annual'!C4</f>
        <v/>
      </c>
      <c r="D47" s="741">
        <f>'BP - Annual'!D4</f>
        <v/>
      </c>
      <c r="E47" s="741">
        <f>'BP - Annual'!E4</f>
        <v/>
      </c>
      <c r="F47" s="743">
        <f>'BP - Annual'!F4</f>
        <v/>
      </c>
      <c r="G47" s="756">
        <f>'BP - Annual'!G4</f>
        <v/>
      </c>
      <c r="H47" s="751">
        <f>'BP - Annual'!H4</f>
        <v/>
      </c>
      <c r="I47" s="751">
        <f>'BP - Annual'!I4</f>
        <v/>
      </c>
      <c r="J47" s="751">
        <f>'BP - Annual'!J4</f>
        <v/>
      </c>
      <c r="K47" s="757">
        <f>'BP - Annual'!K4</f>
        <v/>
      </c>
      <c r="M47" s="8" t="n"/>
      <c r="N47" s="8" t="n"/>
      <c r="O47" s="8" t="n"/>
      <c r="P47" s="8" t="n"/>
      <c r="Q47" s="8" t="n"/>
      <c r="R47" s="8" t="n"/>
      <c r="S47" s="8" t="n"/>
    </row>
    <row r="48">
      <c r="C48" s="497" t="inlineStr">
        <is>
          <t>Sales</t>
        </is>
      </c>
      <c r="D48" s="509">
        <f>D37</f>
        <v/>
      </c>
      <c r="E48" s="509">
        <f>E37</f>
        <v/>
      </c>
      <c r="F48" s="509">
        <f>F37</f>
        <v/>
      </c>
      <c r="G48" s="5">
        <f>SUM(G37:R37)</f>
        <v/>
      </c>
      <c r="H48" s="5">
        <f>SUM(S37:AD37)</f>
        <v/>
      </c>
      <c r="I48" s="5">
        <f>SUM(AE37:AP37)</f>
        <v/>
      </c>
      <c r="J48" s="5">
        <f>SUM(AQ37:BB37)</f>
        <v/>
      </c>
      <c r="K48" s="5">
        <f>SUM(BC37:BN37)</f>
        <v/>
      </c>
      <c r="M48" s="8" t="n"/>
      <c r="N48" s="8" t="n"/>
      <c r="O48" s="8" t="n"/>
      <c r="P48" s="8" t="n"/>
      <c r="Q48" s="8" t="n"/>
      <c r="R48" s="8" t="n"/>
      <c r="S48" s="8" t="n"/>
    </row>
    <row r="49">
      <c r="C49" s="497" t="inlineStr">
        <is>
          <t>R&amp;D</t>
        </is>
      </c>
      <c r="D49" s="509">
        <f>D38</f>
        <v/>
      </c>
      <c r="E49" s="509">
        <f>E38</f>
        <v/>
      </c>
      <c r="F49" s="509">
        <f>F38</f>
        <v/>
      </c>
      <c r="G49" s="5">
        <f>SUM(G38:R38)</f>
        <v/>
      </c>
      <c r="H49" s="5">
        <f>SUM(S38:AD38)</f>
        <v/>
      </c>
      <c r="I49" s="5">
        <f>SUM(AE38:AP38)</f>
        <v/>
      </c>
      <c r="J49" s="5">
        <f>SUM(AQ38:BB38)</f>
        <v/>
      </c>
      <c r="K49" s="5">
        <f>SUM(BC38:BN38)</f>
        <v/>
      </c>
      <c r="M49" s="8" t="n"/>
      <c r="N49" s="8" t="n"/>
      <c r="O49" s="8" t="n"/>
      <c r="P49" s="8" t="n"/>
      <c r="Q49" s="8" t="n"/>
      <c r="R49" s="8" t="n"/>
      <c r="S49" s="8" t="n"/>
    </row>
    <row r="50">
      <c r="C50" s="497" t="inlineStr">
        <is>
          <t>Finance</t>
        </is>
      </c>
      <c r="D50" s="509">
        <f>D39</f>
        <v/>
      </c>
      <c r="E50" s="509">
        <f>E39</f>
        <v/>
      </c>
      <c r="F50" s="509">
        <f>F39</f>
        <v/>
      </c>
      <c r="G50" s="5">
        <f>SUM(G39:R39)</f>
        <v/>
      </c>
      <c r="H50" s="5">
        <f>SUM(S39:AD39)</f>
        <v/>
      </c>
      <c r="I50" s="5">
        <f>SUM(AE39:AP39)</f>
        <v/>
      </c>
      <c r="J50" s="5">
        <f>SUM(AQ39:BB39)</f>
        <v/>
      </c>
      <c r="K50" s="5">
        <f>SUM(BC39:BN39)</f>
        <v/>
      </c>
      <c r="M50" s="8" t="n"/>
      <c r="N50" s="8" t="n"/>
      <c r="O50" s="8" t="n"/>
      <c r="P50" s="8" t="n"/>
      <c r="Q50" s="8" t="n"/>
      <c r="R50" s="8" t="n"/>
      <c r="S50" s="8" t="n"/>
    </row>
    <row r="51">
      <c r="C51" s="497" t="inlineStr">
        <is>
          <t>Admin</t>
        </is>
      </c>
      <c r="D51" s="509">
        <f>D40</f>
        <v/>
      </c>
      <c r="E51" s="509">
        <f>E40</f>
        <v/>
      </c>
      <c r="F51" s="509">
        <f>F40</f>
        <v/>
      </c>
      <c r="G51" s="5">
        <f>SUM(G40:R40)</f>
        <v/>
      </c>
      <c r="H51" s="5">
        <f>SUM(S40:AD40)</f>
        <v/>
      </c>
      <c r="I51" s="5">
        <f>SUM(AE40:AP40)</f>
        <v/>
      </c>
      <c r="J51" s="5">
        <f>SUM(AQ40:BB40)</f>
        <v/>
      </c>
      <c r="K51" s="5">
        <f>SUM(BC40:BN40)</f>
        <v/>
      </c>
      <c r="M51" s="8" t="n"/>
      <c r="N51" s="8" t="n"/>
      <c r="O51" s="8" t="n"/>
      <c r="P51" s="8" t="n"/>
      <c r="Q51" s="8" t="n"/>
      <c r="R51" s="8" t="n"/>
      <c r="S51" s="8" t="n"/>
    </row>
    <row r="52">
      <c r="C52" s="497" t="inlineStr">
        <is>
          <t>Overige</t>
        </is>
      </c>
      <c r="D52" s="509">
        <f>D41</f>
        <v/>
      </c>
      <c r="E52" s="509">
        <f>E41</f>
        <v/>
      </c>
      <c r="F52" s="509">
        <f>F41</f>
        <v/>
      </c>
      <c r="G52" s="5">
        <f>SUM(G41:R41)</f>
        <v/>
      </c>
      <c r="H52" s="5">
        <f>SUM(S41:AD41)</f>
        <v/>
      </c>
      <c r="I52" s="5">
        <f>SUM(AE41:AP41)</f>
        <v/>
      </c>
      <c r="J52" s="5">
        <f>SUM(AQ41:BB41)</f>
        <v/>
      </c>
      <c r="K52" s="5">
        <f>SUM(BC41:BN41)</f>
        <v/>
      </c>
      <c r="M52" s="8" t="n"/>
      <c r="N52" s="8" t="n"/>
      <c r="O52" s="8" t="n"/>
      <c r="P52" s="8" t="n"/>
      <c r="Q52" s="8" t="n"/>
      <c r="R52" s="8" t="n"/>
      <c r="S52" s="8" t="n"/>
    </row>
    <row r="53">
      <c r="C53" s="500" t="inlineStr">
        <is>
          <t>Subtotaal bezoldigingen</t>
        </is>
      </c>
      <c r="D53" s="510">
        <f>SUM(D48:D52)</f>
        <v/>
      </c>
      <c r="E53" s="510">
        <f>SUM(E48:E52)</f>
        <v/>
      </c>
      <c r="F53" s="510">
        <f>SUM(F48:F52)</f>
        <v/>
      </c>
      <c r="G53" s="510">
        <f>SUM(G48:G52)</f>
        <v/>
      </c>
      <c r="H53" s="510">
        <f>SUM(H48:H52)</f>
        <v/>
      </c>
      <c r="I53" s="510">
        <f>SUM(I48:I52)</f>
        <v/>
      </c>
      <c r="J53" s="510">
        <f>SUM(J48:J52)</f>
        <v/>
      </c>
      <c r="K53" s="510">
        <f>SUM(K48:K52)</f>
        <v/>
      </c>
      <c r="M53" s="8" t="n"/>
      <c r="N53" s="8" t="n"/>
      <c r="O53" s="8" t="n"/>
      <c r="P53" s="8" t="n"/>
      <c r="Q53" s="8" t="n"/>
      <c r="R53" s="8" t="n"/>
      <c r="S53" s="8" t="n"/>
    </row>
    <row r="54">
      <c r="C54" s="497" t="inlineStr">
        <is>
          <t>Management vergoedingen</t>
        </is>
      </c>
      <c r="D54" s="509">
        <f>D36</f>
        <v/>
      </c>
      <c r="E54" s="509">
        <f>E36</f>
        <v/>
      </c>
      <c r="F54" s="509">
        <f>F36</f>
        <v/>
      </c>
      <c r="G54" s="5">
        <f>SUM(G36:R36)</f>
        <v/>
      </c>
      <c r="H54" s="5">
        <f>SUM(S36:AD36)</f>
        <v/>
      </c>
      <c r="I54" s="5">
        <f>SUM(AE36:AP36)</f>
        <v/>
      </c>
      <c r="J54" s="5">
        <f>SUM(AQ36:BB36)</f>
        <v/>
      </c>
      <c r="K54" s="5">
        <f>SUM(BC36:BN36)</f>
        <v/>
      </c>
      <c r="M54" s="8" t="n"/>
      <c r="N54" s="8" t="n"/>
      <c r="O54" s="8" t="n"/>
      <c r="P54" s="8" t="n"/>
      <c r="Q54" s="8" t="n"/>
      <c r="R54" s="8" t="n"/>
      <c r="S54" s="8" t="n"/>
    </row>
    <row r="55">
      <c r="C55" s="500" t="inlineStr">
        <is>
          <t>Totaal personeelskosten</t>
        </is>
      </c>
      <c r="D55" s="510">
        <f>SUM(D53:D54)</f>
        <v/>
      </c>
      <c r="E55" s="510">
        <f>SUM(E53:E54)</f>
        <v/>
      </c>
      <c r="F55" s="510">
        <f>SUM(F53:F54)</f>
        <v/>
      </c>
      <c r="G55" s="510">
        <f>SUM(G53:G54)</f>
        <v/>
      </c>
      <c r="H55" s="510">
        <f>SUM(H53:H54)</f>
        <v/>
      </c>
      <c r="I55" s="510">
        <f>SUM(I53:I54)</f>
        <v/>
      </c>
      <c r="J55" s="510">
        <f>SUM(J53:J54)</f>
        <v/>
      </c>
      <c r="K55" s="510">
        <f>SUM(K53:K54)</f>
        <v/>
      </c>
      <c r="M55" s="8" t="n"/>
      <c r="N55" s="8" t="n"/>
      <c r="O55" s="8" t="n"/>
      <c r="P55" s="8" t="n"/>
      <c r="Q55" s="8" t="n"/>
      <c r="R55" s="8" t="n"/>
      <c r="S55" s="8" t="n"/>
    </row>
    <row r="56">
      <c r="M56" s="8" t="n"/>
      <c r="N56" s="8" t="n"/>
      <c r="O56" s="8" t="n"/>
      <c r="P56" s="8" t="n"/>
      <c r="Q56" s="8" t="n"/>
      <c r="R56" s="8" t="n"/>
      <c r="S56" s="8" t="n"/>
    </row>
    <row r="57">
      <c r="M57" s="8" t="n"/>
      <c r="N57" s="8" t="n"/>
      <c r="O57" s="8" t="n"/>
      <c r="P57" s="8" t="n"/>
      <c r="Q57" s="8" t="n"/>
      <c r="R57" s="8" t="n"/>
      <c r="S57" s="8" t="n"/>
    </row>
    <row r="58">
      <c r="M58" s="8" t="n"/>
      <c r="N58" s="8" t="n"/>
      <c r="O58" s="8" t="n"/>
      <c r="P58" s="8" t="n"/>
      <c r="Q58" s="8" t="n"/>
      <c r="R58" s="8" t="n"/>
      <c r="S58" s="8" t="n"/>
    </row>
    <row r="60">
      <c r="H60" s="5" t="n"/>
      <c r="I60" s="5" t="n"/>
      <c r="J60" s="5" t="n"/>
      <c r="K60" s="5" t="n"/>
      <c r="L60" s="5" t="n"/>
    </row>
    <row r="61">
      <c r="H61" s="5" t="n"/>
      <c r="I61" s="5" t="n"/>
      <c r="J61" s="5" t="n"/>
      <c r="K61" s="5" t="n"/>
      <c r="L61" s="5" t="n"/>
    </row>
    <row r="62">
      <c r="H62" s="5" t="n"/>
      <c r="I62" s="5" t="n"/>
      <c r="J62" s="5" t="n"/>
      <c r="K62" s="5" t="n"/>
      <c r="L62" s="5" t="n"/>
    </row>
    <row r="63">
      <c r="H63" s="5" t="n"/>
      <c r="I63" s="5" t="n"/>
      <c r="J63" s="5" t="n"/>
      <c r="K63" s="5" t="n"/>
      <c r="L63" s="5" t="n"/>
    </row>
    <row r="64">
      <c r="H64" s="5" t="n"/>
      <c r="I64" s="5" t="n"/>
      <c r="J64" s="5" t="n"/>
      <c r="K64" s="5" t="n"/>
      <c r="L64" s="5" t="n"/>
    </row>
    <row r="65">
      <c r="H65" s="5" t="n"/>
      <c r="I65" s="5" t="n"/>
      <c r="J65" s="5" t="n"/>
      <c r="K65" s="5" t="n"/>
      <c r="L65" s="5" t="n"/>
    </row>
    <row r="66">
      <c r="H66" s="5" t="n"/>
      <c r="I66" s="5" t="n"/>
      <c r="J66" s="5" t="n"/>
      <c r="K66" s="5" t="n"/>
      <c r="L66" s="5" t="n"/>
    </row>
    <row r="67">
      <c r="H67" s="5" t="n"/>
      <c r="I67" s="5" t="n"/>
      <c r="J67" s="5" t="n"/>
      <c r="K67" s="5" t="n"/>
      <c r="L67" s="5" t="n"/>
    </row>
    <row r="68">
      <c r="H68" s="5" t="n"/>
      <c r="I68" s="5" t="n"/>
      <c r="J68" s="5" t="n"/>
      <c r="K68" s="5" t="n"/>
      <c r="L68" s="5" t="n"/>
    </row>
    <row r="69">
      <c r="H69" s="5" t="n"/>
      <c r="I69" s="5" t="n"/>
      <c r="J69" s="5" t="n"/>
      <c r="K69" s="5" t="n"/>
      <c r="L69" s="5" t="n"/>
    </row>
    <row r="70">
      <c r="H70" s="5" t="n"/>
      <c r="I70" s="5" t="n"/>
      <c r="J70" s="5" t="n"/>
      <c r="K70" s="5" t="n"/>
      <c r="L70" s="5" t="n"/>
    </row>
    <row r="71">
      <c r="H71" s="5" t="n"/>
      <c r="I71" s="5" t="n"/>
      <c r="J71" s="5" t="n"/>
      <c r="K71" s="5" t="n"/>
      <c r="L71" s="5" t="n"/>
    </row>
    <row r="72">
      <c r="H72" s="5" t="n"/>
      <c r="I72" s="5" t="n"/>
      <c r="J72" s="5" t="n"/>
      <c r="K72" s="5" t="n"/>
      <c r="L72" s="5" t="n"/>
    </row>
    <row r="73">
      <c r="H73" s="5" t="n"/>
      <c r="I73" s="5" t="n"/>
      <c r="J73" s="5" t="n"/>
      <c r="K73" s="5" t="n"/>
      <c r="L73" s="5" t="n"/>
    </row>
    <row r="74">
      <c r="H74" s="5" t="n"/>
      <c r="I74" s="5" t="n"/>
      <c r="J74" s="5" t="n"/>
      <c r="K74" s="5" t="n"/>
      <c r="L74" s="5" t="n"/>
    </row>
    <row r="75">
      <c r="H75" s="5" t="n"/>
      <c r="I75" s="5" t="n"/>
      <c r="J75" s="5" t="n"/>
      <c r="K75" s="5" t="n"/>
      <c r="L75" s="5" t="n"/>
    </row>
    <row r="76">
      <c r="H76" s="5" t="n"/>
      <c r="I76" s="5" t="n"/>
      <c r="J76" s="5" t="n"/>
      <c r="K76" s="5" t="n"/>
      <c r="L76" s="5" t="n"/>
    </row>
    <row r="77">
      <c r="H77" s="5" t="n"/>
      <c r="I77" s="5" t="n"/>
      <c r="J77" s="5" t="n"/>
      <c r="K77" s="5" t="n"/>
      <c r="L77" s="5" t="n"/>
    </row>
    <row r="78">
      <c r="H78" s="5" t="n"/>
      <c r="I78" s="5" t="n"/>
      <c r="J78" s="5" t="n"/>
      <c r="K78" s="5" t="n"/>
      <c r="L78" s="5" t="n"/>
    </row>
    <row r="79">
      <c r="H79" s="5" t="n"/>
      <c r="I79" s="5" t="n"/>
      <c r="J79" s="5" t="n"/>
      <c r="K79" s="5" t="n"/>
      <c r="L79" s="5" t="n"/>
    </row>
    <row r="80">
      <c r="H80" s="5" t="n"/>
      <c r="I80" s="5" t="n"/>
      <c r="J80" s="5" t="n"/>
      <c r="K80" s="5" t="n"/>
      <c r="L80" s="5" t="n"/>
    </row>
    <row r="81">
      <c r="H81" s="5" t="n"/>
      <c r="I81" s="5" t="n"/>
      <c r="J81" s="5" t="n"/>
      <c r="K81" s="5" t="n"/>
      <c r="L81" s="5" t="n"/>
    </row>
    <row r="82">
      <c r="H82" s="5" t="n"/>
      <c r="I82" s="5" t="n"/>
      <c r="J82" s="5" t="n"/>
      <c r="K82" s="5" t="n"/>
      <c r="L82" s="5" t="n"/>
    </row>
    <row r="83">
      <c r="H83" s="5" t="n"/>
      <c r="I83" s="5" t="n"/>
      <c r="J83" s="5" t="n"/>
      <c r="K83" s="5" t="n"/>
      <c r="L83" s="5" t="n"/>
    </row>
    <row r="84">
      <c r="H84" s="5" t="n"/>
      <c r="I84" s="5" t="n"/>
      <c r="J84" s="5" t="n"/>
      <c r="K84" s="5" t="n"/>
      <c r="L84" s="5" t="n"/>
    </row>
    <row r="85">
      <c r="H85" s="5" t="n"/>
      <c r="I85" s="5" t="n"/>
      <c r="J85" s="5" t="n"/>
      <c r="K85" s="5" t="n"/>
      <c r="L85" s="5" t="n"/>
    </row>
    <row r="86">
      <c r="H86" s="5" t="n"/>
      <c r="I86" s="5" t="n"/>
      <c r="J86" s="5" t="n"/>
      <c r="K86" s="5" t="n"/>
      <c r="L86" s="5" t="n"/>
    </row>
    <row r="87">
      <c r="H87" s="5" t="n"/>
      <c r="I87" s="5" t="n"/>
      <c r="J87" s="5" t="n"/>
      <c r="K87" s="5" t="n"/>
      <c r="L87" s="5" t="n"/>
    </row>
    <row r="88">
      <c r="H88" s="5" t="n"/>
      <c r="I88" s="5" t="n"/>
      <c r="J88" s="5" t="n"/>
      <c r="K88" s="5" t="n"/>
      <c r="L88" s="5" t="n"/>
    </row>
    <row r="89">
      <c r="H89" s="5" t="n"/>
      <c r="I89" s="5" t="n"/>
      <c r="J89" s="5" t="n"/>
      <c r="K89" s="5" t="n"/>
      <c r="L89" s="5" t="n"/>
    </row>
    <row r="90">
      <c r="H90" s="5" t="n"/>
      <c r="I90" s="5" t="n"/>
      <c r="J90" s="5" t="n"/>
      <c r="K90" s="5" t="n"/>
      <c r="L90" s="5" t="n"/>
    </row>
    <row r="91">
      <c r="H91" s="5" t="n"/>
      <c r="I91" s="5" t="n"/>
      <c r="J91" s="5" t="n"/>
      <c r="K91" s="5" t="n"/>
      <c r="L91" s="5" t="n"/>
    </row>
    <row r="92">
      <c r="H92" s="5" t="n"/>
      <c r="I92" s="5" t="n"/>
      <c r="J92" s="5" t="n"/>
      <c r="K92" s="5" t="n"/>
      <c r="L92" s="5" t="n"/>
    </row>
    <row r="93">
      <c r="H93" s="5" t="n"/>
      <c r="I93" s="5" t="n"/>
      <c r="J93" s="5" t="n"/>
      <c r="K93" s="5" t="n"/>
      <c r="L93" s="5" t="n"/>
    </row>
    <row r="94">
      <c r="H94" s="5" t="n"/>
      <c r="I94" s="5" t="n"/>
      <c r="J94" s="5" t="n"/>
      <c r="K94" s="5" t="n"/>
      <c r="L94" s="5" t="n"/>
    </row>
    <row r="95">
      <c r="H95" s="5" t="n"/>
      <c r="I95" s="5" t="n"/>
      <c r="J95" s="5" t="n"/>
      <c r="K95" s="5" t="n"/>
      <c r="L95" s="5" t="n"/>
    </row>
    <row r="96">
      <c r="H96" s="5" t="n"/>
      <c r="I96" s="5" t="n"/>
      <c r="J96" s="5" t="n"/>
      <c r="K96" s="5" t="n"/>
      <c r="L96" s="5" t="n"/>
    </row>
    <row r="97">
      <c r="H97" s="5" t="n"/>
      <c r="I97" s="5" t="n"/>
      <c r="J97" s="5" t="n"/>
      <c r="K97" s="5" t="n"/>
      <c r="L97" s="5" t="n"/>
    </row>
    <row r="98">
      <c r="H98" s="5" t="n"/>
      <c r="I98" s="5" t="n"/>
      <c r="J98" s="5" t="n"/>
      <c r="K98" s="5" t="n"/>
      <c r="L98" s="5" t="n"/>
    </row>
    <row r="99">
      <c r="H99" s="5" t="n"/>
      <c r="I99" s="5" t="n"/>
      <c r="J99" s="5" t="n"/>
      <c r="K99" s="5" t="n"/>
      <c r="L99" s="5" t="n"/>
    </row>
    <row r="100">
      <c r="H100" s="5" t="n"/>
      <c r="I100" s="5" t="n"/>
      <c r="J100" s="5" t="n"/>
      <c r="K100" s="5" t="n"/>
      <c r="L100" s="5" t="n"/>
    </row>
    <row r="101">
      <c r="H101" s="5" t="n"/>
      <c r="I101" s="5" t="n"/>
      <c r="J101" s="5" t="n"/>
      <c r="K101" s="5" t="n"/>
      <c r="L101" s="5" t="n"/>
    </row>
    <row r="102">
      <c r="H102" s="5" t="n"/>
      <c r="I102" s="5" t="n"/>
      <c r="J102" s="5" t="n"/>
      <c r="K102" s="5" t="n"/>
      <c r="L102" s="5" t="n"/>
    </row>
    <row r="103">
      <c r="H103" s="5" t="n"/>
      <c r="I103" s="5" t="n"/>
      <c r="J103" s="5" t="n"/>
      <c r="K103" s="5" t="n"/>
      <c r="L103" s="5" t="n"/>
    </row>
    <row r="104">
      <c r="H104" s="5" t="n"/>
      <c r="I104" s="5" t="n"/>
      <c r="J104" s="5" t="n"/>
      <c r="K104" s="5" t="n"/>
      <c r="L104" s="5" t="n"/>
    </row>
    <row r="105">
      <c r="H105" s="5" t="n"/>
      <c r="I105" s="5" t="n"/>
      <c r="J105" s="5" t="n"/>
      <c r="K105" s="5" t="n"/>
      <c r="L105" s="5" t="n"/>
    </row>
    <row r="106">
      <c r="H106" s="5" t="n"/>
      <c r="I106" s="5" t="n"/>
      <c r="J106" s="5" t="n"/>
      <c r="K106" s="5" t="n"/>
      <c r="L106" s="5" t="n"/>
    </row>
    <row r="107">
      <c r="H107" s="5" t="n"/>
      <c r="I107" s="5" t="n"/>
      <c r="J107" s="5" t="n"/>
      <c r="K107" s="5" t="n"/>
      <c r="L107" s="5" t="n"/>
    </row>
    <row r="108">
      <c r="H108" s="5" t="n"/>
      <c r="I108" s="5" t="n"/>
      <c r="J108" s="5" t="n"/>
      <c r="K108" s="5" t="n"/>
      <c r="L108" s="5" t="n"/>
    </row>
    <row r="109">
      <c r="H109" s="5" t="n"/>
      <c r="I109" s="5" t="n"/>
      <c r="J109" s="5" t="n"/>
      <c r="K109" s="5" t="n"/>
      <c r="L109" s="5" t="n"/>
    </row>
    <row r="110">
      <c r="H110" s="5" t="n"/>
      <c r="I110" s="5" t="n"/>
      <c r="J110" s="5" t="n"/>
      <c r="K110" s="5" t="n"/>
      <c r="L110" s="5" t="n"/>
    </row>
    <row r="111">
      <c r="H111" s="5" t="n"/>
      <c r="I111" s="5" t="n"/>
      <c r="J111" s="5" t="n"/>
      <c r="K111" s="5" t="n"/>
      <c r="L111" s="5" t="n"/>
    </row>
    <row r="112">
      <c r="H112" s="5" t="n"/>
      <c r="I112" s="5" t="n"/>
      <c r="J112" s="5" t="n"/>
      <c r="K112" s="5" t="n"/>
      <c r="L112" s="5" t="n"/>
    </row>
    <row r="113">
      <c r="H113" s="5" t="n"/>
      <c r="I113" s="5" t="n"/>
      <c r="J113" s="5" t="n"/>
      <c r="K113" s="5" t="n"/>
      <c r="L113" s="5" t="n"/>
    </row>
    <row r="114">
      <c r="H114" s="5" t="n"/>
      <c r="I114" s="5" t="n"/>
      <c r="J114" s="5" t="n"/>
      <c r="K114" s="5" t="n"/>
      <c r="L114" s="5" t="n"/>
    </row>
    <row r="115">
      <c r="H115" s="5" t="n"/>
      <c r="I115" s="5" t="n"/>
      <c r="J115" s="5" t="n"/>
      <c r="K115" s="5" t="n"/>
      <c r="L115" s="5" t="n"/>
    </row>
    <row r="116">
      <c r="H116" s="5" t="n"/>
      <c r="I116" s="5" t="n"/>
      <c r="J116" s="5" t="n"/>
      <c r="K116" s="5" t="n"/>
      <c r="L116" s="5" t="n"/>
    </row>
    <row r="117">
      <c r="H117" s="5" t="n"/>
      <c r="I117" s="5" t="n"/>
      <c r="J117" s="5" t="n"/>
      <c r="K117" s="5" t="n"/>
      <c r="L117" s="5" t="n"/>
    </row>
    <row r="118">
      <c r="H118" s="5" t="n"/>
      <c r="I118" s="5" t="n"/>
      <c r="J118" s="5" t="n"/>
      <c r="K118" s="5" t="n"/>
      <c r="L118" s="5" t="n"/>
    </row>
    <row r="119">
      <c r="H119" s="5" t="n"/>
      <c r="I119" s="5" t="n"/>
      <c r="J119" s="5" t="n"/>
      <c r="K119" s="5" t="n"/>
      <c r="L119" s="5" t="n"/>
    </row>
    <row r="120">
      <c r="H120" s="5" t="n"/>
      <c r="I120" s="5" t="n"/>
      <c r="J120" s="5" t="n"/>
      <c r="K120" s="5" t="n"/>
      <c r="L120" s="5" t="n"/>
    </row>
    <row r="121">
      <c r="H121" s="5" t="n"/>
      <c r="I121" s="5" t="n"/>
      <c r="J121" s="5" t="n"/>
      <c r="K121" s="5" t="n"/>
      <c r="L121" s="5" t="n"/>
    </row>
    <row r="122">
      <c r="H122" s="5" t="n"/>
      <c r="I122" s="5" t="n"/>
      <c r="J122" s="5" t="n"/>
      <c r="K122" s="5" t="n"/>
      <c r="L122" s="5" t="n"/>
    </row>
    <row r="123">
      <c r="H123" s="5" t="n"/>
      <c r="I123" s="5" t="n"/>
      <c r="J123" s="5" t="n"/>
      <c r="K123" s="5" t="n"/>
      <c r="L123" s="5" t="n"/>
    </row>
    <row r="124">
      <c r="H124" s="5" t="n"/>
      <c r="I124" s="5" t="n"/>
      <c r="J124" s="5" t="n"/>
      <c r="K124" s="5" t="n"/>
      <c r="L124" s="5" t="n"/>
    </row>
    <row r="125">
      <c r="H125" s="5" t="n"/>
      <c r="I125" s="5" t="n"/>
      <c r="J125" s="5" t="n"/>
      <c r="K125" s="5" t="n"/>
      <c r="L125" s="5" t="n"/>
    </row>
    <row r="126">
      <c r="H126" s="5" t="n"/>
      <c r="I126" s="5" t="n"/>
      <c r="J126" s="5" t="n"/>
      <c r="K126" s="5" t="n"/>
      <c r="L126" s="5" t="n"/>
    </row>
    <row r="127">
      <c r="H127" s="5" t="n"/>
      <c r="I127" s="5" t="n"/>
      <c r="J127" s="5" t="n"/>
      <c r="K127" s="5" t="n"/>
      <c r="L127" s="5" t="n"/>
    </row>
    <row r="128">
      <c r="H128" s="5" t="n"/>
      <c r="I128" s="5" t="n"/>
      <c r="J128" s="5" t="n"/>
      <c r="K128" s="5" t="n"/>
      <c r="L128" s="5" t="n"/>
    </row>
    <row r="129">
      <c r="H129" s="5" t="n"/>
      <c r="I129" s="5" t="n"/>
      <c r="J129" s="5" t="n"/>
      <c r="K129" s="5" t="n"/>
      <c r="L129" s="5" t="n"/>
    </row>
    <row r="130">
      <c r="H130" s="5" t="n"/>
      <c r="I130" s="5" t="n"/>
      <c r="J130" s="5" t="n"/>
      <c r="K130" s="5" t="n"/>
      <c r="L130" s="5" t="n"/>
    </row>
    <row r="131">
      <c r="H131" s="5" t="n"/>
      <c r="I131" s="5" t="n"/>
      <c r="J131" s="5" t="n"/>
      <c r="K131" s="5" t="n"/>
      <c r="L131" s="5" t="n"/>
    </row>
    <row r="132">
      <c r="H132" s="5" t="n"/>
      <c r="I132" s="5" t="n"/>
      <c r="J132" s="5" t="n"/>
      <c r="K132" s="5" t="n"/>
      <c r="L132" s="5" t="n"/>
    </row>
    <row r="133">
      <c r="H133" s="5" t="n"/>
      <c r="I133" s="5" t="n"/>
      <c r="J133" s="5" t="n"/>
      <c r="K133" s="5" t="n"/>
      <c r="L133" s="5" t="n"/>
    </row>
    <row r="134">
      <c r="H134" s="5" t="n"/>
      <c r="I134" s="5" t="n"/>
      <c r="J134" s="5" t="n"/>
      <c r="K134" s="5" t="n"/>
      <c r="L134" s="5" t="n"/>
    </row>
    <row r="135">
      <c r="H135" s="5" t="n"/>
      <c r="I135" s="5" t="n"/>
      <c r="J135" s="5" t="n"/>
      <c r="K135" s="5" t="n"/>
      <c r="L135" s="5" t="n"/>
    </row>
    <row r="136">
      <c r="H136" s="5" t="n"/>
      <c r="I136" s="5" t="n"/>
      <c r="J136" s="5" t="n"/>
      <c r="K136" s="5" t="n"/>
      <c r="L136" s="5" t="n"/>
    </row>
    <row r="137">
      <c r="H137" s="5" t="n"/>
      <c r="I137" s="5" t="n"/>
      <c r="J137" s="5" t="n"/>
      <c r="K137" s="5" t="n"/>
      <c r="L137" s="5" t="n"/>
    </row>
    <row r="138">
      <c r="H138" s="5" t="n"/>
      <c r="I138" s="5" t="n"/>
      <c r="J138" s="5" t="n"/>
      <c r="K138" s="5" t="n"/>
      <c r="L138" s="5" t="n"/>
    </row>
    <row r="139">
      <c r="H139" s="5" t="n"/>
      <c r="I139" s="5" t="n"/>
      <c r="J139" s="5" t="n"/>
      <c r="K139" s="5" t="n"/>
      <c r="L139" s="5" t="n"/>
    </row>
    <row r="140">
      <c r="H140" s="5" t="n"/>
      <c r="I140" s="5" t="n"/>
      <c r="J140" s="5" t="n"/>
      <c r="K140" s="5" t="n"/>
      <c r="L140" s="5" t="n"/>
    </row>
    <row r="141">
      <c r="H141" s="5" t="n"/>
      <c r="I141" s="5" t="n"/>
      <c r="J141" s="5" t="n"/>
      <c r="K141" s="5" t="n"/>
      <c r="L141" s="5" t="n"/>
    </row>
    <row r="142">
      <c r="H142" s="5" t="n"/>
      <c r="I142" s="5" t="n"/>
      <c r="J142" s="5" t="n"/>
      <c r="K142" s="5" t="n"/>
      <c r="L142" s="5" t="n"/>
    </row>
    <row r="143">
      <c r="H143" s="5" t="n"/>
      <c r="I143" s="5" t="n"/>
      <c r="J143" s="5" t="n"/>
      <c r="K143" s="5" t="n"/>
      <c r="L143" s="5" t="n"/>
    </row>
    <row r="144">
      <c r="H144" s="5" t="n"/>
      <c r="I144" s="5" t="n"/>
      <c r="J144" s="5" t="n"/>
      <c r="K144" s="5" t="n"/>
      <c r="L144" s="5" t="n"/>
    </row>
    <row r="145">
      <c r="H145" s="5" t="n"/>
      <c r="I145" s="5" t="n"/>
      <c r="J145" s="5" t="n"/>
      <c r="K145" s="5" t="n"/>
      <c r="L145" s="5" t="n"/>
    </row>
    <row r="146">
      <c r="H146" s="5" t="n"/>
      <c r="I146" s="5" t="n"/>
      <c r="J146" s="5" t="n"/>
      <c r="K146" s="5" t="n"/>
      <c r="L146" s="5" t="n"/>
    </row>
    <row r="147">
      <c r="H147" s="5" t="n"/>
      <c r="I147" s="5" t="n"/>
      <c r="J147" s="5" t="n"/>
      <c r="K147" s="5" t="n"/>
      <c r="L147" s="5" t="n"/>
    </row>
    <row r="148">
      <c r="H148" s="5" t="n"/>
      <c r="I148" s="5" t="n"/>
      <c r="J148" s="5" t="n"/>
      <c r="K148" s="5" t="n"/>
      <c r="L148" s="5" t="n"/>
    </row>
    <row r="149">
      <c r="H149" s="5" t="n"/>
      <c r="I149" s="5" t="n"/>
      <c r="J149" s="5" t="n"/>
      <c r="K149" s="5" t="n"/>
      <c r="L149" s="5" t="n"/>
    </row>
    <row r="150">
      <c r="H150" s="5" t="n"/>
      <c r="I150" s="5" t="n"/>
      <c r="J150" s="5" t="n"/>
      <c r="K150" s="5" t="n"/>
      <c r="L150" s="5" t="n"/>
    </row>
    <row r="151">
      <c r="H151" s="5" t="n"/>
      <c r="I151" s="5" t="n"/>
      <c r="J151" s="5" t="n"/>
      <c r="K151" s="5" t="n"/>
      <c r="L151" s="5" t="n"/>
    </row>
    <row r="152">
      <c r="H152" s="5" t="n"/>
      <c r="I152" s="5" t="n"/>
      <c r="J152" s="5" t="n"/>
      <c r="K152" s="5" t="n"/>
      <c r="L152" s="5" t="n"/>
    </row>
    <row r="153">
      <c r="H153" s="5" t="n"/>
      <c r="I153" s="5" t="n"/>
      <c r="J153" s="5" t="n"/>
      <c r="K153" s="5" t="n"/>
      <c r="L153" s="5" t="n"/>
    </row>
    <row r="154">
      <c r="H154" s="5" t="n"/>
      <c r="I154" s="5" t="n"/>
      <c r="J154" s="5" t="n"/>
      <c r="K154" s="5" t="n"/>
      <c r="L154" s="5" t="n"/>
    </row>
    <row r="155">
      <c r="H155" s="5" t="n"/>
      <c r="I155" s="5" t="n"/>
      <c r="J155" s="5" t="n"/>
      <c r="K155" s="5" t="n"/>
      <c r="L155" s="5" t="n"/>
    </row>
    <row r="156">
      <c r="H156" s="5" t="n"/>
      <c r="I156" s="5" t="n"/>
      <c r="J156" s="5" t="n"/>
      <c r="K156" s="5" t="n"/>
      <c r="L156" s="5" t="n"/>
    </row>
    <row r="157">
      <c r="H157" s="5" t="n"/>
      <c r="I157" s="5" t="n"/>
      <c r="J157" s="5" t="n"/>
      <c r="K157" s="5" t="n"/>
      <c r="L157" s="5" t="n"/>
    </row>
    <row r="158">
      <c r="H158" s="5" t="n"/>
      <c r="I158" s="5" t="n"/>
      <c r="J158" s="5" t="n"/>
      <c r="K158" s="5" t="n"/>
      <c r="L158" s="5" t="n"/>
    </row>
    <row r="159">
      <c r="H159" s="5" t="n"/>
      <c r="I159" s="5" t="n"/>
      <c r="J159" s="5" t="n"/>
      <c r="K159" s="5" t="n"/>
      <c r="L159" s="5" t="n"/>
    </row>
    <row r="160">
      <c r="H160" s="5" t="n"/>
      <c r="I160" s="5" t="n"/>
      <c r="J160" s="5" t="n"/>
      <c r="K160" s="5" t="n"/>
      <c r="L160" s="5" t="n"/>
    </row>
    <row r="161">
      <c r="H161" s="5" t="n"/>
      <c r="I161" s="5" t="n"/>
      <c r="J161" s="5" t="n"/>
      <c r="K161" s="5" t="n"/>
      <c r="L161" s="5" t="n"/>
    </row>
    <row r="162">
      <c r="H162" s="5" t="n"/>
      <c r="I162" s="5" t="n"/>
      <c r="J162" s="5" t="n"/>
      <c r="K162" s="5" t="n"/>
      <c r="L162" s="5" t="n"/>
    </row>
    <row r="163">
      <c r="H163" s="5" t="n"/>
      <c r="I163" s="5" t="n"/>
      <c r="J163" s="5" t="n"/>
      <c r="K163" s="5" t="n"/>
      <c r="L163" s="5" t="n"/>
    </row>
    <row r="164">
      <c r="H164" s="5" t="n"/>
      <c r="I164" s="5" t="n"/>
      <c r="J164" s="5" t="n"/>
      <c r="K164" s="5" t="n"/>
      <c r="L164" s="5" t="n"/>
    </row>
    <row r="165">
      <c r="H165" s="5" t="n"/>
      <c r="I165" s="5" t="n"/>
      <c r="J165" s="5" t="n"/>
      <c r="K165" s="5" t="n"/>
      <c r="L165" s="5" t="n"/>
    </row>
    <row r="166">
      <c r="H166" s="5" t="n"/>
      <c r="I166" s="5" t="n"/>
      <c r="J166" s="5" t="n"/>
      <c r="K166" s="5" t="n"/>
      <c r="L166" s="5" t="n"/>
    </row>
    <row r="167">
      <c r="H167" s="5" t="n"/>
      <c r="I167" s="5" t="n"/>
      <c r="J167" s="5" t="n"/>
      <c r="K167" s="5" t="n"/>
      <c r="L167" s="5" t="n"/>
    </row>
    <row r="168">
      <c r="H168" s="5" t="n"/>
      <c r="I168" s="5" t="n"/>
      <c r="J168" s="5" t="n"/>
      <c r="K168" s="5" t="n"/>
      <c r="L168" s="5" t="n"/>
    </row>
    <row r="169">
      <c r="H169" s="5" t="n"/>
      <c r="I169" s="5" t="n"/>
      <c r="J169" s="5" t="n"/>
      <c r="K169" s="5" t="n"/>
      <c r="L169" s="5" t="n"/>
    </row>
    <row r="170">
      <c r="H170" s="5" t="n"/>
      <c r="I170" s="5" t="n"/>
      <c r="J170" s="5" t="n"/>
      <c r="K170" s="5" t="n"/>
      <c r="L170" s="5" t="n"/>
    </row>
    <row r="171">
      <c r="H171" s="5" t="n"/>
      <c r="I171" s="5" t="n"/>
      <c r="J171" s="5" t="n"/>
      <c r="K171" s="5" t="n"/>
      <c r="L171" s="5" t="n"/>
    </row>
    <row r="172">
      <c r="H172" s="5" t="n"/>
      <c r="I172" s="5" t="n"/>
      <c r="J172" s="5" t="n"/>
      <c r="K172" s="5" t="n"/>
      <c r="L172" s="5" t="n"/>
    </row>
    <row r="173">
      <c r="H173" s="5" t="n"/>
      <c r="I173" s="5" t="n"/>
      <c r="J173" s="5" t="n"/>
      <c r="K173" s="5" t="n"/>
      <c r="L173" s="5" t="n"/>
    </row>
    <row r="174">
      <c r="H174" s="5" t="n"/>
      <c r="I174" s="5" t="n"/>
      <c r="J174" s="5" t="n"/>
      <c r="K174" s="5" t="n"/>
      <c r="L174" s="5" t="n"/>
    </row>
    <row r="175">
      <c r="H175" s="5" t="n"/>
      <c r="I175" s="5" t="n"/>
      <c r="J175" s="5" t="n"/>
      <c r="K175" s="5" t="n"/>
      <c r="L175" s="5" t="n"/>
    </row>
    <row r="176">
      <c r="H176" s="5" t="n"/>
      <c r="I176" s="5" t="n"/>
      <c r="J176" s="5" t="n"/>
      <c r="K176" s="5" t="n"/>
      <c r="L176" s="5" t="n"/>
    </row>
    <row r="177">
      <c r="H177" s="5" t="n"/>
      <c r="I177" s="5" t="n"/>
      <c r="J177" s="5" t="n"/>
      <c r="K177" s="5" t="n"/>
      <c r="L177" s="5" t="n"/>
    </row>
    <row r="178">
      <c r="H178" s="5" t="n"/>
      <c r="I178" s="5" t="n"/>
      <c r="J178" s="5" t="n"/>
      <c r="K178" s="5" t="n"/>
      <c r="L178" s="5" t="n"/>
    </row>
    <row r="179">
      <c r="H179" s="5" t="n"/>
      <c r="I179" s="5" t="n"/>
      <c r="J179" s="5" t="n"/>
      <c r="K179" s="5" t="n"/>
      <c r="L179" s="5" t="n"/>
    </row>
    <row r="180">
      <c r="H180" s="5" t="n"/>
      <c r="I180" s="5" t="n"/>
      <c r="J180" s="5" t="n"/>
      <c r="K180" s="5" t="n"/>
      <c r="L180" s="5" t="n"/>
    </row>
    <row r="181">
      <c r="H181" s="5" t="n"/>
      <c r="I181" s="5" t="n"/>
      <c r="J181" s="5" t="n"/>
      <c r="K181" s="5" t="n"/>
      <c r="L181" s="5" t="n"/>
    </row>
    <row r="182">
      <c r="H182" s="5" t="n"/>
      <c r="I182" s="5" t="n"/>
      <c r="J182" s="5" t="n"/>
      <c r="K182" s="5" t="n"/>
      <c r="L182" s="5" t="n"/>
    </row>
    <row r="183">
      <c r="H183" s="5" t="n"/>
      <c r="I183" s="5" t="n"/>
      <c r="J183" s="5" t="n"/>
      <c r="K183" s="5" t="n"/>
      <c r="L183" s="5" t="n"/>
    </row>
    <row r="184">
      <c r="H184" s="5" t="n"/>
      <c r="I184" s="5" t="n"/>
      <c r="J184" s="5" t="n"/>
      <c r="K184" s="5" t="n"/>
      <c r="L184" s="5" t="n"/>
    </row>
    <row r="185">
      <c r="H185" s="5" t="n"/>
      <c r="I185" s="5" t="n"/>
      <c r="J185" s="5" t="n"/>
      <c r="K185" s="5" t="n"/>
      <c r="L185" s="5" t="n"/>
    </row>
    <row r="186">
      <c r="H186" s="5" t="n"/>
      <c r="I186" s="5" t="n"/>
      <c r="J186" s="5" t="n"/>
      <c r="K186" s="5" t="n"/>
      <c r="L186" s="5" t="n"/>
    </row>
    <row r="187">
      <c r="H187" s="5" t="n"/>
      <c r="I187" s="5" t="n"/>
      <c r="J187" s="5" t="n"/>
      <c r="K187" s="5" t="n"/>
      <c r="L187" s="5" t="n"/>
    </row>
    <row r="188">
      <c r="H188" s="5" t="n"/>
      <c r="I188" s="5" t="n"/>
      <c r="J188" s="5" t="n"/>
      <c r="K188" s="5" t="n"/>
      <c r="L188" s="5" t="n"/>
    </row>
    <row r="189">
      <c r="H189" s="5" t="n"/>
      <c r="I189" s="5" t="n"/>
      <c r="J189" s="5" t="n"/>
      <c r="K189" s="5" t="n"/>
      <c r="L189" s="5" t="n"/>
    </row>
    <row r="190">
      <c r="H190" s="5" t="n"/>
      <c r="I190" s="5" t="n"/>
      <c r="J190" s="5" t="n"/>
      <c r="K190" s="5" t="n"/>
      <c r="L190" s="5" t="n"/>
    </row>
    <row r="191">
      <c r="H191" s="5" t="n"/>
      <c r="I191" s="5" t="n"/>
      <c r="J191" s="5" t="n"/>
      <c r="K191" s="5" t="n"/>
      <c r="L191" s="5" t="n"/>
    </row>
    <row r="192">
      <c r="H192" s="5" t="n"/>
      <c r="I192" s="5" t="n"/>
      <c r="J192" s="5" t="n"/>
      <c r="K192" s="5" t="n"/>
      <c r="L192" s="5" t="n"/>
    </row>
    <row r="193">
      <c r="H193" s="5" t="n"/>
      <c r="I193" s="5" t="n"/>
      <c r="J193" s="5" t="n"/>
      <c r="K193" s="5" t="n"/>
      <c r="L193" s="5" t="n"/>
    </row>
  </sheetData>
  <pageMargins left="0.7" right="0.7" top="0.75" bottom="0.75" header="0.3" footer="0.3"/>
  <pageSetup orientation="portrait" paperSize="9" verticalDpi="0"/>
  <drawing xmlns:r="http://schemas.openxmlformats.org/officeDocument/2006/relationships" r:id="rId1"/>
</worksheet>
</file>

<file path=xl/worksheets/sheet15.xml><?xml version="1.0" encoding="utf-8"?>
<worksheet xmlns="http://schemas.openxmlformats.org/spreadsheetml/2006/main">
  <sheetPr>
    <tabColor theme="4" tint="0.7999816888943144"/>
    <outlinePr summaryBelow="1" summaryRight="1"/>
    <pageSetUpPr/>
  </sheetPr>
  <dimension ref="B3:Y36"/>
  <sheetViews>
    <sheetView showGridLines="0" workbookViewId="0">
      <selection activeCell="S50" sqref="S50"/>
    </sheetView>
  </sheetViews>
  <sheetFormatPr baseColWidth="8" defaultColWidth="9.109375" defaultRowHeight="13.5" customHeight="1"/>
  <cols>
    <col width="9.109375" customWidth="1" style="489" min="1" max="1"/>
    <col width="22.44140625" customWidth="1" style="489" min="2" max="2"/>
    <col outlineLevel="1" width="9.44140625" customWidth="1" style="489" min="3" max="4"/>
    <col width="9.44140625" customWidth="1" style="489" min="5" max="6"/>
    <col collapsed="1" width="9.44140625" customWidth="1" style="513" min="7" max="7"/>
    <col width="9.44140625" customWidth="1" style="489" min="8" max="12"/>
    <col width="9.109375" customWidth="1" style="489" min="13" max="16384"/>
  </cols>
  <sheetData>
    <row r="3" ht="13.5" customHeight="1">
      <c r="B3" s="500">
        <f>"Vergelijking voorgaande budgetten - "&amp;Historiek!A2</f>
        <v/>
      </c>
    </row>
    <row r="4" ht="13.5" customHeight="1">
      <c r="B4" s="738" t="inlineStr">
        <is>
          <t>k€</t>
        </is>
      </c>
      <c r="C4" s="741">
        <f>"FY"&amp;RIGHT(D4,2)-1</f>
        <v/>
      </c>
      <c r="D4" s="741">
        <f>"FY"&amp;RIGHT(E4,2)-1</f>
        <v/>
      </c>
      <c r="E4" s="751">
        <f>'BP - Annual'!D4</f>
        <v/>
      </c>
      <c r="F4" s="741">
        <f>'BP - Annual'!E4</f>
        <v/>
      </c>
      <c r="G4" s="743">
        <f>'BP - Annual'!F4</f>
        <v/>
      </c>
      <c r="H4" s="741">
        <f>'BP - Annual'!G4</f>
        <v/>
      </c>
      <c r="I4" s="741">
        <f>'BP - Annual'!H4</f>
        <v/>
      </c>
      <c r="J4" s="741">
        <f>'BP - Annual'!I4</f>
        <v/>
      </c>
      <c r="K4" s="741">
        <f>'BP - Annual'!J4</f>
        <v/>
      </c>
      <c r="L4" s="741">
        <f>'BP - Annual'!K4</f>
        <v/>
      </c>
    </row>
    <row r="5" ht="2.1" customHeight="1">
      <c r="B5" s="414" t="n"/>
      <c r="C5" s="512" t="n"/>
      <c r="D5" s="512" t="n"/>
      <c r="E5" s="512" t="n"/>
      <c r="F5" s="512" t="n"/>
      <c r="G5" s="514" t="n"/>
      <c r="H5" s="414" t="n"/>
      <c r="I5" s="414" t="n"/>
      <c r="J5" s="414" t="n"/>
      <c r="K5" s="414" t="n"/>
      <c r="L5" s="414" t="n"/>
    </row>
    <row r="6" ht="13.5" customHeight="1">
      <c r="B6" s="490" t="inlineStr">
        <is>
          <t>Omzet 2019</t>
        </is>
      </c>
      <c r="C6" s="491" t="n"/>
      <c r="D6" s="491" t="n"/>
      <c r="E6" s="492" t="n"/>
      <c r="F6" s="492" t="n"/>
      <c r="G6" s="515" t="n"/>
      <c r="H6" s="492" t="n"/>
      <c r="I6" s="492" t="n"/>
      <c r="J6" s="492" t="n"/>
      <c r="K6" s="492" t="n"/>
      <c r="L6" s="492" t="n"/>
      <c r="M6" s="493" t="n"/>
    </row>
    <row r="7" ht="13.5" customHeight="1">
      <c r="B7" s="490" t="inlineStr">
        <is>
          <t>Omzet 2020</t>
        </is>
      </c>
      <c r="C7" s="491" t="n"/>
      <c r="D7" s="491" t="n"/>
      <c r="E7" s="491" t="n"/>
      <c r="F7" s="492" t="n"/>
      <c r="G7" s="515" t="n"/>
      <c r="H7" s="492" t="n"/>
      <c r="I7" s="492" t="n"/>
      <c r="J7" s="492" t="n"/>
      <c r="K7" s="492" t="n"/>
      <c r="L7" s="492" t="n"/>
      <c r="M7" s="493" t="n"/>
    </row>
    <row r="8" ht="13.5" customHeight="1">
      <c r="B8" s="490" t="inlineStr">
        <is>
          <t>Omzet 2021</t>
        </is>
      </c>
      <c r="C8" s="491" t="n"/>
      <c r="D8" s="491" t="n"/>
      <c r="E8" s="491" t="n"/>
      <c r="F8" s="491" t="n"/>
      <c r="G8" s="515" t="n"/>
      <c r="H8" s="492" t="n"/>
      <c r="I8" s="492" t="n"/>
      <c r="J8" s="492" t="n"/>
      <c r="K8" s="492" t="n"/>
      <c r="L8" s="492" t="n"/>
      <c r="M8" s="493" t="n"/>
    </row>
    <row r="9" ht="13.5" customHeight="1">
      <c r="B9" s="490" t="inlineStr">
        <is>
          <t>Omzet 2022</t>
        </is>
      </c>
      <c r="C9" s="491" t="n"/>
      <c r="D9" s="491" t="n"/>
      <c r="E9" s="491" t="n"/>
      <c r="F9" s="491" t="n"/>
      <c r="G9" s="516" t="n"/>
      <c r="H9" s="492" t="n"/>
      <c r="I9" s="492" t="n"/>
      <c r="J9" s="492" t="n"/>
      <c r="K9" s="492" t="n"/>
      <c r="L9" s="492" t="n"/>
      <c r="M9" s="493" t="n"/>
    </row>
    <row r="10" ht="13.5" customHeight="1">
      <c r="B10" s="490" t="inlineStr">
        <is>
          <t>Omzet 2023</t>
        </is>
      </c>
      <c r="C10" s="491" t="n"/>
      <c r="D10" s="491" t="n"/>
      <c r="E10" s="491" t="n"/>
      <c r="F10" s="491" t="n"/>
      <c r="G10" s="516" t="n"/>
      <c r="H10" s="491" t="n"/>
      <c r="I10" s="492" t="n"/>
      <c r="J10" s="492" t="n"/>
      <c r="K10" s="492" t="n"/>
      <c r="L10" s="492" t="n"/>
      <c r="M10" s="493" t="n"/>
    </row>
    <row r="11" ht="13.5" customHeight="1">
      <c r="B11" s="759" t="inlineStr">
        <is>
          <t>Delta 23-22</t>
        </is>
      </c>
      <c r="C11" s="760">
        <f>C10-C8</f>
        <v/>
      </c>
      <c r="D11" s="760">
        <f>D10-D8</f>
        <v/>
      </c>
      <c r="E11" s="760">
        <f>E10-E8</f>
        <v/>
      </c>
      <c r="F11" s="760">
        <f>F10-F8</f>
        <v/>
      </c>
      <c r="G11" s="761">
        <f>G10-G8</f>
        <v/>
      </c>
      <c r="H11" s="760">
        <f>H10-H8</f>
        <v/>
      </c>
      <c r="I11" s="760">
        <f>I10-I8</f>
        <v/>
      </c>
      <c r="J11" s="760">
        <f>J10-J8</f>
        <v/>
      </c>
      <c r="K11" s="760">
        <f>K10-K8</f>
        <v/>
      </c>
      <c r="L11" s="760">
        <f>L10-L8</f>
        <v/>
      </c>
    </row>
    <row r="12" ht="13.5" customHeight="1">
      <c r="B12" s="762" t="inlineStr">
        <is>
          <t>Delta %</t>
        </is>
      </c>
      <c r="C12" s="763">
        <f>IFERROR(C11/C9,"n/a")</f>
        <v/>
      </c>
      <c r="D12" s="763">
        <f>IFERROR(D11/D9,"n/a")</f>
        <v/>
      </c>
      <c r="E12" s="763">
        <f>IFERROR(E11/E9,"n/a")</f>
        <v/>
      </c>
      <c r="F12" s="763">
        <f>IFERROR(F11/F9,"n/a")</f>
        <v/>
      </c>
      <c r="G12" s="764">
        <f>IFERROR(G11/G9,"n/a")</f>
        <v/>
      </c>
      <c r="H12" s="763">
        <f>IFERROR(H11/H9,"n/a")</f>
        <v/>
      </c>
      <c r="I12" s="763">
        <f>IFERROR(I11/I9,"n/a")</f>
        <v/>
      </c>
      <c r="J12" s="763">
        <f>IFERROR(J11/J9,"n/a")</f>
        <v/>
      </c>
      <c r="K12" s="763">
        <f>IFERROR(K11/K9,"n/a")</f>
        <v/>
      </c>
      <c r="L12" s="763">
        <f>IFERROR(L11/L9,"n/a")</f>
        <v/>
      </c>
    </row>
    <row r="13" ht="13.5" customHeight="1">
      <c r="B13" s="490" t="inlineStr">
        <is>
          <t>Brutomarge 2019</t>
        </is>
      </c>
      <c r="C13" s="491" t="n"/>
      <c r="D13" s="491" t="n"/>
      <c r="E13" s="491" t="n"/>
      <c r="F13" s="491" t="n"/>
      <c r="G13" s="516" t="n"/>
      <c r="H13" s="491" t="n"/>
      <c r="I13" s="491" t="n"/>
      <c r="J13" s="491" t="n"/>
      <c r="K13" s="491" t="n"/>
      <c r="L13" s="491" t="n"/>
      <c r="M13" s="493" t="n"/>
    </row>
    <row r="14" ht="13.5" customHeight="1">
      <c r="B14" s="494" t="inlineStr">
        <is>
          <t xml:space="preserve">Brutomarge % </t>
        </is>
      </c>
      <c r="C14" s="495">
        <f>IFERROR(C13/C6,"n/a")</f>
        <v/>
      </c>
      <c r="D14" s="495">
        <f>IFERROR(D13/D6,"n/a")</f>
        <v/>
      </c>
      <c r="E14" s="495">
        <f>IFERROR(E13/E6,"n/a")</f>
        <v/>
      </c>
      <c r="F14" s="495">
        <f>IFERROR(F13/F6,"n/a")</f>
        <v/>
      </c>
      <c r="G14" s="517">
        <f>IFERROR(G13/G6,"n/a")</f>
        <v/>
      </c>
      <c r="H14" s="495">
        <f>IFERROR(H13/H6,"n/a")</f>
        <v/>
      </c>
      <c r="I14" s="495">
        <f>IFERROR(I13/I6,"n/a")</f>
        <v/>
      </c>
      <c r="J14" s="495">
        <f>IFERROR(J13/J6,"n/a")</f>
        <v/>
      </c>
      <c r="K14" s="495">
        <f>IFERROR(K13/K6,"n/a")</f>
        <v/>
      </c>
      <c r="L14" s="495">
        <f>IFERROR(L13/L6,"n/a")</f>
        <v/>
      </c>
      <c r="M14" s="493" t="n"/>
      <c r="T14" s="496" t="n"/>
      <c r="U14" s="496" t="n"/>
      <c r="V14" s="496" t="n"/>
      <c r="W14" s="496" t="n"/>
      <c r="X14" s="496" t="n"/>
      <c r="Y14" s="496" t="n"/>
    </row>
    <row r="15" ht="13.5" customHeight="1">
      <c r="B15" s="490" t="inlineStr">
        <is>
          <t>Brutomarge 2020</t>
        </is>
      </c>
      <c r="C15" s="491" t="n"/>
      <c r="D15" s="491" t="n"/>
      <c r="E15" s="491" t="n"/>
      <c r="F15" s="491" t="n"/>
      <c r="G15" s="516" t="n"/>
      <c r="H15" s="491" t="n"/>
      <c r="I15" s="491" t="n"/>
      <c r="J15" s="491" t="n"/>
      <c r="K15" s="491" t="n"/>
      <c r="L15" s="491" t="n"/>
      <c r="M15" s="493" t="n"/>
      <c r="T15" s="496" t="n"/>
      <c r="U15" s="496" t="n"/>
      <c r="V15" s="496" t="n"/>
      <c r="W15" s="496" t="n"/>
      <c r="X15" s="496" t="n"/>
      <c r="Y15" s="496" t="n"/>
    </row>
    <row r="16" ht="13.5" customHeight="1">
      <c r="B16" s="494" t="inlineStr">
        <is>
          <t xml:space="preserve">Brutomarge % </t>
        </is>
      </c>
      <c r="C16" s="495">
        <f>IFERROR(C15/C7,"n/a")</f>
        <v/>
      </c>
      <c r="D16" s="495">
        <f>IFERROR(D15/D7,"n/a")</f>
        <v/>
      </c>
      <c r="E16" s="495">
        <f>IFERROR(E15/E7,"n/a")</f>
        <v/>
      </c>
      <c r="F16" s="495">
        <f>IFERROR(F15/F7,"n/a")</f>
        <v/>
      </c>
      <c r="G16" s="517">
        <f>IFERROR(G15/G7,"n/a")</f>
        <v/>
      </c>
      <c r="H16" s="495">
        <f>IFERROR(H15/H7,"n/a")</f>
        <v/>
      </c>
      <c r="I16" s="495">
        <f>IFERROR(I15/I7,"n/a")</f>
        <v/>
      </c>
      <c r="J16" s="495">
        <f>IFERROR(J15/J7,"n/a")</f>
        <v/>
      </c>
      <c r="K16" s="495">
        <f>IFERROR(K15/K7,"n/a")</f>
        <v/>
      </c>
      <c r="L16" s="495">
        <f>IFERROR(L15/L7,"n/a")</f>
        <v/>
      </c>
      <c r="M16" s="493" t="n"/>
      <c r="T16" s="496" t="n"/>
      <c r="U16" s="496" t="n"/>
      <c r="V16" s="496" t="n"/>
      <c r="W16" s="496" t="n"/>
      <c r="X16" s="496" t="n"/>
      <c r="Y16" s="496" t="n"/>
    </row>
    <row r="17" ht="13.5" customHeight="1">
      <c r="B17" s="490" t="inlineStr">
        <is>
          <t>Brutomarge 2021</t>
        </is>
      </c>
      <c r="C17" s="491" t="n"/>
      <c r="D17" s="491" t="n"/>
      <c r="E17" s="491" t="n"/>
      <c r="F17" s="491" t="n"/>
      <c r="G17" s="516" t="n"/>
      <c r="H17" s="491" t="n"/>
      <c r="I17" s="491" t="n"/>
      <c r="J17" s="491" t="n"/>
      <c r="K17" s="491" t="n"/>
      <c r="L17" s="491" t="n"/>
      <c r="M17" s="493" t="n"/>
      <c r="T17" s="496" t="n"/>
      <c r="U17" s="496" t="n"/>
      <c r="V17" s="496" t="n"/>
      <c r="W17" s="496" t="n"/>
      <c r="X17" s="496" t="n"/>
      <c r="Y17" s="496" t="n"/>
    </row>
    <row r="18" ht="13.5" customHeight="1">
      <c r="B18" s="494" t="inlineStr">
        <is>
          <t>Brutomarge %</t>
        </is>
      </c>
      <c r="C18" s="495">
        <f>IFERROR(C17/C8,"n/a")</f>
        <v/>
      </c>
      <c r="D18" s="495">
        <f>IFERROR(D17/D8,"n/a")</f>
        <v/>
      </c>
      <c r="E18" s="495">
        <f>IFERROR(E17/E8,"n/a")</f>
        <v/>
      </c>
      <c r="F18" s="495">
        <f>IFERROR(F17/F8,"n/a")</f>
        <v/>
      </c>
      <c r="G18" s="517">
        <f>IFERROR(G17/G8,"n/a")</f>
        <v/>
      </c>
      <c r="H18" s="495">
        <f>IFERROR(H17/H8,"n/a")</f>
        <v/>
      </c>
      <c r="I18" s="495">
        <f>IFERROR(I17/I8,"n/a")</f>
        <v/>
      </c>
      <c r="J18" s="495">
        <f>IFERROR(J17/J8,"n/a")</f>
        <v/>
      </c>
      <c r="K18" s="495">
        <f>IFERROR(K17/K8,"n/a")</f>
        <v/>
      </c>
      <c r="L18" s="495">
        <f>IFERROR(L17/L8,"n/a")</f>
        <v/>
      </c>
      <c r="M18" s="493" t="n"/>
      <c r="T18" s="496" t="n"/>
      <c r="U18" s="496" t="n"/>
      <c r="V18" s="496" t="n"/>
      <c r="W18" s="496" t="n"/>
      <c r="X18" s="496" t="n"/>
      <c r="Y18" s="496" t="n"/>
    </row>
    <row r="19" ht="13.5" customHeight="1">
      <c r="B19" s="490" t="inlineStr">
        <is>
          <t>Brutomarge 2022</t>
        </is>
      </c>
      <c r="C19" s="491" t="n"/>
      <c r="D19" s="491" t="n"/>
      <c r="E19" s="491" t="n"/>
      <c r="F19" s="491" t="n"/>
      <c r="G19" s="516" t="n"/>
      <c r="H19" s="491" t="n"/>
      <c r="I19" s="491" t="n"/>
      <c r="J19" s="491" t="n"/>
      <c r="K19" s="491" t="n"/>
      <c r="L19" s="491" t="n"/>
      <c r="M19" s="493" t="n"/>
      <c r="T19" s="496" t="n"/>
      <c r="U19" s="496" t="n"/>
      <c r="V19" s="496" t="n"/>
      <c r="W19" s="496" t="n"/>
      <c r="X19" s="496" t="n"/>
      <c r="Y19" s="496" t="n"/>
    </row>
    <row r="20" ht="13.5" customHeight="1">
      <c r="B20" s="494" t="inlineStr">
        <is>
          <t>Brutomarge %</t>
        </is>
      </c>
      <c r="C20" s="495">
        <f>IFERROR(C19/C9,"n/a")</f>
        <v/>
      </c>
      <c r="D20" s="495">
        <f>IFERROR(D19/D9,"n/a")</f>
        <v/>
      </c>
      <c r="E20" s="495">
        <f>IFERROR(E19/E9,"n/a")</f>
        <v/>
      </c>
      <c r="F20" s="495">
        <f>IFERROR(F19/F9,"n/a")</f>
        <v/>
      </c>
      <c r="G20" s="517">
        <f>IFERROR(G19/G9,"n/a")</f>
        <v/>
      </c>
      <c r="H20" s="495">
        <f>IFERROR(H19/H9,"n/a")</f>
        <v/>
      </c>
      <c r="I20" s="495">
        <f>IFERROR(I19/I9,"n/a")</f>
        <v/>
      </c>
      <c r="J20" s="495">
        <f>IFERROR(J19/J9,"n/a")</f>
        <v/>
      </c>
      <c r="K20" s="495">
        <f>IFERROR(K19/K9,"n/a")</f>
        <v/>
      </c>
      <c r="L20" s="495">
        <f>IFERROR(L19/L9,"n/a")</f>
        <v/>
      </c>
      <c r="M20" s="493" t="n"/>
      <c r="T20" s="496" t="n"/>
      <c r="U20" s="496" t="n"/>
      <c r="V20" s="496" t="n"/>
      <c r="W20" s="496" t="n"/>
      <c r="X20" s="496" t="n"/>
      <c r="Y20" s="496" t="n"/>
    </row>
    <row r="21" ht="13.5" customHeight="1">
      <c r="B21" s="490" t="inlineStr">
        <is>
          <t>Brutomarge 2023</t>
        </is>
      </c>
      <c r="C21" s="491" t="n"/>
      <c r="D21" s="491" t="n"/>
      <c r="E21" s="491" t="n"/>
      <c r="F21" s="491" t="n"/>
      <c r="G21" s="516" t="n"/>
      <c r="H21" s="491" t="n"/>
      <c r="I21" s="491" t="n"/>
      <c r="J21" s="491" t="n"/>
      <c r="K21" s="491" t="n"/>
      <c r="L21" s="491" t="n"/>
      <c r="M21" s="493" t="n"/>
      <c r="T21" s="496" t="n"/>
      <c r="U21" s="496" t="n"/>
      <c r="V21" s="496" t="n"/>
      <c r="W21" s="496" t="n"/>
      <c r="X21" s="496" t="n"/>
      <c r="Y21" s="496" t="n"/>
    </row>
    <row r="22" ht="13.5" customHeight="1">
      <c r="B22" s="494" t="inlineStr">
        <is>
          <t>Brutomarge %</t>
        </is>
      </c>
      <c r="C22" s="495">
        <f>IFERROR(C21/C10,"n/a")</f>
        <v/>
      </c>
      <c r="D22" s="495">
        <f>IFERROR(D21/D10,"n/a")</f>
        <v/>
      </c>
      <c r="E22" s="495">
        <f>IFERROR(E21/E10,"n/a")</f>
        <v/>
      </c>
      <c r="F22" s="495">
        <f>IFERROR(F21/F10,"n/a")</f>
        <v/>
      </c>
      <c r="G22" s="517">
        <f>IFERROR(G21/G10,"n/a")</f>
        <v/>
      </c>
      <c r="H22" s="495">
        <f>IFERROR(H21/H10,"n/a")</f>
        <v/>
      </c>
      <c r="I22" s="495">
        <f>IFERROR(I21/I10,"n/a")</f>
        <v/>
      </c>
      <c r="J22" s="495">
        <f>IFERROR(J21/J10,"n/a")</f>
        <v/>
      </c>
      <c r="K22" s="495">
        <f>IFERROR(K21/K10,"n/a")</f>
        <v/>
      </c>
      <c r="L22" s="495">
        <f>IFERROR(L21/L10,"n/a")</f>
        <v/>
      </c>
      <c r="M22" s="493" t="n"/>
      <c r="T22" s="496" t="n"/>
      <c r="U22" s="496" t="n"/>
      <c r="V22" s="496" t="n"/>
      <c r="W22" s="496" t="n"/>
      <c r="X22" s="496" t="n"/>
      <c r="Y22" s="496" t="n"/>
    </row>
    <row r="23" ht="13.5" customHeight="1">
      <c r="B23" s="759" t="inlineStr">
        <is>
          <t>Delta 23-22</t>
        </is>
      </c>
      <c r="C23" s="760">
        <f>C21-C19</f>
        <v/>
      </c>
      <c r="D23" s="760">
        <f>D21-D19</f>
        <v/>
      </c>
      <c r="E23" s="760">
        <f>E21-E19</f>
        <v/>
      </c>
      <c r="F23" s="760">
        <f>F21-F19</f>
        <v/>
      </c>
      <c r="G23" s="761">
        <f>G21-G19</f>
        <v/>
      </c>
      <c r="H23" s="760">
        <f>H21-H19</f>
        <v/>
      </c>
      <c r="I23" s="760">
        <f>I21-I19</f>
        <v/>
      </c>
      <c r="J23" s="760">
        <f>J21-J19</f>
        <v/>
      </c>
      <c r="K23" s="760">
        <f>K21-K19</f>
        <v/>
      </c>
      <c r="L23" s="760">
        <f>L21-L19</f>
        <v/>
      </c>
    </row>
    <row r="24" ht="13.5" customHeight="1">
      <c r="B24" s="762" t="inlineStr">
        <is>
          <t>Delta %</t>
        </is>
      </c>
      <c r="C24" s="763">
        <f>IFERROR(C23/C19,"n/a")</f>
        <v/>
      </c>
      <c r="D24" s="763">
        <f>IFERROR(D23/D19,"n/a")</f>
        <v/>
      </c>
      <c r="E24" s="763">
        <f>IFERROR(E23/E19,"n/a")</f>
        <v/>
      </c>
      <c r="F24" s="763">
        <f>IFERROR(F23/F19,"n/a")</f>
        <v/>
      </c>
      <c r="G24" s="764">
        <f>IFERROR(G23/G19,"n/a")</f>
        <v/>
      </c>
      <c r="H24" s="763">
        <f>IFERROR(H23/H19,"n/a")</f>
        <v/>
      </c>
      <c r="I24" s="763">
        <f>IFERROR(I23/I19,"n/a")</f>
        <v/>
      </c>
      <c r="J24" s="763">
        <f>IFERROR(J23/J19,"n/a")</f>
        <v/>
      </c>
      <c r="K24" s="763">
        <f>IFERROR(K23/K19,"n/a")</f>
        <v/>
      </c>
      <c r="L24" s="763">
        <f>IFERROR(L23/L19,"n/a")</f>
        <v/>
      </c>
    </row>
    <row r="25" ht="13.5" customHeight="1">
      <c r="B25" s="490" t="inlineStr">
        <is>
          <t>EBITDA 2019</t>
        </is>
      </c>
      <c r="C25" s="491" t="n"/>
      <c r="D25" s="491" t="n"/>
      <c r="E25" s="492" t="n"/>
      <c r="F25" s="492" t="n"/>
      <c r="G25" s="515" t="n"/>
      <c r="H25" s="492" t="n"/>
      <c r="I25" s="492" t="n"/>
      <c r="J25" s="492" t="n"/>
      <c r="K25" s="492" t="n"/>
      <c r="L25" s="492" t="n"/>
      <c r="M25" s="493" t="n"/>
    </row>
    <row r="26" ht="13.5" customHeight="1">
      <c r="B26" s="494" t="inlineStr">
        <is>
          <t>EBITDA marge %</t>
        </is>
      </c>
      <c r="C26" s="495">
        <f>IFERROR(C25/C6,"n/a")</f>
        <v/>
      </c>
      <c r="D26" s="495">
        <f>IFERROR(D25/D6,"n/a")</f>
        <v/>
      </c>
      <c r="E26" s="495">
        <f>IFERROR(E25/E6,"n/a")</f>
        <v/>
      </c>
      <c r="F26" s="495">
        <f>IFERROR(F25/F6,"n/a")</f>
        <v/>
      </c>
      <c r="G26" s="517">
        <f>IFERROR(G25/G6,"n/a")</f>
        <v/>
      </c>
      <c r="H26" s="495">
        <f>IFERROR(H25/H6,"n/a")</f>
        <v/>
      </c>
      <c r="I26" s="495">
        <f>IFERROR(I25/I6,"n/a")</f>
        <v/>
      </c>
      <c r="J26" s="495">
        <f>IFERROR(J25/J6,"n/a")</f>
        <v/>
      </c>
      <c r="K26" s="495">
        <f>IFERROR(K25/K6,"n/a")</f>
        <v/>
      </c>
      <c r="L26" s="495">
        <f>IFERROR(L25/L6,"n/a")</f>
        <v/>
      </c>
      <c r="M26" s="493" t="n"/>
    </row>
    <row r="27" ht="13.5" customHeight="1">
      <c r="B27" s="490" t="inlineStr">
        <is>
          <t>EBITDA 2020</t>
        </is>
      </c>
      <c r="C27" s="491" t="n"/>
      <c r="D27" s="491" t="n"/>
      <c r="E27" s="491" t="n"/>
      <c r="F27" s="491" t="n"/>
      <c r="G27" s="516" t="n"/>
      <c r="H27" s="491" t="n"/>
      <c r="I27" s="491" t="n"/>
      <c r="J27" s="491" t="n"/>
      <c r="K27" s="491" t="n"/>
      <c r="L27" s="491" t="n"/>
      <c r="M27" s="493" t="n"/>
    </row>
    <row r="28" ht="13.5" customHeight="1">
      <c r="B28" s="494" t="inlineStr">
        <is>
          <t>EBITDA marge %</t>
        </is>
      </c>
      <c r="C28" s="495">
        <f>IFERROR(C27/C7,"n/a")</f>
        <v/>
      </c>
      <c r="D28" s="495">
        <f>IFERROR(D27/D7,"n/a")</f>
        <v/>
      </c>
      <c r="E28" s="495">
        <f>IFERROR(E27/E7,"n/a")</f>
        <v/>
      </c>
      <c r="F28" s="495">
        <f>IFERROR(F27/F7,"n/a")</f>
        <v/>
      </c>
      <c r="G28" s="517">
        <f>IFERROR(G27/G7,"n/a")</f>
        <v/>
      </c>
      <c r="H28" s="495">
        <f>IFERROR(H27/H7,"n/a")</f>
        <v/>
      </c>
      <c r="I28" s="495">
        <f>IFERROR(I27/I7,"n/a")</f>
        <v/>
      </c>
      <c r="J28" s="495">
        <f>IFERROR(J27/J7,"n/a")</f>
        <v/>
      </c>
      <c r="K28" s="495">
        <f>IFERROR(K27/K7,"n/a")</f>
        <v/>
      </c>
      <c r="L28" s="495">
        <f>IFERROR(L27/L7,"n/a")</f>
        <v/>
      </c>
      <c r="M28" s="493" t="n"/>
    </row>
    <row r="29" ht="13.5" customHeight="1">
      <c r="B29" s="490" t="inlineStr">
        <is>
          <t>EBITDA 2021</t>
        </is>
      </c>
      <c r="C29" s="491" t="n"/>
      <c r="D29" s="491" t="n"/>
      <c r="E29" s="491" t="n"/>
      <c r="F29" s="491" t="n"/>
      <c r="G29" s="516" t="n"/>
      <c r="H29" s="491" t="n"/>
      <c r="I29" s="491" t="n"/>
      <c r="J29" s="491" t="n"/>
      <c r="K29" s="491" t="n"/>
      <c r="L29" s="491" t="n"/>
      <c r="M29" s="493" t="n"/>
    </row>
    <row r="30" ht="13.5" customHeight="1">
      <c r="B30" s="494" t="inlineStr">
        <is>
          <t>EBITDA marge %</t>
        </is>
      </c>
      <c r="C30" s="495">
        <f>IFERROR(C29/C8,"n/a")</f>
        <v/>
      </c>
      <c r="D30" s="495">
        <f>IFERROR(D29/D8,"n/a")</f>
        <v/>
      </c>
      <c r="E30" s="495">
        <f>IFERROR(E29/E8,"n/a")</f>
        <v/>
      </c>
      <c r="F30" s="495">
        <f>IFERROR(F29/F8,"n/a")</f>
        <v/>
      </c>
      <c r="G30" s="517">
        <f>IFERROR(G29/G8,"n/a")</f>
        <v/>
      </c>
      <c r="H30" s="495">
        <f>IFERROR(H29/H8,"n/a")</f>
        <v/>
      </c>
      <c r="I30" s="495">
        <f>IFERROR(I29/I8,"n/a")</f>
        <v/>
      </c>
      <c r="J30" s="495">
        <f>IFERROR(J29/J8,"n/a")</f>
        <v/>
      </c>
      <c r="K30" s="495">
        <f>IFERROR(K29/K8,"n/a")</f>
        <v/>
      </c>
      <c r="L30" s="495">
        <f>IFERROR(L29/L8,"n/a")</f>
        <v/>
      </c>
      <c r="M30" s="493" t="n"/>
    </row>
    <row r="31" ht="13.5" customHeight="1">
      <c r="B31" s="490" t="inlineStr">
        <is>
          <t>EBITDA 2022</t>
        </is>
      </c>
      <c r="C31" s="491" t="n"/>
      <c r="D31" s="491" t="n"/>
      <c r="E31" s="491" t="n"/>
      <c r="F31" s="491" t="n"/>
      <c r="G31" s="516" t="n"/>
      <c r="H31" s="491" t="n"/>
      <c r="I31" s="491" t="n"/>
      <c r="J31" s="491" t="n"/>
      <c r="K31" s="491" t="n"/>
      <c r="L31" s="491" t="n"/>
      <c r="M31" s="493" t="n"/>
    </row>
    <row r="32" ht="13.5" customHeight="1">
      <c r="B32" s="494" t="inlineStr">
        <is>
          <t>EBITDA marge %</t>
        </is>
      </c>
      <c r="C32" s="495">
        <f>IFERROR(C31/C9,"n/a")</f>
        <v/>
      </c>
      <c r="D32" s="495">
        <f>IFERROR(D31/D9,"n/a")</f>
        <v/>
      </c>
      <c r="E32" s="495">
        <f>IFERROR(E31/E9,"n/a")</f>
        <v/>
      </c>
      <c r="F32" s="495">
        <f>IFERROR(F31/F9,"n/a")</f>
        <v/>
      </c>
      <c r="G32" s="517">
        <f>IFERROR(G31/G9,"n/a")</f>
        <v/>
      </c>
      <c r="H32" s="495">
        <f>IFERROR(H31/H9,"n/a")</f>
        <v/>
      </c>
      <c r="I32" s="495">
        <f>IFERROR(I31/I9,"n/a")</f>
        <v/>
      </c>
      <c r="J32" s="495">
        <f>IFERROR(J31/J9,"n/a")</f>
        <v/>
      </c>
      <c r="K32" s="495">
        <f>IFERROR(K31/K9,"n/a")</f>
        <v/>
      </c>
      <c r="L32" s="495">
        <f>IFERROR(L31/L9,"n/a")</f>
        <v/>
      </c>
      <c r="M32" s="493" t="n"/>
    </row>
    <row r="33" ht="13.5" customHeight="1">
      <c r="B33" s="490" t="inlineStr">
        <is>
          <t>EBITDA 2023</t>
        </is>
      </c>
      <c r="C33" s="491" t="n"/>
      <c r="D33" s="491" t="n"/>
      <c r="E33" s="491" t="n"/>
      <c r="F33" s="491" t="n"/>
      <c r="G33" s="516" t="n"/>
      <c r="H33" s="491" t="n"/>
      <c r="I33" s="491" t="n"/>
      <c r="J33" s="491" t="n"/>
      <c r="K33" s="491" t="n"/>
      <c r="L33" s="491" t="n"/>
      <c r="M33" s="493" t="n"/>
    </row>
    <row r="34" ht="13.5" customHeight="1">
      <c r="B34" s="494" t="inlineStr">
        <is>
          <t>EBITDA marge %</t>
        </is>
      </c>
      <c r="C34" s="495">
        <f>IFERROR(C33/C10,"n/a")</f>
        <v/>
      </c>
      <c r="D34" s="495">
        <f>IFERROR(D33/D10,"n/a")</f>
        <v/>
      </c>
      <c r="E34" s="495">
        <f>IFERROR(E33/E10,"n/a")</f>
        <v/>
      </c>
      <c r="F34" s="495">
        <f>IFERROR(F33/F10,"n/a")</f>
        <v/>
      </c>
      <c r="G34" s="517">
        <f>IFERROR(G33/G10,"n/a")</f>
        <v/>
      </c>
      <c r="H34" s="495">
        <f>IFERROR(H33/H10,"n/a")</f>
        <v/>
      </c>
      <c r="I34" s="495">
        <f>IFERROR(I33/I10,"n/a")</f>
        <v/>
      </c>
      <c r="J34" s="495">
        <f>IFERROR(J33/J10,"n/a")</f>
        <v/>
      </c>
      <c r="K34" s="495">
        <f>IFERROR(K33/K10,"n/a")</f>
        <v/>
      </c>
      <c r="L34" s="495">
        <f>IFERROR(L33/L10,"n/a")</f>
        <v/>
      </c>
      <c r="M34" s="493" t="n"/>
    </row>
    <row r="35" ht="13.5" customHeight="1">
      <c r="B35" s="759" t="inlineStr">
        <is>
          <t>Delta 23-22</t>
        </is>
      </c>
      <c r="C35" s="760">
        <f>C33-C31</f>
        <v/>
      </c>
      <c r="D35" s="760">
        <f>D33-D31</f>
        <v/>
      </c>
      <c r="E35" s="760">
        <f>E33-E31</f>
        <v/>
      </c>
      <c r="F35" s="760">
        <f>F33-F31</f>
        <v/>
      </c>
      <c r="G35" s="761">
        <f>G33-G31</f>
        <v/>
      </c>
      <c r="H35" s="760">
        <f>H33-H31</f>
        <v/>
      </c>
      <c r="I35" s="760">
        <f>I33-I31</f>
        <v/>
      </c>
      <c r="J35" s="760">
        <f>J33-J31</f>
        <v/>
      </c>
      <c r="K35" s="760">
        <f>K33-K31</f>
        <v/>
      </c>
      <c r="L35" s="760">
        <f>L33-L31</f>
        <v/>
      </c>
    </row>
    <row r="36" ht="13.5" customHeight="1">
      <c r="B36" s="762" t="inlineStr">
        <is>
          <t>Delta %</t>
        </is>
      </c>
      <c r="C36" s="763">
        <f>IFERROR(C35/C31,"n/a")</f>
        <v/>
      </c>
      <c r="D36" s="763">
        <f>IFERROR(D35/D31,"n/a")</f>
        <v/>
      </c>
      <c r="E36" s="763">
        <f>IFERROR(E35/E31,"n/a")</f>
        <v/>
      </c>
      <c r="F36" s="763">
        <f>IFERROR(F35/F31,"n/a")</f>
        <v/>
      </c>
      <c r="G36" s="764">
        <f>IFERROR(G35/G31,"n/a")</f>
        <v/>
      </c>
      <c r="H36" s="763">
        <f>IFERROR(H35/H31,"n/a")</f>
        <v/>
      </c>
      <c r="I36" s="763">
        <f>IFERROR(I35/I31,"n/a")</f>
        <v/>
      </c>
      <c r="J36" s="763">
        <f>IFERROR(J35/J31,"n/a")</f>
        <v/>
      </c>
      <c r="K36" s="763">
        <f>IFERROR(K35/K31,"n/a")</f>
        <v/>
      </c>
      <c r="L36" s="763">
        <f>IFERROR(L35/L31,"n/a")</f>
        <v/>
      </c>
    </row>
    <row r="40" ht="2.1" customHeight="1"/>
  </sheetData>
  <pageMargins left="0.7" right="0.7" top="0.75" bottom="0.75" header="0.3" footer="0.3"/>
  <pageSetup orientation="portrait" paperSize="9" verticalDpi="0"/>
  <drawing xmlns:r="http://schemas.openxmlformats.org/officeDocument/2006/relationships" r:id="rId1"/>
</worksheet>
</file>

<file path=xl/worksheets/sheet16.xml><?xml version="1.0" encoding="utf-8"?>
<worksheet xmlns="http://schemas.openxmlformats.org/spreadsheetml/2006/main">
  <sheetPr>
    <tabColor theme="1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4" tint="0.5999938962981048"/>
    <outlinePr summaryBelow="1" summaryRight="1"/>
    <pageSetUpPr/>
  </sheetPr>
  <dimension ref="B2:X51"/>
  <sheetViews>
    <sheetView showGridLines="0" workbookViewId="0">
      <selection activeCell="G12" sqref="G12"/>
    </sheetView>
  </sheetViews>
  <sheetFormatPr baseColWidth="8" defaultColWidth="9.109375" defaultRowHeight="13.8"/>
  <cols>
    <col width="3" customWidth="1" style="29" min="1" max="1"/>
    <col width="15.109375" bestFit="1" customWidth="1" style="29" min="2" max="2"/>
    <col width="9.33203125" customWidth="1" style="29" min="3" max="4"/>
    <col width="9.109375" customWidth="1" style="29" min="5" max="5"/>
    <col width="4.33203125" customWidth="1" style="30" min="6" max="6"/>
    <col width="13.109375" bestFit="1" customWidth="1" style="29" min="7" max="7"/>
    <col width="9.109375" customWidth="1" style="29" min="8" max="12"/>
    <col width="4.33203125" customWidth="1" style="29" min="13" max="13"/>
    <col width="15.5546875" bestFit="1" customWidth="1" style="29" min="14" max="14"/>
    <col width="9.109375" customWidth="1" style="29" min="15" max="17"/>
    <col width="4.33203125" customWidth="1" style="30" min="18" max="18"/>
    <col width="13.5546875" bestFit="1" customWidth="1" style="29" min="19" max="19"/>
    <col width="9.109375" customWidth="1" style="29" min="20" max="16384"/>
  </cols>
  <sheetData>
    <row r="2">
      <c r="B2" s="28" t="inlineStr">
        <is>
          <t>LRM - EV</t>
        </is>
      </c>
      <c r="G2" s="28" t="inlineStr">
        <is>
          <t>Grafiek - EV</t>
        </is>
      </c>
      <c r="H2" s="28" t="n"/>
      <c r="N2" s="28" t="inlineStr">
        <is>
          <t>LRM - EQ</t>
        </is>
      </c>
      <c r="S2" s="28" t="inlineStr">
        <is>
          <t>Grafiek - EQ</t>
        </is>
      </c>
      <c r="T2" s="28" t="n"/>
    </row>
    <row r="3">
      <c r="B3" s="738" t="inlineStr">
        <is>
          <t>in k€</t>
        </is>
      </c>
      <c r="C3" s="741" t="inlineStr">
        <is>
          <t>Min</t>
        </is>
      </c>
      <c r="D3" s="741" t="inlineStr">
        <is>
          <t>Mid</t>
        </is>
      </c>
      <c r="E3" s="741" t="inlineStr">
        <is>
          <t>Max</t>
        </is>
      </c>
      <c r="F3" s="765" t="n"/>
      <c r="G3" s="738" t="inlineStr">
        <is>
          <t>in m€</t>
        </is>
      </c>
      <c r="H3" s="741" t="inlineStr">
        <is>
          <t>Min</t>
        </is>
      </c>
      <c r="I3" s="741" t="inlineStr">
        <is>
          <t>Mid</t>
        </is>
      </c>
      <c r="J3" s="741" t="inlineStr">
        <is>
          <t>Max</t>
        </is>
      </c>
      <c r="K3" s="741" t="inlineStr">
        <is>
          <t>Label mid</t>
        </is>
      </c>
      <c r="L3" s="741" t="inlineStr">
        <is>
          <t>Label max</t>
        </is>
      </c>
      <c r="N3" s="738" t="inlineStr">
        <is>
          <t>in k€</t>
        </is>
      </c>
      <c r="O3" s="741" t="inlineStr">
        <is>
          <t>Min</t>
        </is>
      </c>
      <c r="P3" s="741" t="inlineStr">
        <is>
          <t>Mid</t>
        </is>
      </c>
      <c r="Q3" s="741" t="inlineStr">
        <is>
          <t>Max</t>
        </is>
      </c>
      <c r="R3" s="765" t="n"/>
      <c r="S3" s="738" t="inlineStr">
        <is>
          <t>in m€</t>
        </is>
      </c>
      <c r="T3" s="741" t="inlineStr">
        <is>
          <t>Min</t>
        </is>
      </c>
      <c r="U3" s="741" t="inlineStr">
        <is>
          <t>Mid</t>
        </is>
      </c>
      <c r="V3" s="741" t="inlineStr">
        <is>
          <t>Max</t>
        </is>
      </c>
      <c r="W3" s="741" t="inlineStr">
        <is>
          <t>Label mid</t>
        </is>
      </c>
      <c r="X3" s="741" t="inlineStr">
        <is>
          <t>Label max</t>
        </is>
      </c>
    </row>
    <row r="4">
      <c r="B4" s="2" t="inlineStr">
        <is>
          <t>TM</t>
        </is>
      </c>
      <c r="C4" s="5">
        <f>MIN(TM!R48:T50)</f>
        <v/>
      </c>
      <c r="D4" s="5">
        <f>TM!S49</f>
        <v/>
      </c>
      <c r="E4" s="5">
        <f>MAX(TM!R48:T50)</f>
        <v/>
      </c>
      <c r="F4" s="31" t="n"/>
      <c r="G4" s="2" t="inlineStr">
        <is>
          <t>TM</t>
        </is>
      </c>
      <c r="H4" s="5">
        <f>C4</f>
        <v/>
      </c>
      <c r="I4" s="5">
        <f>D4-C4</f>
        <v/>
      </c>
      <c r="J4" s="5">
        <f>E4-D4</f>
        <v/>
      </c>
      <c r="K4" s="5">
        <f>D4</f>
        <v/>
      </c>
      <c r="L4" s="5">
        <f>E4</f>
        <v/>
      </c>
      <c r="N4" s="2" t="inlineStr">
        <is>
          <t>TM</t>
        </is>
      </c>
      <c r="O4" s="5">
        <f>C4+'BP - Annual'!$F$141</f>
        <v/>
      </c>
      <c r="P4" s="5">
        <f>D4+'BP - Annual'!$F$141</f>
        <v/>
      </c>
      <c r="Q4" s="5">
        <f>E4+'BP - Annual'!$F$141</f>
        <v/>
      </c>
      <c r="R4" s="31" t="n"/>
      <c r="S4" s="2" t="inlineStr">
        <is>
          <t>TM</t>
        </is>
      </c>
      <c r="T4" s="5">
        <f>O4</f>
        <v/>
      </c>
      <c r="U4" s="5">
        <f>P4-O4</f>
        <v/>
      </c>
      <c r="V4" s="5">
        <f>Q4-P4</f>
        <v/>
      </c>
      <c r="W4" s="5">
        <f>P4</f>
        <v/>
      </c>
      <c r="X4" s="5">
        <f>Q4</f>
        <v/>
      </c>
    </row>
    <row r="5">
      <c r="B5" s="2" t="inlineStr">
        <is>
          <t>MM</t>
        </is>
      </c>
      <c r="C5" s="5">
        <f>MIN(MM!R29:T31)</f>
        <v/>
      </c>
      <c r="D5" s="5">
        <f>MM!S30</f>
        <v/>
      </c>
      <c r="E5" s="5">
        <f>MAX(MM!R29:T31)</f>
        <v/>
      </c>
      <c r="F5" s="31" t="n"/>
      <c r="G5" s="2" t="inlineStr">
        <is>
          <t>MM</t>
        </is>
      </c>
      <c r="H5" s="5">
        <f>C5</f>
        <v/>
      </c>
      <c r="I5" s="5">
        <f>D5-C5</f>
        <v/>
      </c>
      <c r="J5" s="5">
        <f>E5-D5</f>
        <v/>
      </c>
      <c r="K5" s="5">
        <f>D5</f>
        <v/>
      </c>
      <c r="L5" s="5">
        <f>E5</f>
        <v/>
      </c>
      <c r="N5" s="2" t="inlineStr">
        <is>
          <t>MM</t>
        </is>
      </c>
      <c r="O5" s="5">
        <f>C5+'BP - Annual'!$F$141</f>
        <v/>
      </c>
      <c r="P5" s="5">
        <f>D5+'BP - Annual'!$F$141</f>
        <v/>
      </c>
      <c r="Q5" s="5">
        <f>E5+'BP - Annual'!$F$141</f>
        <v/>
      </c>
      <c r="R5" s="31" t="n"/>
      <c r="S5" s="2" t="inlineStr">
        <is>
          <t>MM</t>
        </is>
      </c>
      <c r="T5" s="5">
        <f>O5</f>
        <v/>
      </c>
      <c r="U5" s="5">
        <f>P5-O5</f>
        <v/>
      </c>
      <c r="V5" s="5">
        <f>Q5-P5</f>
        <v/>
      </c>
      <c r="W5" s="5">
        <f>P5</f>
        <v/>
      </c>
      <c r="X5" s="5">
        <f>Q5</f>
        <v/>
      </c>
    </row>
    <row r="6">
      <c r="B6" s="2" t="inlineStr">
        <is>
          <t>DCF</t>
        </is>
      </c>
      <c r="C6" s="5">
        <f>MIN(DCF!G67:I69)</f>
        <v/>
      </c>
      <c r="D6" s="5">
        <f>DCF!H68</f>
        <v/>
      </c>
      <c r="E6" s="5">
        <f>MAX(DCF!G67:I69)</f>
        <v/>
      </c>
      <c r="F6" s="31" t="n"/>
      <c r="G6" s="2" t="inlineStr">
        <is>
          <t>DCF</t>
        </is>
      </c>
      <c r="H6" s="5">
        <f>C6</f>
        <v/>
      </c>
      <c r="I6" s="5">
        <f>D6-C6</f>
        <v/>
      </c>
      <c r="J6" s="5">
        <f>E6-D6</f>
        <v/>
      </c>
      <c r="K6" s="5">
        <f>D6</f>
        <v/>
      </c>
      <c r="L6" s="5">
        <f>E6</f>
        <v/>
      </c>
      <c r="N6" s="2" t="inlineStr">
        <is>
          <t>DCF</t>
        </is>
      </c>
      <c r="O6" s="5">
        <f>C6+'BP - Annual'!$F$141</f>
        <v/>
      </c>
      <c r="P6" s="5">
        <f>D6+'BP - Annual'!$F$141</f>
        <v/>
      </c>
      <c r="Q6" s="5">
        <f>E6+'BP - Annual'!$F$141</f>
        <v/>
      </c>
      <c r="R6" s="31" t="n"/>
      <c r="S6" s="2" t="inlineStr">
        <is>
          <t>DCF</t>
        </is>
      </c>
      <c r="T6" s="5">
        <f>O6</f>
        <v/>
      </c>
      <c r="U6" s="5">
        <f>P6-O6</f>
        <v/>
      </c>
      <c r="V6" s="5">
        <f>Q6-P6</f>
        <v/>
      </c>
      <c r="W6" s="5">
        <f>P6</f>
        <v/>
      </c>
      <c r="X6" s="5">
        <f>Q6</f>
        <v/>
      </c>
    </row>
    <row r="7">
      <c r="C7" s="5" t="n"/>
      <c r="D7" s="5" t="n"/>
      <c r="E7" s="5" t="n"/>
      <c r="H7" s="5" t="n"/>
      <c r="I7" s="5" t="n"/>
      <c r="J7" s="5" t="n"/>
      <c r="O7" s="5" t="n"/>
      <c r="P7" s="5" t="n"/>
      <c r="Q7" s="5" t="n"/>
      <c r="T7" s="5" t="n"/>
      <c r="U7" s="5" t="n"/>
      <c r="V7" s="5" t="n"/>
    </row>
    <row r="8">
      <c r="B8" s="28" t="inlineStr">
        <is>
          <t>LRM - Implied EV multiple</t>
        </is>
      </c>
      <c r="G8" s="28" t="inlineStr">
        <is>
          <t>Grafiek - EV</t>
        </is>
      </c>
      <c r="H8" s="28" t="n"/>
    </row>
    <row r="9">
      <c r="B9" s="738" t="inlineStr">
        <is>
          <t>in k€</t>
        </is>
      </c>
      <c r="C9" s="741" t="inlineStr">
        <is>
          <t>Min</t>
        </is>
      </c>
      <c r="D9" s="741" t="inlineStr">
        <is>
          <t>Mid</t>
        </is>
      </c>
      <c r="E9" s="741" t="inlineStr">
        <is>
          <t>Max</t>
        </is>
      </c>
      <c r="F9" s="765" t="n"/>
      <c r="G9" s="738" t="inlineStr">
        <is>
          <t>in m€</t>
        </is>
      </c>
      <c r="H9" s="741" t="inlineStr">
        <is>
          <t>Min</t>
        </is>
      </c>
      <c r="I9" s="741" t="inlineStr">
        <is>
          <t>Mid</t>
        </is>
      </c>
      <c r="J9" s="741" t="inlineStr">
        <is>
          <t>Max</t>
        </is>
      </c>
      <c r="K9" s="741" t="inlineStr">
        <is>
          <t>Label mid</t>
        </is>
      </c>
      <c r="L9" s="741" t="inlineStr">
        <is>
          <t>Label max</t>
        </is>
      </c>
    </row>
    <row r="10">
      <c r="B10" s="2" t="inlineStr">
        <is>
          <t>TM</t>
        </is>
      </c>
      <c r="C10" s="907">
        <f>IFERROR(C4/$C$14,"n/a")</f>
        <v/>
      </c>
      <c r="D10" s="907">
        <f>IFERROR(D4/$C$14,"n/a")</f>
        <v/>
      </c>
      <c r="E10" s="907">
        <f>IFERROR(E4/$C$14,"n/a")</f>
        <v/>
      </c>
      <c r="F10" s="31" t="n"/>
      <c r="G10" s="2" t="inlineStr">
        <is>
          <t>TM</t>
        </is>
      </c>
      <c r="H10" s="907">
        <f>C10</f>
        <v/>
      </c>
      <c r="I10" s="907">
        <f>D10-C10</f>
        <v/>
      </c>
      <c r="J10" s="907">
        <f>E10-D10</f>
        <v/>
      </c>
      <c r="K10" s="907">
        <f>D10</f>
        <v/>
      </c>
      <c r="L10" s="907">
        <f>E10</f>
        <v/>
      </c>
    </row>
    <row r="11">
      <c r="B11" s="2" t="inlineStr">
        <is>
          <t>MM</t>
        </is>
      </c>
      <c r="C11" s="907">
        <f>IFERROR(C5/$C$14,"n/a")</f>
        <v/>
      </c>
      <c r="D11" s="907">
        <f>IFERROR(D5/$C$14,"n/a")</f>
        <v/>
      </c>
      <c r="E11" s="907">
        <f>IFERROR(E5/$C$14,"n/a")</f>
        <v/>
      </c>
      <c r="F11" s="31" t="n"/>
      <c r="G11" s="2" t="inlineStr">
        <is>
          <t>MM</t>
        </is>
      </c>
      <c r="H11" s="907">
        <f>C11</f>
        <v/>
      </c>
      <c r="I11" s="907">
        <f>D11-C11</f>
        <v/>
      </c>
      <c r="J11" s="907">
        <f>E11-D11</f>
        <v/>
      </c>
      <c r="K11" s="907">
        <f>D11</f>
        <v/>
      </c>
      <c r="L11" s="907">
        <f>E11</f>
        <v/>
      </c>
    </row>
    <row r="12">
      <c r="B12" s="2" t="inlineStr">
        <is>
          <t>DCF</t>
        </is>
      </c>
      <c r="C12" s="907">
        <f>IFERROR(C6/$C$14,"n/a")</f>
        <v/>
      </c>
      <c r="D12" s="907">
        <f>IFERROR(D6/$C$14,"n/a")</f>
        <v/>
      </c>
      <c r="E12" s="907">
        <f>IFERROR(E6/$C$14,"n/a")</f>
        <v/>
      </c>
      <c r="F12" s="31" t="n"/>
      <c r="G12" s="2" t="inlineStr">
        <is>
          <t>DCF</t>
        </is>
      </c>
      <c r="H12" s="907">
        <f>C12</f>
        <v/>
      </c>
      <c r="I12" s="907">
        <f>D12-C12</f>
        <v/>
      </c>
      <c r="J12" s="907">
        <f>E12-D12</f>
        <v/>
      </c>
      <c r="K12" s="907">
        <f>D12</f>
        <v/>
      </c>
      <c r="L12" s="907">
        <f>E12</f>
        <v/>
      </c>
    </row>
    <row r="13" ht="14.4" customHeight="1" thickBot="1"/>
    <row r="14" ht="14.4" customHeight="1" thickBot="1">
      <c r="B14" s="487" t="inlineStr">
        <is>
          <t>FY22 EBITDA</t>
        </is>
      </c>
      <c r="C14" s="488">
        <f>'BP - Annual'!F61</f>
        <v/>
      </c>
    </row>
    <row r="51">
      <c r="B51" s="29" t="inlineStr">
        <is>
          <t>,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18.xml><?xml version="1.0" encoding="utf-8"?>
<worksheet xmlns="http://schemas.openxmlformats.org/spreadsheetml/2006/main">
  <sheetPr>
    <tabColor theme="4" tint="0.5999938962981048"/>
    <outlinePr summaryBelow="1" summaryRight="1"/>
    <pageSetUpPr/>
  </sheetPr>
  <dimension ref="A1:J82"/>
  <sheetViews>
    <sheetView showGridLines="0" workbookViewId="0">
      <selection activeCell="L76" sqref="L76"/>
    </sheetView>
  </sheetViews>
  <sheetFormatPr baseColWidth="8" defaultColWidth="9.109375" defaultRowHeight="13.2" outlineLevelRow="1"/>
  <cols>
    <col width="4.6640625" customWidth="1" style="6" min="1" max="1"/>
    <col width="4.44140625" customWidth="1" style="6" min="2" max="2"/>
    <col width="33.5546875" customWidth="1" style="6" min="3" max="3"/>
    <col width="9" customWidth="1" style="6" min="4" max="4"/>
    <col width="9" customWidth="1" style="32" min="5" max="5"/>
    <col width="9" customWidth="1" style="6" min="6" max="7"/>
    <col width="9" customWidth="1" style="32" min="8" max="8"/>
    <col width="9" customWidth="1" style="6" min="9" max="10"/>
    <col width="9.109375" customWidth="1" style="6" min="11" max="16384"/>
  </cols>
  <sheetData>
    <row r="1">
      <c r="A1" s="1">
        <f>SUM(A2:A200)</f>
        <v/>
      </c>
    </row>
    <row r="3" ht="12.75" customHeight="1">
      <c r="C3" s="48">
        <f>"WACC - "&amp;Historiek!$A$2</f>
        <v/>
      </c>
    </row>
    <row r="4" ht="12.75" customHeight="1">
      <c r="C4" s="766" t="inlineStr">
        <is>
          <t>%</t>
        </is>
      </c>
      <c r="D4" s="767" t="n"/>
    </row>
    <row r="5" ht="12.75" customHeight="1">
      <c r="C5" s="33" t="inlineStr">
        <is>
          <t>Risicovrije rentevoet</t>
        </is>
      </c>
      <c r="D5" s="486" t="n">
        <v>0.035</v>
      </c>
      <c r="F5" s="6" t="inlineStr">
        <is>
          <t>Alligneren met lange termijn rente: https://www.tijd.be/markten-live/rente.html</t>
        </is>
      </c>
    </row>
    <row r="6" ht="12.75" customHeight="1">
      <c r="C6" s="35" t="inlineStr">
        <is>
          <t>Unlevered beta (Damodaran)</t>
        </is>
      </c>
      <c r="D6" s="36" t="n"/>
      <c r="F6" s="6" t="inlineStr">
        <is>
          <t>Data Damodaran per Jan'23 cfr. Valuation date - zie tab Beta &amp; Gearing</t>
        </is>
      </c>
    </row>
    <row r="7" ht="12.75" customHeight="1">
      <c r="C7" s="37" t="inlineStr">
        <is>
          <t>Gearing (Damodaran)</t>
        </is>
      </c>
      <c r="D7" s="38" t="n"/>
      <c r="F7" s="6" t="inlineStr">
        <is>
          <t>Data Damodaran per Jan'23 cfr. Valuation date - zie tab Beta &amp; Gearing</t>
        </is>
      </c>
      <c r="G7" s="39" t="n"/>
      <c r="H7" s="40" t="n"/>
    </row>
    <row r="8" ht="12.75" customHeight="1">
      <c r="C8" s="41" t="inlineStr">
        <is>
          <t>Levered beta</t>
        </is>
      </c>
      <c r="D8" s="42">
        <f>D6*(1+D7*(1-D16))</f>
        <v/>
      </c>
    </row>
    <row r="9" ht="12.75" customHeight="1">
      <c r="C9" s="33" t="inlineStr">
        <is>
          <t>Markt risicopremie</t>
        </is>
      </c>
      <c r="D9" s="34" t="n">
        <v>0.06</v>
      </c>
      <c r="F9" s="6" t="inlineStr">
        <is>
          <t>Deloitte standaard</t>
        </is>
      </c>
    </row>
    <row r="10" ht="12.75" customHeight="1">
      <c r="C10" s="33" t="inlineStr">
        <is>
          <t>Size premium</t>
        </is>
      </c>
      <c r="D10" s="43" t="n"/>
      <c r="E10" s="44" t="n"/>
      <c r="F10" s="6" t="inlineStr">
        <is>
          <t>Deloitte standaard - zie tab Size premium</t>
        </is>
      </c>
    </row>
    <row r="11" ht="12.75" customHeight="1">
      <c r="C11" s="33" t="inlineStr">
        <is>
          <t>Company specific risk premium</t>
        </is>
      </c>
      <c r="D11" s="45" t="n"/>
      <c r="E11" s="44" t="n"/>
      <c r="F11" s="3" t="n"/>
    </row>
    <row r="12" ht="12.75" customHeight="1">
      <c r="C12" s="46" t="inlineStr">
        <is>
          <t>Kost eigen vermogen</t>
        </is>
      </c>
      <c r="D12" s="47">
        <f>SUM(D5,D8*D9,D10,D11)</f>
        <v/>
      </c>
    </row>
    <row r="13" ht="12.75" customHeight="1">
      <c r="C13" s="33" t="n"/>
    </row>
    <row r="14" ht="12.75" customHeight="1">
      <c r="C14" s="33" t="inlineStr">
        <is>
          <t>Risicovrije rentevoet</t>
        </is>
      </c>
      <c r="D14" s="43">
        <f>D5</f>
        <v/>
      </c>
    </row>
    <row r="15" ht="12.75" customHeight="1">
      <c r="C15" s="33" t="inlineStr">
        <is>
          <t>Corporate debt rate spread</t>
        </is>
      </c>
      <c r="D15" s="43" t="n"/>
      <c r="F15" s="6" t="inlineStr">
        <is>
          <t xml:space="preserve">Tussen 1,5% à 3,0%, te alligneren zodat kost vreemd vermogen overeenstemt met redelijke kost waaraan bedrijf vandaag bij de bank kan lenen. </t>
        </is>
      </c>
    </row>
    <row r="16" ht="12.75" customHeight="1">
      <c r="C16" s="33" t="inlineStr">
        <is>
          <t>Tax rate</t>
        </is>
      </c>
      <c r="D16" s="43" t="n">
        <v>0.25</v>
      </c>
      <c r="F16" s="6" t="inlineStr">
        <is>
          <t>https://taxsummaries.pwc.com/quick-charts/corporate-income-tax-cit-rates</t>
        </is>
      </c>
    </row>
    <row r="17" ht="12.75" customHeight="1">
      <c r="C17" s="48" t="inlineStr">
        <is>
          <t>Kost vreemd vermogen</t>
        </is>
      </c>
      <c r="D17" s="47">
        <f>SUM(D14:D15)*(1-D16)</f>
        <v/>
      </c>
    </row>
    <row r="18" ht="12.75" customHeight="1">
      <c r="C18" s="48" t="n"/>
      <c r="D18" s="47" t="n"/>
    </row>
    <row r="19" ht="12.75" customHeight="1">
      <c r="C19" s="33" t="inlineStr">
        <is>
          <t>Fractie eigen vermogen</t>
        </is>
      </c>
      <c r="D19" s="43">
        <f>1/(1+D7)</f>
        <v/>
      </c>
      <c r="E19" s="44" t="n"/>
      <c r="F19" s="43" t="n"/>
    </row>
    <row r="20" ht="12.75" customHeight="1">
      <c r="C20" s="33" t="inlineStr">
        <is>
          <t>Fractie vreemd vermogen</t>
        </is>
      </c>
      <c r="D20" s="43">
        <f>1-D19</f>
        <v/>
      </c>
      <c r="E20" s="44" t="n"/>
    </row>
    <row r="21" ht="12.75" customHeight="1">
      <c r="C21" s="49" t="inlineStr">
        <is>
          <t>Gewogen gemiddelde kapitaalskost</t>
        </is>
      </c>
      <c r="D21" s="50">
        <f>D12*D19+D17*D20</f>
        <v/>
      </c>
    </row>
    <row r="22" ht="12.75" customHeight="1">
      <c r="C22" s="33" t="n"/>
    </row>
    <row r="23" ht="12.75" customHeight="1">
      <c r="C23" s="33" t="n"/>
    </row>
    <row r="24" ht="12.75" customHeight="1">
      <c r="C24" s="48">
        <f>"DCF waardering - "&amp;Historiek!$A$2</f>
        <v/>
      </c>
    </row>
    <row r="25" ht="12.75" customHeight="1">
      <c r="C25" s="766" t="inlineStr">
        <is>
          <t>Parameters</t>
        </is>
      </c>
      <c r="D25" s="767" t="n"/>
    </row>
    <row r="26" ht="12.75" customHeight="1">
      <c r="C26" s="33" t="inlineStr">
        <is>
          <t>Waarderingsdatum</t>
        </is>
      </c>
      <c r="D26" s="51" t="n"/>
    </row>
    <row r="27" ht="12.75" customHeight="1">
      <c r="C27" s="33" t="inlineStr">
        <is>
          <t>Discount conventie</t>
        </is>
      </c>
      <c r="D27" s="52" t="inlineStr">
        <is>
          <t>Mid-year</t>
        </is>
      </c>
    </row>
    <row r="28" ht="12.75" customHeight="1">
      <c r="C28" s="33" t="inlineStr">
        <is>
          <t>WACC</t>
        </is>
      </c>
      <c r="D28" s="53">
        <f>D21</f>
        <v/>
      </c>
    </row>
    <row r="29" ht="12.75" customHeight="1">
      <c r="C29" s="33" t="inlineStr">
        <is>
          <t>LT groeivoet</t>
        </is>
      </c>
      <c r="D29" s="53">
        <f>D5</f>
        <v/>
      </c>
      <c r="H29" s="6" t="n"/>
    </row>
    <row r="30" ht="12.75" customHeight="1">
      <c r="C30" s="33" t="inlineStr">
        <is>
          <t>Tax rate</t>
        </is>
      </c>
      <c r="D30" s="53">
        <f>D16</f>
        <v/>
      </c>
      <c r="H30" s="6" t="n"/>
    </row>
    <row r="31" ht="12.75" customHeight="1">
      <c r="C31" s="33" t="n"/>
      <c r="E31" s="6" t="n"/>
      <c r="H31" s="6" t="n"/>
    </row>
    <row r="32" ht="12.75" customHeight="1">
      <c r="C32" s="766">
        <f>'BP - Annual'!C9</f>
        <v/>
      </c>
      <c r="D32" s="743">
        <f>'BP - Annual'!F4</f>
        <v/>
      </c>
      <c r="E32" s="741">
        <f>'BP - Annual'!G4</f>
        <v/>
      </c>
      <c r="F32" s="741">
        <f>'BP - Annual'!H4</f>
        <v/>
      </c>
      <c r="G32" s="741">
        <f>'BP - Annual'!I4</f>
        <v/>
      </c>
      <c r="H32" s="741">
        <f>'BP - Annual'!J4</f>
        <v/>
      </c>
      <c r="I32" s="741">
        <f>'BP - Annual'!K4</f>
        <v/>
      </c>
      <c r="J32" s="741" t="inlineStr">
        <is>
          <t>TV</t>
        </is>
      </c>
    </row>
    <row r="33" ht="12.75" customHeight="1">
      <c r="C33" s="48" t="inlineStr">
        <is>
          <t>Omzet</t>
        </is>
      </c>
      <c r="D33" s="54">
        <f>'BP - Annual'!F52</f>
        <v/>
      </c>
      <c r="E33" s="55">
        <f>'BP - Annual'!G52</f>
        <v/>
      </c>
      <c r="F33" s="55">
        <f>'BP - Annual'!H52</f>
        <v/>
      </c>
      <c r="G33" s="55">
        <f>'BP - Annual'!I52</f>
        <v/>
      </c>
      <c r="H33" s="55">
        <f>'BP - Annual'!J52</f>
        <v/>
      </c>
      <c r="I33" s="55">
        <f>'BP - Annual'!K52</f>
        <v/>
      </c>
      <c r="J33" s="55">
        <f>I33*(1+J34)</f>
        <v/>
      </c>
    </row>
    <row r="34" ht="12.75" customHeight="1">
      <c r="C34" s="56" t="inlineStr">
        <is>
          <t>Omzet groei %</t>
        </is>
      </c>
      <c r="D34" s="57">
        <f>IFERROR('BP - Annual'!F52/'BP - Annual'!E52-1,"n/a")</f>
        <v/>
      </c>
      <c r="E34" s="58">
        <f>IFERROR(E33/D33-1,"n/a")</f>
        <v/>
      </c>
      <c r="F34" s="58">
        <f>IFERROR(F33/E33-1,"n/a")</f>
        <v/>
      </c>
      <c r="G34" s="58">
        <f>IFERROR(G33/F33-1,"n/a")</f>
        <v/>
      </c>
      <c r="H34" s="58">
        <f>IFERROR(H33/G33-1,"n/a")</f>
        <v/>
      </c>
      <c r="I34" s="58">
        <f>IFERROR(I33/H33-1,"n/a")</f>
        <v/>
      </c>
      <c r="J34" s="58">
        <f>D29</f>
        <v/>
      </c>
    </row>
    <row r="35" ht="12.75" customHeight="1">
      <c r="C35" s="48" t="inlineStr">
        <is>
          <t>EBITDA</t>
        </is>
      </c>
      <c r="D35" s="54">
        <f>'BP - Annual'!F61</f>
        <v/>
      </c>
      <c r="E35" s="55">
        <f>'BP - Annual'!G61</f>
        <v/>
      </c>
      <c r="F35" s="55">
        <f>'BP - Annual'!H61</f>
        <v/>
      </c>
      <c r="G35" s="55">
        <f>'BP - Annual'!I61</f>
        <v/>
      </c>
      <c r="H35" s="59">
        <f>'BP - Annual'!J61</f>
        <v/>
      </c>
      <c r="I35" s="59">
        <f>'BP - Annual'!K61</f>
        <v/>
      </c>
      <c r="J35" s="59">
        <f>J36*J33</f>
        <v/>
      </c>
    </row>
    <row r="36" ht="12.75" customHeight="1">
      <c r="C36" s="56" t="inlineStr">
        <is>
          <t>EBITDA %</t>
        </is>
      </c>
      <c r="D36" s="60">
        <f>IFERROR(D35/D33,"n/a")</f>
        <v/>
      </c>
      <c r="E36" s="60">
        <f>IFERROR(E35/E33,"n/a")</f>
        <v/>
      </c>
      <c r="F36" s="60">
        <f>IFERROR(F35/F33,"n/a")</f>
        <v/>
      </c>
      <c r="G36" s="60">
        <f>IFERROR(G35/G33,"n/a")</f>
        <v/>
      </c>
      <c r="H36" s="60">
        <f>IFERROR(H35/H33,"n/a")</f>
        <v/>
      </c>
      <c r="I36" s="60">
        <f>IFERROR(I35/I33,"n/a")</f>
        <v/>
      </c>
      <c r="J36" s="60">
        <f>I36</f>
        <v/>
      </c>
    </row>
    <row r="37" ht="12.75" customHeight="1">
      <c r="C37" s="6" t="inlineStr">
        <is>
          <t>Afschrijvingen</t>
        </is>
      </c>
      <c r="D37" s="61">
        <f>'BP - Annual'!F63</f>
        <v/>
      </c>
      <c r="E37" s="482">
        <f>'BP - Annual'!G63</f>
        <v/>
      </c>
      <c r="F37" s="482">
        <f>'BP - Annual'!H63</f>
        <v/>
      </c>
      <c r="G37" s="482">
        <f>'BP - Annual'!I63</f>
        <v/>
      </c>
      <c r="H37" s="482">
        <f>'BP - Annual'!J63</f>
        <v/>
      </c>
      <c r="I37" s="482">
        <f>'BP - Annual'!K63</f>
        <v/>
      </c>
      <c r="J37" s="482">
        <f>J44</f>
        <v/>
      </c>
    </row>
    <row r="38" ht="12.75" customHeight="1">
      <c r="C38" s="48" t="inlineStr">
        <is>
          <t>EBIT</t>
        </is>
      </c>
      <c r="D38" s="54">
        <f>D35+D37</f>
        <v/>
      </c>
      <c r="E38" s="54">
        <f>E35+E37</f>
        <v/>
      </c>
      <c r="F38" s="54">
        <f>F35+F37</f>
        <v/>
      </c>
      <c r="G38" s="54">
        <f>G35+G37</f>
        <v/>
      </c>
      <c r="H38" s="54">
        <f>H35+H37</f>
        <v/>
      </c>
      <c r="I38" s="54">
        <f>I35+I37</f>
        <v/>
      </c>
      <c r="J38" s="54">
        <f>J35+J37</f>
        <v/>
      </c>
    </row>
    <row r="39" ht="12.75" customHeight="1">
      <c r="C39" s="56" t="inlineStr">
        <is>
          <t>EBIT %</t>
        </is>
      </c>
      <c r="D39" s="60">
        <f>IFERROR(D38/D33,"n/a")</f>
        <v/>
      </c>
      <c r="E39" s="60">
        <f>IFERROR(E38/E33,"n/a")</f>
        <v/>
      </c>
      <c r="F39" s="60">
        <f>IFERROR(F38/F33,"n/a")</f>
        <v/>
      </c>
      <c r="G39" s="60">
        <f>IFERROR(G38/G33,"n/a")</f>
        <v/>
      </c>
      <c r="H39" s="60">
        <f>IFERROR(H38/H33,"n/a")</f>
        <v/>
      </c>
      <c r="I39" s="60">
        <f>IFERROR(I38/I33,"n/a")</f>
        <v/>
      </c>
      <c r="J39" s="60">
        <f>IFERROR(J38/J33,"n/a")</f>
        <v/>
      </c>
    </row>
    <row r="40" ht="12.75" customHeight="1">
      <c r="C40" s="33" t="inlineStr">
        <is>
          <t>Taxes</t>
        </is>
      </c>
      <c r="D40" s="61">
        <f>'BP - Annual'!F73</f>
        <v/>
      </c>
      <c r="E40" s="61">
        <f>IF(E38&gt;0,-E41*E38,0)</f>
        <v/>
      </c>
      <c r="F40" s="61">
        <f>IF(F38&gt;0,-F41*F38,0)</f>
        <v/>
      </c>
      <c r="G40" s="61">
        <f>IF(G38&gt;0,-G41*G38,0)</f>
        <v/>
      </c>
      <c r="H40" s="61">
        <f>IF(H38&gt;0,-H41*H38,0)</f>
        <v/>
      </c>
      <c r="I40" s="61">
        <f>IF(I38&gt;0,-I41*I38,0)</f>
        <v/>
      </c>
      <c r="J40" s="61">
        <f>IF(J38&gt;0,-J41*J38,0)</f>
        <v/>
      </c>
    </row>
    <row r="41" ht="12.75" customHeight="1">
      <c r="C41" s="56" t="inlineStr">
        <is>
          <t>Tax rate</t>
        </is>
      </c>
      <c r="D41" s="62">
        <f>IFERROR(D40/D38,"n/a")</f>
        <v/>
      </c>
      <c r="E41" s="63">
        <f>$D$30</f>
        <v/>
      </c>
      <c r="F41" s="63">
        <f>$D$30</f>
        <v/>
      </c>
      <c r="G41" s="63">
        <f>$D$30</f>
        <v/>
      </c>
      <c r="H41" s="63">
        <f>$D$30</f>
        <v/>
      </c>
      <c r="I41" s="63">
        <f>$D$30</f>
        <v/>
      </c>
      <c r="J41" s="63">
        <f>$D$30</f>
        <v/>
      </c>
    </row>
    <row r="42" ht="12.75" customHeight="1">
      <c r="C42" s="48" t="inlineStr">
        <is>
          <t>Net income</t>
        </is>
      </c>
      <c r="D42" s="17">
        <f>SUM(D38,D40)</f>
        <v/>
      </c>
      <c r="E42" s="16">
        <f>SUM(E38,E40)</f>
        <v/>
      </c>
      <c r="F42" s="16">
        <f>SUM(F38,F40)</f>
        <v/>
      </c>
      <c r="G42" s="16">
        <f>SUM(G38,G40)</f>
        <v/>
      </c>
      <c r="H42" s="16">
        <f>SUM(H38,H40)</f>
        <v/>
      </c>
      <c r="I42" s="16">
        <f>SUM(I38,I40)</f>
        <v/>
      </c>
      <c r="J42" s="16">
        <f>SUM(J38,J40)</f>
        <v/>
      </c>
    </row>
    <row r="43" ht="12.75" customHeight="1">
      <c r="C43" s="33" t="inlineStr">
        <is>
          <t>Addback D&amp;A</t>
        </is>
      </c>
      <c r="D43" s="14" t="n"/>
      <c r="E43" s="14">
        <f>-E37</f>
        <v/>
      </c>
      <c r="F43" s="14">
        <f>-F37</f>
        <v/>
      </c>
      <c r="G43" s="14">
        <f>-G37</f>
        <v/>
      </c>
      <c r="H43" s="14">
        <f>-H37</f>
        <v/>
      </c>
      <c r="I43" s="14">
        <f>-I37</f>
        <v/>
      </c>
      <c r="J43" s="14">
        <f>-J37</f>
        <v/>
      </c>
    </row>
    <row r="44" ht="12.75" customHeight="1">
      <c r="C44" s="33" t="inlineStr">
        <is>
          <t>Capex</t>
        </is>
      </c>
      <c r="D44" s="14" t="n"/>
      <c r="E44" s="14">
        <f>'BP - Annual'!G86</f>
        <v/>
      </c>
      <c r="F44" s="14">
        <f>'BP - Annual'!H86</f>
        <v/>
      </c>
      <c r="G44" s="14">
        <f>'BP - Annual'!I86</f>
        <v/>
      </c>
      <c r="H44" s="14">
        <f>'BP - Annual'!J86</f>
        <v/>
      </c>
      <c r="I44" s="14">
        <f>'BP - Annual'!K86</f>
        <v/>
      </c>
      <c r="J44" s="485" t="n"/>
    </row>
    <row r="45" ht="12.75" customHeight="1">
      <c r="C45" s="33" t="inlineStr">
        <is>
          <t>Change in NWC</t>
        </is>
      </c>
      <c r="D45" s="14" t="n"/>
      <c r="E45" s="4">
        <f>D46-E46</f>
        <v/>
      </c>
      <c r="F45" s="4">
        <f>E46-F46</f>
        <v/>
      </c>
      <c r="G45" s="4">
        <f>F46-G46</f>
        <v/>
      </c>
      <c r="H45" s="4">
        <f>G46-H46</f>
        <v/>
      </c>
      <c r="I45" s="4">
        <f>H46-I46</f>
        <v/>
      </c>
      <c r="J45" s="4">
        <f>I46-J46</f>
        <v/>
      </c>
    </row>
    <row r="46" outlineLevel="1" ht="12.75" customHeight="1">
      <c r="C46" s="64" t="inlineStr">
        <is>
          <t xml:space="preserve">NWK </t>
        </is>
      </c>
      <c r="D46" s="65">
        <f>'BP - Annual'!F127</f>
        <v/>
      </c>
      <c r="E46" s="66">
        <f>'BP - Annual'!G127</f>
        <v/>
      </c>
      <c r="F46" s="66">
        <f>'BP - Annual'!H127</f>
        <v/>
      </c>
      <c r="G46" s="66">
        <f>'BP - Annual'!I127</f>
        <v/>
      </c>
      <c r="H46" s="66">
        <f>'BP - Annual'!J127</f>
        <v/>
      </c>
      <c r="I46" s="66">
        <f>'BP - Annual'!K127</f>
        <v/>
      </c>
      <c r="J46" s="66">
        <f>J47*J33</f>
        <v/>
      </c>
    </row>
    <row r="47" outlineLevel="1" ht="12.75" customHeight="1">
      <c r="C47" s="64" t="inlineStr">
        <is>
          <t>NWK % van omzet</t>
        </is>
      </c>
      <c r="D47" s="483">
        <f>IFERROR(D46/D33,"n/a")</f>
        <v/>
      </c>
      <c r="E47" s="484">
        <f>IFERROR(E46/E33,"n/a")</f>
        <v/>
      </c>
      <c r="F47" s="484">
        <f>IFERROR(F46/F33,"n/a")</f>
        <v/>
      </c>
      <c r="G47" s="484">
        <f>IFERROR(G46/G33,"n/a")</f>
        <v/>
      </c>
      <c r="H47" s="484">
        <f>IFERROR(H46/H33,"n/a")</f>
        <v/>
      </c>
      <c r="I47" s="484">
        <f>IFERROR(I46/I33,"n/a")</f>
        <v/>
      </c>
      <c r="J47" s="484">
        <f>I47</f>
        <v/>
      </c>
    </row>
    <row r="48" ht="12.75" customHeight="1">
      <c r="C48" s="48" t="inlineStr">
        <is>
          <t>FCFF</t>
        </is>
      </c>
      <c r="D48" s="67" t="n"/>
      <c r="E48" s="17">
        <f>SUM(E42:E45)</f>
        <v/>
      </c>
      <c r="F48" s="17">
        <f>SUM(F42:F45)</f>
        <v/>
      </c>
      <c r="G48" s="17">
        <f>SUM(G42:G45)</f>
        <v/>
      </c>
      <c r="H48" s="17">
        <f>SUM(H42:H45)</f>
        <v/>
      </c>
      <c r="I48" s="17">
        <f>SUM(I42:I45)</f>
        <v/>
      </c>
      <c r="J48" s="17">
        <f>SUM(J42:J45)</f>
        <v/>
      </c>
    </row>
    <row r="49" ht="12.75" customHeight="1">
      <c r="C49" s="48" t="inlineStr">
        <is>
          <t>TV</t>
        </is>
      </c>
      <c r="D49" s="16" t="n"/>
      <c r="E49" s="16" t="n"/>
      <c r="F49" s="16" t="n"/>
      <c r="G49" s="16" t="n"/>
      <c r="H49" s="16" t="n"/>
      <c r="I49" s="16" t="n"/>
      <c r="J49" s="16">
        <f>J48/(D28-D29)</f>
        <v/>
      </c>
    </row>
    <row r="50" ht="12.75" customHeight="1">
      <c r="C50" s="33" t="n"/>
      <c r="D50" s="4" t="n"/>
      <c r="E50" s="4" t="n"/>
      <c r="F50" s="4" t="n"/>
      <c r="H50" s="6" t="n"/>
    </row>
    <row r="51" ht="12.75" customHeight="1">
      <c r="C51" s="6" t="inlineStr">
        <is>
          <t>Time factor</t>
        </is>
      </c>
      <c r="D51" s="908" t="n"/>
      <c r="E51" s="908" t="n">
        <v>0.5</v>
      </c>
      <c r="F51" s="908">
        <f>E51+1</f>
        <v/>
      </c>
      <c r="G51" s="908">
        <f>F51+1</f>
        <v/>
      </c>
      <c r="H51" s="908">
        <f>G51+1</f>
        <v/>
      </c>
      <c r="I51" s="908">
        <f>H51+1</f>
        <v/>
      </c>
      <c r="J51" s="908">
        <f>I51</f>
        <v/>
      </c>
    </row>
    <row r="52" ht="12.75" customHeight="1">
      <c r="C52" s="33" t="inlineStr">
        <is>
          <t>Discount factor (WACC)</t>
        </is>
      </c>
      <c r="D52" s="908" t="n"/>
      <c r="E52" s="908">
        <f>1/(1+$D$28)^E51</f>
        <v/>
      </c>
      <c r="F52" s="908">
        <f>1/(1+$D$28)^F51</f>
        <v/>
      </c>
      <c r="G52" s="908">
        <f>1/(1+$D$28)^G51</f>
        <v/>
      </c>
      <c r="H52" s="908">
        <f>1/(1+$D$28)^H51</f>
        <v/>
      </c>
      <c r="I52" s="908">
        <f>1/(1+$D$28)^I51</f>
        <v/>
      </c>
      <c r="J52" s="908">
        <f>1/(1+$D$28)^J51</f>
        <v/>
      </c>
    </row>
    <row r="53" ht="12.75" customHeight="1">
      <c r="C53" s="46" t="inlineStr">
        <is>
          <t>PV FCFF</t>
        </is>
      </c>
      <c r="D53" s="16" t="n"/>
      <c r="E53" s="16">
        <f>E48*E52</f>
        <v/>
      </c>
      <c r="F53" s="16">
        <f>F48*F52</f>
        <v/>
      </c>
      <c r="G53" s="16">
        <f>G48*G52</f>
        <v/>
      </c>
      <c r="H53" s="16">
        <f>H48*H52</f>
        <v/>
      </c>
      <c r="I53" s="16">
        <f>I48*I52</f>
        <v/>
      </c>
      <c r="J53" s="16">
        <f>J49*J52</f>
        <v/>
      </c>
    </row>
    <row r="54">
      <c r="H54" s="6" t="n"/>
    </row>
    <row r="55" ht="12.75" customHeight="1">
      <c r="C55" s="768" t="inlineStr">
        <is>
          <t>Enterprise value</t>
        </is>
      </c>
      <c r="D55" s="769">
        <f>SUM(E53:J53)</f>
        <v/>
      </c>
      <c r="H55" s="6" t="n"/>
    </row>
    <row r="56" ht="12.75" customHeight="1">
      <c r="C56" s="69" t="inlineStr">
        <is>
          <t>NFD @ Val. Date</t>
        </is>
      </c>
      <c r="D56" s="70">
        <f>'BP - Annual'!F141</f>
        <v/>
      </c>
      <c r="F56" s="3" t="n"/>
      <c r="H56" s="6" t="n"/>
    </row>
    <row r="57" ht="12.75" customHeight="1">
      <c r="C57" s="71" t="inlineStr">
        <is>
          <t>Equity value</t>
        </is>
      </c>
      <c r="D57" s="72">
        <f>SUM(D55:D56)</f>
        <v/>
      </c>
      <c r="E57" s="73" t="n"/>
      <c r="F57" s="74" t="n"/>
      <c r="H57" s="6" t="n"/>
    </row>
    <row r="58" ht="12.75" customHeight="1">
      <c r="E58" s="6" t="n"/>
      <c r="H58" s="6" t="n"/>
    </row>
    <row r="59" ht="12.75" customHeight="1">
      <c r="C59" s="75" t="inlineStr">
        <is>
          <t>Implied multiples</t>
        </is>
      </c>
      <c r="D59" s="76" t="n"/>
      <c r="E59" s="76" t="n"/>
      <c r="F59" s="76" t="n"/>
      <c r="G59" s="76" t="n"/>
      <c r="H59" s="76" t="n"/>
      <c r="I59" s="76" t="n"/>
      <c r="J59" s="77" t="n"/>
    </row>
    <row r="60" ht="12.75" customHeight="1">
      <c r="C60" s="69" t="inlineStr">
        <is>
          <t>EV / sales</t>
        </is>
      </c>
      <c r="D60" s="909">
        <f>IFERROR($D$55/D33,"n/a")</f>
        <v/>
      </c>
      <c r="E60" s="909">
        <f>IFERROR($D$55/E33,"n/a")</f>
        <v/>
      </c>
      <c r="F60" s="909">
        <f>IFERROR($D$55/F33,"n/a")</f>
        <v/>
      </c>
      <c r="G60" s="909">
        <f>IFERROR($D$55/G33,"n/a")</f>
        <v/>
      </c>
      <c r="H60" s="909">
        <f>IFERROR($D$55/H33,"n/a")</f>
        <v/>
      </c>
      <c r="I60" s="909">
        <f>IFERROR($D$55/I33,"n/a")</f>
        <v/>
      </c>
      <c r="J60" s="910">
        <f>IFERROR($J$49/J33,"n/a")</f>
        <v/>
      </c>
    </row>
    <row r="61" ht="12.75" customHeight="1">
      <c r="C61" s="69" t="inlineStr">
        <is>
          <t>EV / EBITDA</t>
        </is>
      </c>
      <c r="D61" s="909">
        <f>IFERROR($D$55/D35,"n/a")</f>
        <v/>
      </c>
      <c r="E61" s="909">
        <f>IFERROR($D$55/E35,"n/a")</f>
        <v/>
      </c>
      <c r="F61" s="909">
        <f>IFERROR($D$55/F35,"n/a")</f>
        <v/>
      </c>
      <c r="G61" s="909">
        <f>IFERROR($D$55/G35,"n/a")</f>
        <v/>
      </c>
      <c r="H61" s="909">
        <f>IFERROR($D$55/H35,"n/a")</f>
        <v/>
      </c>
      <c r="I61" s="909">
        <f>IFERROR($D$55/I35,"n/a")</f>
        <v/>
      </c>
      <c r="J61" s="910">
        <f>IFERROR($J$49/J35,"n/a")</f>
        <v/>
      </c>
    </row>
    <row r="62" ht="12.75" customHeight="1">
      <c r="C62" s="80" t="inlineStr">
        <is>
          <t>EV / EBIT</t>
        </is>
      </c>
      <c r="D62" s="911">
        <f>IFERROR($D$55/D38,"n/a")</f>
        <v/>
      </c>
      <c r="E62" s="911">
        <f>IFERROR($D$55/E38,"n/a")</f>
        <v/>
      </c>
      <c r="F62" s="911">
        <f>IFERROR($D$55/F38,"n/a")</f>
        <v/>
      </c>
      <c r="G62" s="911">
        <f>IFERROR($D$55/G38,"n/a")</f>
        <v/>
      </c>
      <c r="H62" s="911">
        <f>IFERROR($D$55/H38,"n/a")</f>
        <v/>
      </c>
      <c r="I62" s="911">
        <f>IFERROR($D$55/I38,"n/a")</f>
        <v/>
      </c>
      <c r="J62" s="912">
        <f>IFERROR($J$49/J38,"n/a")</f>
        <v/>
      </c>
    </row>
    <row r="63" ht="12.75" customHeight="1">
      <c r="E63" s="6" t="n"/>
      <c r="H63" s="6" t="n"/>
    </row>
    <row r="64" ht="12.75" customHeight="1">
      <c r="C64" s="46" t="n"/>
      <c r="D64" s="46" t="inlineStr">
        <is>
          <t>Sensitivity - Enterprise value</t>
        </is>
      </c>
      <c r="E64" s="6" t="n"/>
      <c r="H64" s="83" t="inlineStr">
        <is>
          <t>LTGR</t>
        </is>
      </c>
      <c r="J64" s="46" t="n"/>
    </row>
    <row r="65" ht="12.75" customHeight="1">
      <c r="C65" s="84" t="n"/>
      <c r="D65" s="84" t="n"/>
      <c r="E65" s="775">
        <f>D55</f>
        <v/>
      </c>
      <c r="F65" s="773">
        <f>G65-1%</f>
        <v/>
      </c>
      <c r="G65" s="773">
        <f>H65-1%</f>
        <v/>
      </c>
      <c r="H65" s="774" t="n">
        <v>0.035</v>
      </c>
      <c r="I65" s="773">
        <f>H65+1%</f>
        <v/>
      </c>
      <c r="J65" s="773">
        <f>I65+1%</f>
        <v/>
      </c>
    </row>
    <row r="66" ht="12.75" customHeight="1">
      <c r="C66" s="84" t="n"/>
      <c r="D66" s="84" t="n"/>
      <c r="E66" s="771">
        <f>E67-1%</f>
        <v/>
      </c>
      <c r="F66" s="4">
        <f t="dataTable" ref="F66:J70" dt2D="1" dtr="1" r1="D5" r2="D28"/>
        <v/>
      </c>
      <c r="G66" s="4" t="e">
        <v>#VALUE!</v>
      </c>
      <c r="H66" s="4" t="e">
        <v>#VALUE!</v>
      </c>
      <c r="I66" s="4" t="e">
        <v>#VALUE!</v>
      </c>
      <c r="J66" s="4" t="e">
        <v>#VALUE!</v>
      </c>
    </row>
    <row r="67" ht="12.75" customHeight="1">
      <c r="C67" s="84" t="n"/>
      <c r="D67" s="84" t="n"/>
      <c r="E67" s="771">
        <f>E68-1%</f>
        <v/>
      </c>
      <c r="F67" s="4" t="e">
        <v>#VALUE!</v>
      </c>
      <c r="G67" s="85" t="e">
        <v>#VALUE!</v>
      </c>
      <c r="H67" s="85" t="e">
        <v>#VALUE!</v>
      </c>
      <c r="I67" s="85" t="e">
        <v>#VALUE!</v>
      </c>
      <c r="J67" s="4" t="e">
        <v>#VALUE!</v>
      </c>
    </row>
    <row r="68" ht="12.75" customHeight="1">
      <c r="C68" s="84" t="n"/>
      <c r="D68" s="83" t="inlineStr">
        <is>
          <t>WACC</t>
        </is>
      </c>
      <c r="E68" s="772" t="n">
        <v>0.15</v>
      </c>
      <c r="F68" s="4" t="e">
        <v>#VALUE!</v>
      </c>
      <c r="G68" s="85" t="e">
        <v>#VALUE!</v>
      </c>
      <c r="H68" s="86" t="e">
        <v>#VALUE!</v>
      </c>
      <c r="I68" s="85" t="e">
        <v>#VALUE!</v>
      </c>
      <c r="J68" s="4" t="e">
        <v>#VALUE!</v>
      </c>
    </row>
    <row r="69" ht="12.75" customHeight="1">
      <c r="C69" s="84" t="n"/>
      <c r="D69" s="84" t="n"/>
      <c r="E69" s="771">
        <f>E68+1%</f>
        <v/>
      </c>
      <c r="F69" s="4" t="e">
        <v>#VALUE!</v>
      </c>
      <c r="G69" s="85" t="e">
        <v>#VALUE!</v>
      </c>
      <c r="H69" s="85" t="e">
        <v>#VALUE!</v>
      </c>
      <c r="I69" s="85" t="e">
        <v>#VALUE!</v>
      </c>
      <c r="J69" s="4" t="e">
        <v>#VALUE!</v>
      </c>
    </row>
    <row r="70" ht="12.75" customHeight="1">
      <c r="C70" s="84" t="n"/>
      <c r="D70" s="84" t="n"/>
      <c r="E70" s="771">
        <f>E69+1%</f>
        <v/>
      </c>
      <c r="F70" s="4" t="e">
        <v>#VALUE!</v>
      </c>
      <c r="G70" s="4" t="e">
        <v>#VALUE!</v>
      </c>
      <c r="H70" s="4" t="e">
        <v>#VALUE!</v>
      </c>
      <c r="I70" s="4" t="e">
        <v>#VALUE!</v>
      </c>
      <c r="J70" s="4" t="e">
        <v>#VALUE!</v>
      </c>
    </row>
    <row r="71" ht="12.75" customHeight="1">
      <c r="E71" s="6" t="n"/>
      <c r="H71" s="6" t="n"/>
    </row>
    <row r="72" ht="12.75" customHeight="1">
      <c r="C72" s="46" t="n"/>
      <c r="D72" s="46" t="inlineStr">
        <is>
          <t>Sensitivity - Equity value</t>
        </is>
      </c>
      <c r="E72" s="6" t="n"/>
      <c r="H72" s="83" t="n"/>
      <c r="J72" s="46" t="n"/>
    </row>
    <row r="73" ht="12.75" customHeight="1">
      <c r="C73" s="84" t="n"/>
      <c r="D73" s="84" t="n"/>
      <c r="E73" s="770" t="n"/>
      <c r="F73" s="773">
        <f>F65</f>
        <v/>
      </c>
      <c r="G73" s="773">
        <f>G65</f>
        <v/>
      </c>
      <c r="H73" s="773">
        <f>H65</f>
        <v/>
      </c>
      <c r="I73" s="773">
        <f>I65</f>
        <v/>
      </c>
      <c r="J73" s="773">
        <f>J65</f>
        <v/>
      </c>
    </row>
    <row r="74" ht="12.75" customHeight="1">
      <c r="C74" s="84" t="n"/>
      <c r="D74" s="84" t="n"/>
      <c r="E74" s="771">
        <f>E66</f>
        <v/>
      </c>
      <c r="F74" s="4">
        <f>F66+$D$56</f>
        <v/>
      </c>
      <c r="G74" s="4">
        <f>G66+$D$56</f>
        <v/>
      </c>
      <c r="H74" s="4">
        <f>H66+$D$56</f>
        <v/>
      </c>
      <c r="I74" s="4">
        <f>I66+$D$56</f>
        <v/>
      </c>
      <c r="J74" s="4">
        <f>J66+$D$56</f>
        <v/>
      </c>
    </row>
    <row r="75" ht="12.75" customHeight="1">
      <c r="C75" s="84" t="n"/>
      <c r="D75" s="84" t="n"/>
      <c r="E75" s="771">
        <f>E67</f>
        <v/>
      </c>
      <c r="F75" s="4">
        <f>F67+$D$56</f>
        <v/>
      </c>
      <c r="G75" s="85">
        <f>G67+$D$56</f>
        <v/>
      </c>
      <c r="H75" s="85">
        <f>H67+$D$56</f>
        <v/>
      </c>
      <c r="I75" s="85">
        <f>I67+$D$56</f>
        <v/>
      </c>
      <c r="J75" s="4">
        <f>J67+$D$56</f>
        <v/>
      </c>
    </row>
    <row r="76" ht="12.75" customHeight="1">
      <c r="C76" s="84" t="n"/>
      <c r="D76" s="83" t="inlineStr">
        <is>
          <t>WACC</t>
        </is>
      </c>
      <c r="E76" s="776">
        <f>E68</f>
        <v/>
      </c>
      <c r="F76" s="4">
        <f>F68+$D$56</f>
        <v/>
      </c>
      <c r="G76" s="85">
        <f>G68+$D$56</f>
        <v/>
      </c>
      <c r="H76" s="86">
        <f>H68+$D$56</f>
        <v/>
      </c>
      <c r="I76" s="85">
        <f>I68+$D$56</f>
        <v/>
      </c>
      <c r="J76" s="4">
        <f>J68+$D$56</f>
        <v/>
      </c>
    </row>
    <row r="77" ht="12.75" customHeight="1">
      <c r="C77" s="84" t="n"/>
      <c r="D77" s="84" t="n"/>
      <c r="E77" s="771">
        <f>E69</f>
        <v/>
      </c>
      <c r="F77" s="4">
        <f>F69+$D$56</f>
        <v/>
      </c>
      <c r="G77" s="85">
        <f>G69+$D$56</f>
        <v/>
      </c>
      <c r="H77" s="85">
        <f>H69+$D$56</f>
        <v/>
      </c>
      <c r="I77" s="85">
        <f>I69+$D$56</f>
        <v/>
      </c>
      <c r="J77" s="4">
        <f>J69+$D$56</f>
        <v/>
      </c>
    </row>
    <row r="78" ht="12.75" customHeight="1">
      <c r="C78" s="84" t="n"/>
      <c r="D78" s="84" t="n"/>
      <c r="E78" s="771">
        <f>E70</f>
        <v/>
      </c>
      <c r="F78" s="4">
        <f>F70+$D$56</f>
        <v/>
      </c>
      <c r="G78" s="4">
        <f>G70+$D$56</f>
        <v/>
      </c>
      <c r="H78" s="4">
        <f>H70+$D$56</f>
        <v/>
      </c>
      <c r="I78" s="4">
        <f>I70+$D$56</f>
        <v/>
      </c>
      <c r="J78" s="4">
        <f>J70+$D$56</f>
        <v/>
      </c>
    </row>
    <row r="79" ht="12.75" customHeight="1">
      <c r="E79" s="6" t="n"/>
      <c r="H79" s="6" t="n"/>
    </row>
    <row r="80" outlineLevel="1" ht="12.75" customHeight="1">
      <c r="A80" s="10">
        <f>H80</f>
        <v/>
      </c>
      <c r="B80" s="2" t="n"/>
      <c r="C80" s="8" t="inlineStr">
        <is>
          <t>Check</t>
        </is>
      </c>
      <c r="E80" s="6" t="n"/>
      <c r="G80" s="3" t="n"/>
      <c r="H80" s="1">
        <f>H76-D57</f>
        <v/>
      </c>
      <c r="J80" s="46" t="n"/>
    </row>
    <row r="81" ht="12.75" customHeight="1">
      <c r="E81" s="6" t="n"/>
      <c r="H81" s="6" t="n"/>
      <c r="J81" s="84" t="n"/>
    </row>
    <row r="82" ht="12.75" customHeight="1">
      <c r="E82" s="6" t="n"/>
      <c r="H82" s="6" t="n"/>
    </row>
  </sheetData>
  <pageMargins left="0.7" right="0.7" top="0.75" bottom="0.75" header="0.3" footer="0.3"/>
  <legacyDrawing xmlns:r="http://schemas.openxmlformats.org/officeDocument/2006/relationships" r:id="anysvml"/>
</worksheet>
</file>

<file path=xl/worksheets/sheet19.xml><?xml version="1.0" encoding="utf-8"?>
<worksheet xmlns="http://schemas.openxmlformats.org/spreadsheetml/2006/main">
  <sheetPr>
    <tabColor theme="4" tint="0.5999938962981048"/>
    <outlinePr summaryBelow="1" summaryRight="1"/>
    <pageSetUpPr/>
  </sheetPr>
  <dimension ref="A1:U61"/>
  <sheetViews>
    <sheetView showGridLines="0" workbookViewId="0">
      <selection activeCell="L25" sqref="L25"/>
    </sheetView>
  </sheetViews>
  <sheetFormatPr baseColWidth="8" defaultColWidth="9.109375" defaultRowHeight="13.2"/>
  <cols>
    <col width="9.109375" customWidth="1" style="2" min="1" max="2"/>
    <col width="31.5546875" customWidth="1" style="2" min="3" max="3"/>
    <col width="11.33203125" customWidth="1" style="2" min="4" max="4"/>
    <col width="11.88671875" customWidth="1" style="2" min="5" max="5"/>
    <col width="9.6640625" customWidth="1" style="2" min="6" max="6"/>
    <col width="9.33203125" customWidth="1" style="2" min="7" max="7"/>
    <col width="9.5546875" bestFit="1" customWidth="1" style="2" min="8" max="8"/>
    <col width="9.33203125" bestFit="1" customWidth="1" style="2" min="9" max="9"/>
    <col width="9.5546875" bestFit="1" customWidth="1" style="2" min="10" max="10"/>
    <col width="9.109375" customWidth="1" style="2" min="11" max="16384"/>
  </cols>
  <sheetData>
    <row r="1">
      <c r="A1" s="1">
        <f>SUM(A2:A200)</f>
        <v/>
      </c>
      <c r="F1" s="87" t="n"/>
      <c r="K1" s="88" t="n"/>
    </row>
    <row r="2">
      <c r="F2" s="45" t="n">
        <v>0.25</v>
      </c>
      <c r="K2" s="45" t="n">
        <v>0.5</v>
      </c>
    </row>
    <row r="3">
      <c r="C3" s="406">
        <f>"Transactie multiples waardering - "&amp;Historiek!$A$2</f>
        <v/>
      </c>
    </row>
    <row r="4" ht="26.4" customHeight="1">
      <c r="C4" s="766" t="inlineStr">
        <is>
          <t>k€</t>
        </is>
      </c>
      <c r="D4" s="777" t="inlineStr">
        <is>
          <t>Metric</t>
        </is>
      </c>
      <c r="E4" s="777" t="inlineStr">
        <is>
          <t>Observed Multiple</t>
        </is>
      </c>
      <c r="F4" s="777" t="inlineStr">
        <is>
          <t>Size discount</t>
        </is>
      </c>
      <c r="G4" s="777" t="inlineStr">
        <is>
          <t>Applied Multiple</t>
        </is>
      </c>
      <c r="H4" s="777" t="inlineStr">
        <is>
          <t>EV</t>
        </is>
      </c>
      <c r="I4" s="777" t="inlineStr">
        <is>
          <t>NFD</t>
        </is>
      </c>
      <c r="J4" s="777" t="inlineStr">
        <is>
          <t>Equity
Value</t>
        </is>
      </c>
      <c r="K4" s="777" t="inlineStr">
        <is>
          <t>Weight</t>
        </is>
      </c>
    </row>
    <row r="5">
      <c r="C5" s="89" t="n"/>
      <c r="D5" s="90" t="n"/>
    </row>
    <row r="6">
      <c r="C6" s="33" t="inlineStr">
        <is>
          <t>Sales FY20</t>
        </is>
      </c>
      <c r="D6" s="5">
        <f>'BP - Annual'!D52</f>
        <v/>
      </c>
      <c r="E6" s="913" t="n"/>
      <c r="F6" s="34">
        <f>$F$2</f>
        <v/>
      </c>
      <c r="G6" s="913">
        <f>E6*(1-F6)</f>
        <v/>
      </c>
      <c r="H6" s="5">
        <f>D6*G6</f>
        <v/>
      </c>
      <c r="I6" s="5">
        <f>'BP - Annual'!$F$141</f>
        <v/>
      </c>
      <c r="J6" s="5">
        <f>H6+I6</f>
        <v/>
      </c>
      <c r="K6" s="480" t="n"/>
    </row>
    <row r="7">
      <c r="C7" s="33" t="inlineStr">
        <is>
          <t>Sales FY21</t>
        </is>
      </c>
      <c r="D7" s="5">
        <f>'BP - Annual'!E52</f>
        <v/>
      </c>
      <c r="E7" s="913" t="n"/>
      <c r="F7" s="34">
        <f>$F$2</f>
        <v/>
      </c>
      <c r="G7" s="913">
        <f>E7*(1-F7)</f>
        <v/>
      </c>
      <c r="H7" s="5">
        <f>D7*G7</f>
        <v/>
      </c>
      <c r="I7" s="5">
        <f>'BP - Annual'!$F$141</f>
        <v/>
      </c>
      <c r="J7" s="5">
        <f>H7+I7</f>
        <v/>
      </c>
      <c r="K7" s="519">
        <f>(1-$K$2)/4</f>
        <v/>
      </c>
    </row>
    <row r="8">
      <c r="C8" s="33" t="inlineStr">
        <is>
          <t>Sales FY22</t>
        </is>
      </c>
      <c r="D8" s="5">
        <f>'BP - Annual'!F52</f>
        <v/>
      </c>
      <c r="E8" s="913" t="n"/>
      <c r="F8" s="34">
        <f>$F$2</f>
        <v/>
      </c>
      <c r="G8" s="913">
        <f>E8*(1-F8)</f>
        <v/>
      </c>
      <c r="H8" s="5">
        <f>D8*G8</f>
        <v/>
      </c>
      <c r="I8" s="5">
        <f>'BP - Annual'!$F$141</f>
        <v/>
      </c>
      <c r="J8" s="5">
        <f>H8+I8</f>
        <v/>
      </c>
      <c r="K8" s="519">
        <f>K2/2</f>
        <v/>
      </c>
    </row>
    <row r="9">
      <c r="C9" s="33" t="inlineStr">
        <is>
          <t>Sales FY23</t>
        </is>
      </c>
      <c r="D9" s="5">
        <f>'BP - Annual'!G52</f>
        <v/>
      </c>
      <c r="E9" s="913" t="n"/>
      <c r="F9" s="34">
        <f>$F$2</f>
        <v/>
      </c>
      <c r="G9" s="913">
        <f>E9*(1-F9)</f>
        <v/>
      </c>
      <c r="H9" s="5">
        <f>D9*G9</f>
        <v/>
      </c>
      <c r="I9" s="5">
        <f>'BP - Annual'!$F$141</f>
        <v/>
      </c>
      <c r="J9" s="5">
        <f>H9+I9</f>
        <v/>
      </c>
      <c r="K9" s="519">
        <f>(1-$K$2)/4</f>
        <v/>
      </c>
    </row>
    <row r="10">
      <c r="E10" s="913" t="n"/>
      <c r="F10" s="422" t="n"/>
      <c r="G10" s="913" t="n"/>
      <c r="K10" s="519" t="n"/>
    </row>
    <row r="11">
      <c r="C11" s="33" t="inlineStr">
        <is>
          <t>EBITDA FY20</t>
        </is>
      </c>
      <c r="D11" s="93">
        <f>'BP - Annual'!D61</f>
        <v/>
      </c>
      <c r="E11" s="913" t="n"/>
      <c r="F11" s="34">
        <f>$F$2</f>
        <v/>
      </c>
      <c r="G11" s="913">
        <f>E11*(1-F11)</f>
        <v/>
      </c>
      <c r="H11" s="5">
        <f>D11*G11</f>
        <v/>
      </c>
      <c r="I11" s="5">
        <f>'BP - Annual'!$F$141</f>
        <v/>
      </c>
      <c r="J11" s="5">
        <f>H11+I11</f>
        <v/>
      </c>
      <c r="K11" s="519" t="n"/>
      <c r="L11" s="3" t="n"/>
      <c r="M11" s="5" t="n"/>
      <c r="N11" s="5" t="n"/>
      <c r="O11" s="5" t="n"/>
      <c r="P11" s="5" t="n"/>
    </row>
    <row r="12">
      <c r="C12" s="33" t="inlineStr">
        <is>
          <t>EBITDA FY21</t>
        </is>
      </c>
      <c r="D12" s="93">
        <f>'BP - Annual'!E61</f>
        <v/>
      </c>
      <c r="E12" s="913" t="n"/>
      <c r="F12" s="34">
        <f>$F$2</f>
        <v/>
      </c>
      <c r="G12" s="913">
        <f>E12*(1-F12)</f>
        <v/>
      </c>
      <c r="H12" s="5">
        <f>D12*G12</f>
        <v/>
      </c>
      <c r="I12" s="5">
        <f>'BP - Annual'!$F$141</f>
        <v/>
      </c>
      <c r="J12" s="5">
        <f>H12+I12</f>
        <v/>
      </c>
      <c r="K12" s="519">
        <f>(1-$K$2)/4</f>
        <v/>
      </c>
    </row>
    <row r="13">
      <c r="C13" s="33" t="inlineStr">
        <is>
          <t>EBITDA FY22</t>
        </is>
      </c>
      <c r="D13" s="93">
        <f>'BP - Annual'!F61</f>
        <v/>
      </c>
      <c r="E13" s="913" t="n"/>
      <c r="F13" s="34">
        <f>$F$2</f>
        <v/>
      </c>
      <c r="G13" s="913">
        <f>E13*(1-F13)</f>
        <v/>
      </c>
      <c r="H13" s="5">
        <f>D13*G13</f>
        <v/>
      </c>
      <c r="I13" s="5">
        <f>'BP - Annual'!$F$141</f>
        <v/>
      </c>
      <c r="J13" s="5">
        <f>H13+I13</f>
        <v/>
      </c>
      <c r="K13" s="519">
        <f>K8</f>
        <v/>
      </c>
    </row>
    <row r="14">
      <c r="C14" s="33" t="inlineStr">
        <is>
          <t>EBITDA FY23</t>
        </is>
      </c>
      <c r="D14" s="93">
        <f>'BP - Annual'!G61</f>
        <v/>
      </c>
      <c r="E14" s="913" t="n"/>
      <c r="F14" s="34">
        <f>$F$2</f>
        <v/>
      </c>
      <c r="G14" s="913">
        <f>E14*(1-F14)</f>
        <v/>
      </c>
      <c r="H14" s="5">
        <f>D14*G14</f>
        <v/>
      </c>
      <c r="I14" s="5">
        <f>'BP - Annual'!$F$141</f>
        <v/>
      </c>
      <c r="J14" s="5">
        <f>H14+I14</f>
        <v/>
      </c>
      <c r="K14" s="519">
        <f>(1-$K$2)/4</f>
        <v/>
      </c>
    </row>
    <row r="15">
      <c r="D15" s="6" t="n"/>
      <c r="E15" s="913" t="n"/>
      <c r="F15" s="34" t="n"/>
      <c r="G15" s="913" t="n"/>
      <c r="H15" s="46" t="n"/>
      <c r="I15" s="6" t="n"/>
      <c r="J15" s="46" t="n"/>
      <c r="K15" s="480" t="n"/>
    </row>
    <row r="16">
      <c r="C16" s="33" t="inlineStr">
        <is>
          <t>EBIT FY20</t>
        </is>
      </c>
      <c r="D16" s="93">
        <f>'BP - Annual'!D64</f>
        <v/>
      </c>
      <c r="E16" s="913" t="n"/>
      <c r="F16" s="34">
        <f>$F$2</f>
        <v/>
      </c>
      <c r="G16" s="913">
        <f>E16*(1-F16)</f>
        <v/>
      </c>
      <c r="H16" s="5">
        <f>D16*G16</f>
        <v/>
      </c>
      <c r="I16" s="5">
        <f>'BP - Annual'!$F$141</f>
        <v/>
      </c>
      <c r="J16" s="5">
        <f>H16+I16</f>
        <v/>
      </c>
      <c r="K16" s="480" t="n"/>
      <c r="M16" s="5" t="n"/>
      <c r="N16" s="5" t="n"/>
      <c r="O16" s="5" t="n"/>
      <c r="P16" s="5" t="n"/>
    </row>
    <row r="17">
      <c r="C17" s="33" t="inlineStr">
        <is>
          <t>EBIT FY21</t>
        </is>
      </c>
      <c r="D17" s="93">
        <f>'BP - Annual'!E64</f>
        <v/>
      </c>
      <c r="E17" s="913" t="n"/>
      <c r="F17" s="34">
        <f>$F$2</f>
        <v/>
      </c>
      <c r="G17" s="913">
        <f>E17*(1-F17)</f>
        <v/>
      </c>
      <c r="H17" s="5">
        <f>D17*G17</f>
        <v/>
      </c>
      <c r="I17" s="5">
        <f>'BP - Annual'!$F$141</f>
        <v/>
      </c>
      <c r="J17" s="5">
        <f>H17+I17</f>
        <v/>
      </c>
      <c r="K17" s="480" t="n"/>
    </row>
    <row r="18">
      <c r="C18" s="33" t="inlineStr">
        <is>
          <t>EBIT FY22</t>
        </is>
      </c>
      <c r="D18" s="93">
        <f>'BP - Annual'!F64</f>
        <v/>
      </c>
      <c r="E18" s="913" t="n"/>
      <c r="F18" s="34">
        <f>$F$2</f>
        <v/>
      </c>
      <c r="G18" s="913">
        <f>E18*(1-F18)</f>
        <v/>
      </c>
      <c r="H18" s="5">
        <f>D18*G18</f>
        <v/>
      </c>
      <c r="I18" s="5">
        <f>'BP - Annual'!$F$141</f>
        <v/>
      </c>
      <c r="J18" s="5">
        <f>H18+I18</f>
        <v/>
      </c>
      <c r="K18" s="480" t="n"/>
    </row>
    <row r="19">
      <c r="C19" s="33" t="inlineStr">
        <is>
          <t>EBIT FY23</t>
        </is>
      </c>
      <c r="D19" s="93">
        <f>'BP - Annual'!G64</f>
        <v/>
      </c>
      <c r="E19" s="913" t="n"/>
      <c r="F19" s="34">
        <f>$F$2</f>
        <v/>
      </c>
      <c r="G19" s="913">
        <f>E19*(1-F19)</f>
        <v/>
      </c>
      <c r="H19" s="5">
        <f>D19*G19</f>
        <v/>
      </c>
      <c r="I19" s="5">
        <f>'BP - Annual'!$F$141</f>
        <v/>
      </c>
      <c r="J19" s="5">
        <f>H19+I19</f>
        <v/>
      </c>
      <c r="K19" s="480" t="n"/>
    </row>
    <row r="21">
      <c r="C21" s="94" t="inlineStr">
        <is>
          <t>Gewogen waarde</t>
        </is>
      </c>
      <c r="D21" s="95" t="n"/>
      <c r="E21" s="95" t="n"/>
      <c r="F21" s="95" t="n"/>
      <c r="G21" s="95" t="n"/>
      <c r="H21" s="96">
        <f>SUMPRODUCT(H6:H19,K6:K19)</f>
        <v/>
      </c>
      <c r="I21" s="96" t="n"/>
      <c r="J21" s="97">
        <f>SUMPRODUCT(J6:J19,K6:K19)</f>
        <v/>
      </c>
    </row>
    <row r="23">
      <c r="C23" s="33" t="inlineStr">
        <is>
          <t>Implied multiple - EBITDA FY22</t>
        </is>
      </c>
      <c r="D23" s="914">
        <f>IFERROR(H21/D13,"n/a")</f>
        <v/>
      </c>
      <c r="E23" s="913" t="n"/>
    </row>
    <row r="24">
      <c r="C24" s="33" t="inlineStr">
        <is>
          <t>Implied multiple - EBITDA FY23</t>
        </is>
      </c>
      <c r="D24" s="914">
        <f>IFERROR(H21/D14,"n/a")</f>
        <v/>
      </c>
      <c r="E24" s="913" t="n"/>
    </row>
    <row r="26">
      <c r="C26" s="24">
        <f>"Overzicht transactie multiples - "&amp;Historiek!A2</f>
        <v/>
      </c>
    </row>
    <row r="27" ht="26.4" customHeight="1">
      <c r="C27" s="766" t="inlineStr">
        <is>
          <t>Target name</t>
        </is>
      </c>
      <c r="D27" s="777" t="inlineStr">
        <is>
          <t>Country</t>
        </is>
      </c>
      <c r="E27" s="777" t="inlineStr">
        <is>
          <t>Transaction date</t>
        </is>
      </c>
      <c r="F27" s="777" t="inlineStr">
        <is>
          <t>EV
(in €m)</t>
        </is>
      </c>
      <c r="G27" s="777" t="inlineStr">
        <is>
          <t>EV / 
Sales</t>
        </is>
      </c>
      <c r="H27" s="777" t="inlineStr">
        <is>
          <t>EV / EBITDA</t>
        </is>
      </c>
      <c r="I27" s="777" t="inlineStr">
        <is>
          <t>EV / 
EBIT</t>
        </is>
      </c>
    </row>
    <row r="28">
      <c r="C28" s="560" t="n"/>
      <c r="D28" s="560" t="n"/>
      <c r="E28" s="561" t="n"/>
      <c r="F28" s="562" t="n"/>
      <c r="G28" s="915" t="n"/>
      <c r="H28" s="915" t="n"/>
      <c r="I28" s="916" t="n"/>
    </row>
    <row r="29">
      <c r="C29" s="560" t="n"/>
      <c r="D29" s="560" t="n"/>
      <c r="E29" s="561" t="n"/>
      <c r="F29" s="562" t="n"/>
      <c r="G29" s="915" t="n"/>
      <c r="H29" s="915" t="n"/>
      <c r="I29" s="915" t="n"/>
    </row>
    <row r="30">
      <c r="C30" s="560" t="n"/>
      <c r="D30" s="560" t="n"/>
      <c r="E30" s="561" t="n"/>
      <c r="F30" s="562" t="n"/>
      <c r="G30" s="915" t="n"/>
      <c r="H30" s="915" t="n"/>
      <c r="I30" s="915" t="n"/>
    </row>
    <row r="31">
      <c r="C31" s="560" t="n"/>
      <c r="D31" s="560" t="n"/>
      <c r="E31" s="561" t="n"/>
      <c r="F31" s="562" t="n"/>
      <c r="G31" s="915" t="n"/>
      <c r="H31" s="915" t="n"/>
      <c r="I31" s="915" t="n"/>
    </row>
    <row r="32">
      <c r="C32" s="560" t="n"/>
      <c r="D32" s="560" t="n"/>
      <c r="E32" s="561" t="n"/>
      <c r="F32" s="562" t="n"/>
      <c r="G32" s="915" t="n"/>
      <c r="H32" s="915" t="n"/>
      <c r="I32" s="915" t="n"/>
    </row>
    <row r="33">
      <c r="C33" s="560" t="n"/>
      <c r="D33" s="560" t="n"/>
      <c r="E33" s="561" t="n"/>
      <c r="F33" s="562" t="n"/>
      <c r="G33" s="915" t="n"/>
      <c r="H33" s="915" t="n"/>
      <c r="I33" s="915" t="n"/>
    </row>
    <row r="34">
      <c r="C34" s="560" t="n"/>
      <c r="D34" s="560" t="n"/>
      <c r="E34" s="561" t="n"/>
      <c r="F34" s="562" t="n"/>
      <c r="G34" s="915" t="n"/>
      <c r="H34" s="915" t="n"/>
      <c r="I34" s="915" t="n"/>
    </row>
    <row r="35">
      <c r="C35" s="560" t="n"/>
      <c r="D35" s="560" t="n"/>
      <c r="E35" s="561" t="n"/>
      <c r="F35" s="562" t="n"/>
      <c r="G35" s="915" t="n"/>
      <c r="H35" s="915" t="n"/>
      <c r="I35" s="915" t="n"/>
    </row>
    <row r="36">
      <c r="C36" s="560" t="n"/>
      <c r="D36" s="560" t="n"/>
      <c r="E36" s="561" t="n"/>
      <c r="F36" s="562" t="n"/>
      <c r="G36" s="916" t="n"/>
      <c r="H36" s="915" t="n"/>
      <c r="I36" s="915" t="n"/>
    </row>
    <row r="37">
      <c r="C37" s="560" t="n"/>
      <c r="D37" s="560" t="n"/>
      <c r="E37" s="561" t="n"/>
      <c r="F37" s="562" t="n"/>
      <c r="G37" s="915" t="n"/>
      <c r="H37" s="915" t="n"/>
      <c r="I37" s="915" t="n"/>
    </row>
    <row r="39">
      <c r="C39" s="100" t="inlineStr">
        <is>
          <t>1ste kwartiel</t>
        </is>
      </c>
      <c r="D39" s="101" t="n"/>
      <c r="E39" s="101" t="n"/>
      <c r="F39" s="101" t="n"/>
      <c r="G39" s="917">
        <f>IFERROR(QUARTILE(G28:G37,1),"n/a")</f>
        <v/>
      </c>
      <c r="H39" s="917">
        <f>IFERROR(QUARTILE(H28:H37,1),"n/a")</f>
        <v/>
      </c>
      <c r="I39" s="918">
        <f>IFERROR(QUARTILE(I28:I37,1),"n/a")</f>
        <v/>
      </c>
    </row>
    <row r="40">
      <c r="C40" s="103" t="inlineStr">
        <is>
          <t>Mediaan</t>
        </is>
      </c>
      <c r="G40" s="919">
        <f>IFERROR(MEDIAN(G28:G37),"n/a")</f>
        <v/>
      </c>
      <c r="H40" s="919">
        <f>IFERROR(MEDIAN(H28:H37),"n/a")</f>
        <v/>
      </c>
      <c r="I40" s="920">
        <f>IFERROR(MEDIAN(I28:I37),"n/a")</f>
        <v/>
      </c>
    </row>
    <row r="41">
      <c r="C41" s="104" t="inlineStr">
        <is>
          <t>Gemiddelde</t>
        </is>
      </c>
      <c r="G41" s="907">
        <f>IFERROR(AVERAGE(G28:G37),"n/a")</f>
        <v/>
      </c>
      <c r="H41" s="907">
        <f>IFERROR(AVERAGE(H28:H37),"n/a")</f>
        <v/>
      </c>
      <c r="I41" s="921">
        <f>IFERROR(AVERAGE(I28:I37),"n/a")</f>
        <v/>
      </c>
    </row>
    <row r="42">
      <c r="C42" s="105" t="inlineStr">
        <is>
          <t>3de kwartiel</t>
        </is>
      </c>
      <c r="D42" s="106" t="n"/>
      <c r="E42" s="106" t="n"/>
      <c r="F42" s="106" t="n"/>
      <c r="G42" s="922">
        <f>IFERROR(QUARTILE(G28:G37,3),"n/a")</f>
        <v/>
      </c>
      <c r="H42" s="922">
        <f>IFERROR(QUARTILE(H28:H37,3),"n/a")</f>
        <v/>
      </c>
      <c r="I42" s="923">
        <f>IFERROR(QUARTILE(I28:I37,3),"n/a")</f>
        <v/>
      </c>
    </row>
    <row r="45">
      <c r="L45" s="46" t="n"/>
      <c r="N45" s="46" t="inlineStr">
        <is>
          <t>Sensitivity - Enterprise value</t>
        </is>
      </c>
      <c r="O45" s="6" t="n"/>
      <c r="P45" s="6" t="n"/>
      <c r="Q45" s="6" t="n"/>
      <c r="R45" s="6" t="n"/>
      <c r="S45" s="83" t="inlineStr">
        <is>
          <t>Weging% FY22</t>
        </is>
      </c>
      <c r="T45" s="6" t="n"/>
      <c r="U45" s="6" t="n"/>
    </row>
    <row r="46">
      <c r="N46" s="84" t="n"/>
      <c r="O46" s="84" t="n"/>
      <c r="P46" s="775">
        <f>H21</f>
        <v/>
      </c>
      <c r="Q46" s="773">
        <f>R46-10%</f>
        <v/>
      </c>
      <c r="R46" s="773">
        <f>S46-10%</f>
        <v/>
      </c>
      <c r="S46" s="778" t="n">
        <v>0.5</v>
      </c>
      <c r="T46" s="773">
        <f>S46+10%</f>
        <v/>
      </c>
      <c r="U46" s="773">
        <f>T46+10%</f>
        <v/>
      </c>
    </row>
    <row r="47">
      <c r="N47" s="84" t="n"/>
      <c r="O47" s="84" t="n"/>
      <c r="P47" s="771">
        <f>P48-5%</f>
        <v/>
      </c>
      <c r="Q47" s="4">
        <f t="dataTable" ref="Q47:U51" dt2D="1" dtr="1" r1="K2" r2="F2"/>
        <v/>
      </c>
      <c r="R47" s="4" t="n">
        <v>0</v>
      </c>
      <c r="S47" s="4" t="n">
        <v>0</v>
      </c>
      <c r="T47" s="4" t="n">
        <v>0</v>
      </c>
      <c r="U47" s="4" t="n">
        <v>0</v>
      </c>
    </row>
    <row r="48">
      <c r="N48" s="84" t="n"/>
      <c r="O48" s="84" t="n"/>
      <c r="P48" s="771">
        <f>P49-5%</f>
        <v/>
      </c>
      <c r="Q48" s="4" t="n">
        <v>0</v>
      </c>
      <c r="R48" s="85" t="n">
        <v>0</v>
      </c>
      <c r="S48" s="85" t="n">
        <v>0</v>
      </c>
      <c r="T48" s="85" t="n">
        <v>0</v>
      </c>
      <c r="U48" s="4" t="n">
        <v>0</v>
      </c>
    </row>
    <row r="49">
      <c r="N49" s="84" t="n"/>
      <c r="O49" s="83" t="inlineStr">
        <is>
          <t>Discount</t>
        </is>
      </c>
      <c r="P49" s="779" t="n">
        <v>0.25</v>
      </c>
      <c r="Q49" s="4" t="n">
        <v>0</v>
      </c>
      <c r="R49" s="85" t="n">
        <v>0</v>
      </c>
      <c r="S49" s="86" t="n">
        <v>0</v>
      </c>
      <c r="T49" s="85" t="n">
        <v>0</v>
      </c>
      <c r="U49" s="4" t="n">
        <v>0</v>
      </c>
    </row>
    <row r="50">
      <c r="N50" s="84" t="n"/>
      <c r="O50" s="84" t="n"/>
      <c r="P50" s="771">
        <f>P49+5%</f>
        <v/>
      </c>
      <c r="Q50" s="4" t="n">
        <v>0</v>
      </c>
      <c r="R50" s="85" t="n">
        <v>0</v>
      </c>
      <c r="S50" s="85" t="n">
        <v>0</v>
      </c>
      <c r="T50" s="85" t="n">
        <v>0</v>
      </c>
      <c r="U50" s="4" t="n">
        <v>0</v>
      </c>
    </row>
    <row r="51">
      <c r="N51" s="84" t="n"/>
      <c r="O51" s="84" t="n"/>
      <c r="P51" s="771">
        <f>P50+5%</f>
        <v/>
      </c>
      <c r="Q51" s="4" t="n">
        <v>0</v>
      </c>
      <c r="R51" s="4" t="n">
        <v>0</v>
      </c>
      <c r="S51" s="4" t="n">
        <v>0</v>
      </c>
      <c r="T51" s="4" t="n">
        <v>0</v>
      </c>
      <c r="U51" s="4" t="n">
        <v>0</v>
      </c>
    </row>
    <row r="52">
      <c r="N52" s="6" t="n"/>
      <c r="O52" s="6" t="n"/>
      <c r="P52" s="6" t="n"/>
      <c r="Q52" s="6" t="n"/>
      <c r="R52" s="6" t="n"/>
      <c r="S52" s="6" t="n"/>
      <c r="T52" s="6" t="n"/>
      <c r="U52" s="6" t="n"/>
    </row>
    <row r="53">
      <c r="N53" s="46" t="inlineStr">
        <is>
          <t>Sensitivity - Equity value</t>
        </is>
      </c>
      <c r="O53" s="6" t="n"/>
      <c r="P53" s="6" t="n"/>
      <c r="Q53" s="6" t="n"/>
      <c r="R53" s="6" t="n"/>
      <c r="S53" s="83" t="inlineStr">
        <is>
          <t>Weging% FY22</t>
        </is>
      </c>
      <c r="T53" s="6" t="n"/>
      <c r="U53" s="6" t="n"/>
    </row>
    <row r="54">
      <c r="N54" s="84" t="n"/>
      <c r="O54" s="84" t="n"/>
      <c r="P54" s="770" t="n"/>
      <c r="Q54" s="773">
        <f>Q46</f>
        <v/>
      </c>
      <c r="R54" s="773">
        <f>R46</f>
        <v/>
      </c>
      <c r="S54" s="780">
        <f>S46</f>
        <v/>
      </c>
      <c r="T54" s="773">
        <f>T46</f>
        <v/>
      </c>
      <c r="U54" s="773">
        <f>U46</f>
        <v/>
      </c>
    </row>
    <row r="55">
      <c r="N55" s="84" t="n"/>
      <c r="O55" s="84" t="n"/>
      <c r="P55" s="771">
        <f>P47</f>
        <v/>
      </c>
      <c r="Q55" s="4">
        <f>Q47+$I$6</f>
        <v/>
      </c>
      <c r="R55" s="4">
        <f>R47+$I$6</f>
        <v/>
      </c>
      <c r="S55" s="4">
        <f>S47+$I$6</f>
        <v/>
      </c>
      <c r="T55" s="4">
        <f>T47+$I$6</f>
        <v/>
      </c>
      <c r="U55" s="4">
        <f>U47+$I$6</f>
        <v/>
      </c>
    </row>
    <row r="56">
      <c r="N56" s="84" t="n"/>
      <c r="O56" s="84" t="n"/>
      <c r="P56" s="771">
        <f>P48</f>
        <v/>
      </c>
      <c r="Q56" s="4">
        <f>Q48+$I$6</f>
        <v/>
      </c>
      <c r="R56" s="85">
        <f>R48+$I$6</f>
        <v/>
      </c>
      <c r="S56" s="85">
        <f>S48+$I$6</f>
        <v/>
      </c>
      <c r="T56" s="85">
        <f>T48+$I$6</f>
        <v/>
      </c>
      <c r="U56" s="4">
        <f>U48+$I$6</f>
        <v/>
      </c>
    </row>
    <row r="57">
      <c r="N57" s="84" t="n"/>
      <c r="O57" s="83" t="inlineStr">
        <is>
          <t>Discount</t>
        </is>
      </c>
      <c r="P57" s="781">
        <f>P49</f>
        <v/>
      </c>
      <c r="Q57" s="4">
        <f>Q49+$I$6</f>
        <v/>
      </c>
      <c r="R57" s="85">
        <f>R49+$I$6</f>
        <v/>
      </c>
      <c r="S57" s="85">
        <f>S49+$I$6</f>
        <v/>
      </c>
      <c r="T57" s="85">
        <f>T49+$I$6</f>
        <v/>
      </c>
      <c r="U57" s="4">
        <f>U49+$I$6</f>
        <v/>
      </c>
    </row>
    <row r="58">
      <c r="N58" s="84" t="n"/>
      <c r="O58" s="84" t="n"/>
      <c r="P58" s="771">
        <f>P50</f>
        <v/>
      </c>
      <c r="Q58" s="4">
        <f>Q50+$I$6</f>
        <v/>
      </c>
      <c r="R58" s="85">
        <f>R50+$I$6</f>
        <v/>
      </c>
      <c r="S58" s="85">
        <f>S50+$I$6</f>
        <v/>
      </c>
      <c r="T58" s="85">
        <f>T50+$I$6</f>
        <v/>
      </c>
      <c r="U58" s="4">
        <f>U50+$I$6</f>
        <v/>
      </c>
    </row>
    <row r="59">
      <c r="N59" s="84" t="n"/>
      <c r="O59" s="84" t="n"/>
      <c r="P59" s="771">
        <f>P51</f>
        <v/>
      </c>
      <c r="Q59" s="4">
        <f>Q51+$I$6</f>
        <v/>
      </c>
      <c r="R59" s="4">
        <f>R51+$I$6</f>
        <v/>
      </c>
      <c r="S59" s="4">
        <f>S51+$I$6</f>
        <v/>
      </c>
      <c r="T59" s="4">
        <f>T51+$I$6</f>
        <v/>
      </c>
      <c r="U59" s="4">
        <f>U51+$I$6</f>
        <v/>
      </c>
    </row>
    <row r="60">
      <c r="N60" s="6" t="n"/>
      <c r="O60" s="6" t="n"/>
      <c r="P60" s="6" t="n"/>
      <c r="Q60" s="6" t="n"/>
      <c r="R60" s="6" t="n"/>
      <c r="S60" s="6" t="n"/>
      <c r="T60" s="6" t="n"/>
      <c r="U60" s="6" t="n"/>
    </row>
    <row r="61">
      <c r="A61" s="10">
        <f>S61</f>
        <v/>
      </c>
      <c r="C61" s="8" t="inlineStr">
        <is>
          <t>Check</t>
        </is>
      </c>
      <c r="N61" s="6" t="n"/>
      <c r="O61" s="6" t="n"/>
      <c r="P61" s="6" t="n"/>
      <c r="Q61" s="6" t="n"/>
      <c r="R61" s="3" t="n"/>
      <c r="S61" s="102">
        <f>S57-J21</f>
        <v/>
      </c>
      <c r="T61" s="6" t="n"/>
      <c r="U61" s="6" t="n"/>
    </row>
  </sheetData>
  <pageMargins left="0.7" right="0.7" top="0.75" bottom="0.75" header="0.3" footer="0.3"/>
  <pageSetup orientation="portrait" paperSize="9" verticalDpi="0"/>
</worksheet>
</file>

<file path=xl/worksheets/sheet20.xml><?xml version="1.0" encoding="utf-8"?>
<worksheet xmlns="http://schemas.openxmlformats.org/spreadsheetml/2006/main">
  <sheetPr>
    <tabColor theme="4" tint="0.5999938962981048"/>
    <outlinePr summaryBelow="1" summaryRight="1"/>
    <pageSetUpPr autoPageBreaks="0"/>
  </sheetPr>
  <dimension ref="A1:W61"/>
  <sheetViews>
    <sheetView showGridLines="0" workbookViewId="0">
      <selection activeCell="J30" sqref="J30"/>
    </sheetView>
  </sheetViews>
  <sheetFormatPr baseColWidth="8" defaultColWidth="9.109375" defaultRowHeight="13.2"/>
  <cols>
    <col width="9.109375" customWidth="1" style="2" min="1" max="2"/>
    <col width="27" customWidth="1" style="2" min="3" max="3"/>
    <col width="12.88671875" customWidth="1" style="2" min="4" max="4"/>
    <col width="11.44140625" customWidth="1" style="2" min="5" max="5"/>
    <col width="9.6640625" customWidth="1" style="2" min="6" max="6"/>
    <col width="10.33203125" customWidth="1" style="2" min="7" max="7"/>
    <col width="9.33203125" customWidth="1" style="2" min="8" max="8"/>
    <col width="9.5546875" bestFit="1" customWidth="1" style="2" min="9" max="9"/>
    <col width="9.33203125" bestFit="1" customWidth="1" style="2" min="10" max="10"/>
    <col width="9.5546875" bestFit="1" customWidth="1" style="2" min="11" max="11"/>
    <col width="9.109375" customWidth="1" style="2" min="12" max="16384"/>
  </cols>
  <sheetData>
    <row r="1">
      <c r="A1" s="1">
        <f>SUM(A2:A162)</f>
        <v/>
      </c>
      <c r="F1" s="87" t="n"/>
      <c r="L1" s="88" t="n"/>
    </row>
    <row r="2">
      <c r="F2" s="45" t="n">
        <v>0.5</v>
      </c>
      <c r="K2" s="45" t="n">
        <v>0.5</v>
      </c>
    </row>
    <row r="3">
      <c r="C3" s="406">
        <f>"Markt multiples waardering - "&amp;Historiek!$A$2</f>
        <v/>
      </c>
    </row>
    <row r="4" ht="39.6" customHeight="1">
      <c r="C4" s="766" t="inlineStr">
        <is>
          <t>k€</t>
        </is>
      </c>
      <c r="D4" s="777" t="inlineStr">
        <is>
          <t>Metric</t>
        </is>
      </c>
      <c r="E4" s="777" t="inlineStr">
        <is>
          <t>Observed Multiple</t>
        </is>
      </c>
      <c r="F4" s="777" t="inlineStr">
        <is>
          <t>Size + illiquidity discount</t>
        </is>
      </c>
      <c r="G4" s="777" t="inlineStr">
        <is>
          <t>Applied Multiple</t>
        </is>
      </c>
      <c r="H4" s="777" t="inlineStr">
        <is>
          <t>EV</t>
        </is>
      </c>
      <c r="I4" s="777" t="inlineStr">
        <is>
          <t>NFD</t>
        </is>
      </c>
      <c r="J4" s="777" t="inlineStr">
        <is>
          <t>Equity
Value</t>
        </is>
      </c>
      <c r="K4" s="777" t="inlineStr">
        <is>
          <t>Weight</t>
        </is>
      </c>
    </row>
    <row r="5">
      <c r="C5" s="89" t="n"/>
      <c r="D5" s="90" t="n"/>
    </row>
    <row r="6">
      <c r="C6" s="33" t="inlineStr">
        <is>
          <t>Sales FY20</t>
        </is>
      </c>
      <c r="D6" s="5">
        <f>'BP - Annual'!D52</f>
        <v/>
      </c>
      <c r="E6" s="913" t="n"/>
      <c r="F6" s="34">
        <f>$F$2</f>
        <v/>
      </c>
      <c r="G6" s="913">
        <f>E6*(1-F6)</f>
        <v/>
      </c>
      <c r="H6" s="5">
        <f>D6*G6</f>
        <v/>
      </c>
      <c r="I6" s="5">
        <f>'BP - Annual'!$F$141</f>
        <v/>
      </c>
      <c r="J6" s="5">
        <f>H6+I6</f>
        <v/>
      </c>
      <c r="K6" s="480" t="n"/>
    </row>
    <row r="7">
      <c r="C7" s="33" t="inlineStr">
        <is>
          <t>Sales FY21</t>
        </is>
      </c>
      <c r="D7" s="5">
        <f>'BP - Annual'!E52</f>
        <v/>
      </c>
      <c r="E7" s="913" t="n"/>
      <c r="F7" s="34">
        <f>$F$2</f>
        <v/>
      </c>
      <c r="G7" s="913">
        <f>E7*(1-F7)</f>
        <v/>
      </c>
      <c r="H7" s="5">
        <f>D7*G7</f>
        <v/>
      </c>
      <c r="I7" s="5">
        <f>'BP - Annual'!$F$141</f>
        <v/>
      </c>
      <c r="J7" s="5">
        <f>H7+I7</f>
        <v/>
      </c>
      <c r="K7" s="519">
        <f>(1-$K$2)/4</f>
        <v/>
      </c>
    </row>
    <row r="8">
      <c r="C8" s="33" t="inlineStr">
        <is>
          <t>Sales FY22</t>
        </is>
      </c>
      <c r="D8" s="5">
        <f>'BP - Annual'!F52</f>
        <v/>
      </c>
      <c r="E8" s="913" t="n"/>
      <c r="F8" s="34">
        <f>$F$2</f>
        <v/>
      </c>
      <c r="G8" s="913">
        <f>E8*(1-F8)</f>
        <v/>
      </c>
      <c r="H8" s="5">
        <f>D8*G8</f>
        <v/>
      </c>
      <c r="I8" s="5">
        <f>'BP - Annual'!$F$141</f>
        <v/>
      </c>
      <c r="J8" s="5">
        <f>H8+I8</f>
        <v/>
      </c>
      <c r="K8" s="519">
        <f>K2/2</f>
        <v/>
      </c>
    </row>
    <row r="9">
      <c r="C9" s="33" t="inlineStr">
        <is>
          <t>Sales FY23</t>
        </is>
      </c>
      <c r="D9" s="5">
        <f>'BP - Annual'!G52</f>
        <v/>
      </c>
      <c r="E9" s="913" t="n"/>
      <c r="F9" s="34">
        <f>$F$2</f>
        <v/>
      </c>
      <c r="G9" s="913">
        <f>E9*(1-F9)</f>
        <v/>
      </c>
      <c r="H9" s="5">
        <f>D9*G9</f>
        <v/>
      </c>
      <c r="I9" s="5">
        <f>'BP - Annual'!$F$141</f>
        <v/>
      </c>
      <c r="J9" s="5">
        <f>H9+I9</f>
        <v/>
      </c>
      <c r="K9" s="519">
        <f>(1-$K$2)/4</f>
        <v/>
      </c>
    </row>
    <row r="10">
      <c r="E10" s="913" t="n"/>
      <c r="F10" s="422" t="n"/>
      <c r="G10" s="913" t="n"/>
      <c r="K10" s="519" t="n"/>
    </row>
    <row r="11">
      <c r="C11" s="33" t="inlineStr">
        <is>
          <t>EBITDA FY20</t>
        </is>
      </c>
      <c r="D11" s="93">
        <f>'BP - Annual'!D61</f>
        <v/>
      </c>
      <c r="E11" s="913" t="n"/>
      <c r="F11" s="34">
        <f>$F$2</f>
        <v/>
      </c>
      <c r="G11" s="913">
        <f>E11*(1-F11)</f>
        <v/>
      </c>
      <c r="H11" s="5">
        <f>D11*G11</f>
        <v/>
      </c>
      <c r="I11" s="5">
        <f>'BP - Annual'!$F$141</f>
        <v/>
      </c>
      <c r="J11" s="5">
        <f>H11+I11</f>
        <v/>
      </c>
      <c r="K11" s="519" t="n"/>
      <c r="M11" s="3" t="n"/>
      <c r="N11" s="5" t="n"/>
      <c r="O11" s="5" t="n"/>
      <c r="P11" s="5" t="n"/>
      <c r="Q11" s="5" t="n"/>
    </row>
    <row r="12">
      <c r="C12" s="33" t="inlineStr">
        <is>
          <t>EBITDA FY21</t>
        </is>
      </c>
      <c r="D12" s="93">
        <f>'BP - Annual'!E61</f>
        <v/>
      </c>
      <c r="E12" s="913" t="n"/>
      <c r="F12" s="34">
        <f>$F$2</f>
        <v/>
      </c>
      <c r="G12" s="913">
        <f>E12*(1-F12)</f>
        <v/>
      </c>
      <c r="H12" s="5">
        <f>D12*G12</f>
        <v/>
      </c>
      <c r="I12" s="5">
        <f>'BP - Annual'!$F$141</f>
        <v/>
      </c>
      <c r="J12" s="5">
        <f>H12+I12</f>
        <v/>
      </c>
      <c r="K12" s="519">
        <f>(1-$K$2)/4</f>
        <v/>
      </c>
    </row>
    <row r="13">
      <c r="C13" s="33" t="inlineStr">
        <is>
          <t>EBITDA FY22</t>
        </is>
      </c>
      <c r="D13" s="93">
        <f>'BP - Annual'!F61</f>
        <v/>
      </c>
      <c r="E13" s="913" t="n"/>
      <c r="F13" s="34">
        <f>$F$2</f>
        <v/>
      </c>
      <c r="G13" s="913">
        <f>E13*(1-F13)</f>
        <v/>
      </c>
      <c r="H13" s="5">
        <f>D13*G13</f>
        <v/>
      </c>
      <c r="I13" s="5">
        <f>'BP - Annual'!$F$141</f>
        <v/>
      </c>
      <c r="J13" s="5">
        <f>H13+I13</f>
        <v/>
      </c>
      <c r="K13" s="519">
        <f>K8</f>
        <v/>
      </c>
    </row>
    <row r="14">
      <c r="C14" s="33" t="inlineStr">
        <is>
          <t>EBITDA FY23</t>
        </is>
      </c>
      <c r="D14" s="93">
        <f>'BP - Annual'!G61</f>
        <v/>
      </c>
      <c r="E14" s="913" t="n"/>
      <c r="F14" s="34">
        <f>$F$2</f>
        <v/>
      </c>
      <c r="G14" s="913">
        <f>E14*(1-F14)</f>
        <v/>
      </c>
      <c r="H14" s="5">
        <f>D14*G14</f>
        <v/>
      </c>
      <c r="I14" s="5">
        <f>'BP - Annual'!$F$141</f>
        <v/>
      </c>
      <c r="J14" s="5">
        <f>H14+I14</f>
        <v/>
      </c>
      <c r="K14" s="519">
        <f>(1-$K$2)/4</f>
        <v/>
      </c>
    </row>
    <row r="15">
      <c r="D15" s="6" t="n"/>
      <c r="E15" s="913" t="n"/>
      <c r="F15" s="34" t="n"/>
      <c r="G15" s="913" t="n"/>
      <c r="H15" s="46" t="n"/>
      <c r="I15" s="6" t="n"/>
      <c r="J15" s="46" t="n"/>
      <c r="K15" s="480" t="n"/>
    </row>
    <row r="16">
      <c r="C16" s="33" t="inlineStr">
        <is>
          <t>EBIT FY20</t>
        </is>
      </c>
      <c r="D16" s="93">
        <f>'BP - Annual'!D64</f>
        <v/>
      </c>
      <c r="E16" s="913" t="n"/>
      <c r="F16" s="34">
        <f>$F$2</f>
        <v/>
      </c>
      <c r="G16" s="913">
        <f>E16*(1-F16)</f>
        <v/>
      </c>
      <c r="H16" s="5">
        <f>D16*G16</f>
        <v/>
      </c>
      <c r="I16" s="5">
        <f>'BP - Annual'!$F$141</f>
        <v/>
      </c>
      <c r="J16" s="5">
        <f>H16+I16</f>
        <v/>
      </c>
      <c r="K16" s="480" t="n"/>
      <c r="N16" s="5" t="n"/>
      <c r="O16" s="5" t="n"/>
      <c r="P16" s="5" t="n"/>
      <c r="Q16" s="5" t="n"/>
    </row>
    <row r="17">
      <c r="C17" s="33" t="inlineStr">
        <is>
          <t>EBIT FY21</t>
        </is>
      </c>
      <c r="D17" s="93">
        <f>'BP - Annual'!E64</f>
        <v/>
      </c>
      <c r="E17" s="913" t="n"/>
      <c r="F17" s="34">
        <f>$F$2</f>
        <v/>
      </c>
      <c r="G17" s="913">
        <f>E17*(1-F17)</f>
        <v/>
      </c>
      <c r="H17" s="5">
        <f>D17*G17</f>
        <v/>
      </c>
      <c r="I17" s="5">
        <f>'BP - Annual'!$F$141</f>
        <v/>
      </c>
      <c r="J17" s="5">
        <f>H17+I17</f>
        <v/>
      </c>
      <c r="K17" s="480" t="n"/>
    </row>
    <row r="18">
      <c r="C18" s="33" t="inlineStr">
        <is>
          <t>EBIT FY22</t>
        </is>
      </c>
      <c r="D18" s="93">
        <f>'BP - Annual'!F64</f>
        <v/>
      </c>
      <c r="E18" s="913" t="n"/>
      <c r="F18" s="34">
        <f>$F$2</f>
        <v/>
      </c>
      <c r="G18" s="913">
        <f>E18*(1-F18)</f>
        <v/>
      </c>
      <c r="H18" s="5">
        <f>D18*G18</f>
        <v/>
      </c>
      <c r="I18" s="5">
        <f>'BP - Annual'!$F$141</f>
        <v/>
      </c>
      <c r="J18" s="5">
        <f>H18+I18</f>
        <v/>
      </c>
      <c r="K18" s="480" t="n"/>
    </row>
    <row r="19">
      <c r="C19" s="33" t="inlineStr">
        <is>
          <t>EBIT FY23</t>
        </is>
      </c>
      <c r="D19" s="93">
        <f>'BP - Annual'!G64</f>
        <v/>
      </c>
      <c r="E19" s="913" t="n"/>
      <c r="F19" s="34">
        <f>$F$2</f>
        <v/>
      </c>
      <c r="G19" s="913">
        <f>E19*(1-F19)</f>
        <v/>
      </c>
      <c r="H19" s="5">
        <f>D19*G19</f>
        <v/>
      </c>
      <c r="I19" s="5">
        <f>'BP - Annual'!$F$141</f>
        <v/>
      </c>
      <c r="J19" s="5">
        <f>H19+I19</f>
        <v/>
      </c>
      <c r="K19" s="480" t="n"/>
    </row>
    <row r="21">
      <c r="C21" s="94" t="inlineStr">
        <is>
          <t>Gewogen waarde</t>
        </is>
      </c>
      <c r="D21" s="95" t="n"/>
      <c r="E21" s="95" t="n"/>
      <c r="F21" s="95" t="n"/>
      <c r="G21" s="95" t="n"/>
      <c r="H21" s="96">
        <f>SUMPRODUCT(H6:H19,K6:K19)</f>
        <v/>
      </c>
      <c r="I21" s="96" t="n"/>
      <c r="J21" s="97">
        <f>SUMPRODUCT(J6:J19,K6:K19)</f>
        <v/>
      </c>
    </row>
    <row r="23">
      <c r="C23" s="33" t="inlineStr">
        <is>
          <t>Implied multiple - EBITDA FY22</t>
        </is>
      </c>
      <c r="D23" s="914">
        <f>IFERROR(H21/D13,"n/a")</f>
        <v/>
      </c>
      <c r="E23" s="913" t="n"/>
    </row>
    <row r="24">
      <c r="C24" s="33" t="inlineStr">
        <is>
          <t>Implied multiple - EBITDA FY23</t>
        </is>
      </c>
      <c r="D24" s="914">
        <f>IFERROR(H21/D14,"n/a")</f>
        <v/>
      </c>
      <c r="E24" s="913" t="n"/>
    </row>
    <row r="26">
      <c r="L26" s="46" t="n"/>
      <c r="N26" s="46" t="inlineStr">
        <is>
          <t>Sensitivity - Enterprise value</t>
        </is>
      </c>
      <c r="O26" s="6" t="n"/>
      <c r="P26" s="6" t="n"/>
      <c r="Q26" s="6" t="n"/>
      <c r="R26" s="6" t="n"/>
      <c r="S26" s="83" t="inlineStr">
        <is>
          <t>Weging% FY22</t>
        </is>
      </c>
      <c r="T26" s="6" t="n"/>
      <c r="U26" s="6" t="n"/>
    </row>
    <row r="27">
      <c r="N27" s="84" t="n"/>
      <c r="O27" s="84" t="n"/>
      <c r="P27" s="775">
        <f>H21</f>
        <v/>
      </c>
      <c r="Q27" s="773">
        <f>R27-10%</f>
        <v/>
      </c>
      <c r="R27" s="773">
        <f>S27-10%</f>
        <v/>
      </c>
      <c r="S27" s="778" t="n">
        <v>0.5</v>
      </c>
      <c r="T27" s="773">
        <f>S27+10%</f>
        <v/>
      </c>
      <c r="U27" s="773">
        <f>T27+10%</f>
        <v/>
      </c>
    </row>
    <row r="28">
      <c r="N28" s="84" t="n"/>
      <c r="O28" s="84" t="n"/>
      <c r="P28" s="771">
        <f>P29-10%</f>
        <v/>
      </c>
      <c r="Q28" s="4">
        <f t="dataTable" ref="Q28:U32" dt2D="1" dtr="1" r1="K2" r2="F2"/>
        <v/>
      </c>
      <c r="R28" s="4" t="n">
        <v>0</v>
      </c>
      <c r="S28" s="4" t="n">
        <v>0</v>
      </c>
      <c r="T28" s="4" t="n">
        <v>0</v>
      </c>
      <c r="U28" s="4" t="n">
        <v>0</v>
      </c>
    </row>
    <row r="29">
      <c r="N29" s="84" t="n"/>
      <c r="O29" s="84" t="n"/>
      <c r="P29" s="771">
        <f>P30-10%</f>
        <v/>
      </c>
      <c r="Q29" s="4" t="n">
        <v>0</v>
      </c>
      <c r="R29" s="85" t="n">
        <v>0</v>
      </c>
      <c r="S29" s="85" t="n">
        <v>0</v>
      </c>
      <c r="T29" s="85" t="n">
        <v>0</v>
      </c>
      <c r="U29" s="4" t="n">
        <v>0</v>
      </c>
    </row>
    <row r="30">
      <c r="N30" s="84" t="n"/>
      <c r="O30" s="83" t="inlineStr">
        <is>
          <t>Discount</t>
        </is>
      </c>
      <c r="P30" s="779" t="n">
        <v>0.5</v>
      </c>
      <c r="Q30" s="4" t="n">
        <v>0</v>
      </c>
      <c r="R30" s="85" t="n">
        <v>0</v>
      </c>
      <c r="S30" s="86" t="n">
        <v>0</v>
      </c>
      <c r="T30" s="85" t="n">
        <v>0</v>
      </c>
      <c r="U30" s="4" t="n">
        <v>0</v>
      </c>
    </row>
    <row r="31">
      <c r="N31" s="84" t="n"/>
      <c r="O31" s="84" t="n"/>
      <c r="P31" s="771">
        <f>P30+10%</f>
        <v/>
      </c>
      <c r="Q31" s="4" t="n">
        <v>0</v>
      </c>
      <c r="R31" s="85" t="n">
        <v>0</v>
      </c>
      <c r="S31" s="85" t="n">
        <v>0</v>
      </c>
      <c r="T31" s="85" t="n">
        <v>0</v>
      </c>
      <c r="U31" s="4" t="n">
        <v>0</v>
      </c>
    </row>
    <row r="32">
      <c r="N32" s="84" t="n"/>
      <c r="O32" s="84" t="n"/>
      <c r="P32" s="771">
        <f>P31+10%</f>
        <v/>
      </c>
      <c r="Q32" s="4" t="n">
        <v>0</v>
      </c>
      <c r="R32" s="4" t="n">
        <v>0</v>
      </c>
      <c r="S32" s="4" t="n">
        <v>0</v>
      </c>
      <c r="T32" s="4" t="n">
        <v>0</v>
      </c>
      <c r="U32" s="4" t="n">
        <v>0</v>
      </c>
    </row>
    <row r="33">
      <c r="N33" s="6" t="n"/>
      <c r="O33" s="6" t="n"/>
      <c r="P33" s="6" t="n"/>
      <c r="Q33" s="6" t="n"/>
      <c r="R33" s="6" t="n"/>
      <c r="S33" s="6" t="n"/>
      <c r="T33" s="6" t="n"/>
      <c r="U33" s="6" t="n"/>
    </row>
    <row r="34">
      <c r="N34" s="46" t="inlineStr">
        <is>
          <t>Sensitivity - Equity value</t>
        </is>
      </c>
      <c r="O34" s="6" t="n"/>
      <c r="P34" s="6" t="n"/>
      <c r="Q34" s="6" t="n"/>
      <c r="R34" s="6" t="n"/>
      <c r="S34" s="83" t="inlineStr">
        <is>
          <t>Weging% FY22</t>
        </is>
      </c>
      <c r="T34" s="6" t="n"/>
      <c r="U34" s="6" t="n"/>
    </row>
    <row r="35">
      <c r="N35" s="84" t="n"/>
      <c r="O35" s="84" t="n"/>
      <c r="P35" s="770" t="n"/>
      <c r="Q35" s="773">
        <f>Q27</f>
        <v/>
      </c>
      <c r="R35" s="773">
        <f>R27</f>
        <v/>
      </c>
      <c r="S35" s="780">
        <f>S27</f>
        <v/>
      </c>
      <c r="T35" s="773">
        <f>T27</f>
        <v/>
      </c>
      <c r="U35" s="773">
        <f>U27</f>
        <v/>
      </c>
    </row>
    <row r="36">
      <c r="N36" s="84" t="n"/>
      <c r="O36" s="84" t="n"/>
      <c r="P36" s="771">
        <f>P28</f>
        <v/>
      </c>
      <c r="Q36" s="4">
        <f>Q28+MM!$I$6</f>
        <v/>
      </c>
      <c r="R36" s="4">
        <f>R28+MM!$I$6</f>
        <v/>
      </c>
      <c r="S36" s="4">
        <f>S28+MM!$I$6</f>
        <v/>
      </c>
      <c r="T36" s="4">
        <f>T28+MM!$I$6</f>
        <v/>
      </c>
      <c r="U36" s="4">
        <f>U28+MM!$I$6</f>
        <v/>
      </c>
    </row>
    <row r="37">
      <c r="N37" s="84" t="n"/>
      <c r="O37" s="84" t="n"/>
      <c r="P37" s="771">
        <f>P29</f>
        <v/>
      </c>
      <c r="Q37" s="4">
        <f>Q29+MM!$I$6</f>
        <v/>
      </c>
      <c r="R37" s="85">
        <f>R29+MM!$I$6</f>
        <v/>
      </c>
      <c r="S37" s="85">
        <f>S29+MM!$I$6</f>
        <v/>
      </c>
      <c r="T37" s="85">
        <f>T29+MM!$I$6</f>
        <v/>
      </c>
      <c r="U37" s="4">
        <f>U29+MM!$I$6</f>
        <v/>
      </c>
    </row>
    <row r="38">
      <c r="N38" s="84" t="n"/>
      <c r="O38" s="83" t="inlineStr">
        <is>
          <t>Discount</t>
        </is>
      </c>
      <c r="P38" s="782">
        <f>P30</f>
        <v/>
      </c>
      <c r="Q38" s="4">
        <f>Q30+MM!$I$6</f>
        <v/>
      </c>
      <c r="R38" s="85">
        <f>R30+MM!$I$6</f>
        <v/>
      </c>
      <c r="S38" s="86">
        <f>S30+MM!$I$6</f>
        <v/>
      </c>
      <c r="T38" s="85">
        <f>T30+MM!$I$6</f>
        <v/>
      </c>
      <c r="U38" s="4">
        <f>U30+MM!$I$6</f>
        <v/>
      </c>
    </row>
    <row r="39">
      <c r="N39" s="84" t="n"/>
      <c r="O39" s="84" t="n"/>
      <c r="P39" s="771">
        <f>P31</f>
        <v/>
      </c>
      <c r="Q39" s="4">
        <f>Q31+MM!$I$6</f>
        <v/>
      </c>
      <c r="R39" s="85">
        <f>R31+MM!$I$6</f>
        <v/>
      </c>
      <c r="S39" s="85">
        <f>S31+MM!$I$6</f>
        <v/>
      </c>
      <c r="T39" s="85">
        <f>T31+MM!$I$6</f>
        <v/>
      </c>
      <c r="U39" s="4">
        <f>U31+MM!$I$6</f>
        <v/>
      </c>
    </row>
    <row r="40">
      <c r="N40" s="84" t="n"/>
      <c r="O40" s="84" t="n"/>
      <c r="P40" s="771">
        <f>P32</f>
        <v/>
      </c>
      <c r="Q40" s="4">
        <f>Q32+MM!$I$6</f>
        <v/>
      </c>
      <c r="R40" s="4">
        <f>R32+MM!$I$6</f>
        <v/>
      </c>
      <c r="S40" s="4">
        <f>S32+MM!$I$6</f>
        <v/>
      </c>
      <c r="T40" s="4">
        <f>T32+MM!$I$6</f>
        <v/>
      </c>
      <c r="U40" s="4">
        <f>U32+MM!$I$6</f>
        <v/>
      </c>
    </row>
    <row r="41">
      <c r="N41" s="6" t="n"/>
      <c r="O41" s="6" t="n"/>
      <c r="P41" s="6" t="n"/>
      <c r="Q41" s="6" t="n"/>
      <c r="R41" s="6" t="n"/>
      <c r="S41" s="6" t="n"/>
      <c r="T41" s="6" t="n"/>
      <c r="U41" s="6" t="n"/>
    </row>
    <row r="42">
      <c r="A42" s="10">
        <f>S42</f>
        <v/>
      </c>
      <c r="C42" s="8" t="inlineStr">
        <is>
          <t>Check</t>
        </is>
      </c>
      <c r="N42" s="6" t="n"/>
      <c r="O42" s="6" t="n"/>
      <c r="P42" s="6" t="n"/>
      <c r="Q42" s="6" t="n"/>
      <c r="R42" s="3" t="n"/>
      <c r="S42" s="102">
        <f>S38-J21</f>
        <v/>
      </c>
      <c r="T42" s="6" t="n"/>
      <c r="U42" s="6" t="n"/>
    </row>
    <row r="44">
      <c r="C44" s="406">
        <f>"Overzicht markt multiples - "&amp;Historiek!$A$2</f>
        <v/>
      </c>
    </row>
    <row r="45" ht="39.6" customHeight="1">
      <c r="C45" s="766" t="inlineStr">
        <is>
          <t>Listed peer</t>
        </is>
      </c>
      <c r="D45" s="766" t="inlineStr">
        <is>
          <t>Country</t>
        </is>
      </c>
      <c r="E45" s="777" t="inlineStr">
        <is>
          <t>Market cap
(in €m)</t>
        </is>
      </c>
      <c r="F45" s="783" t="inlineStr">
        <is>
          <t>EV
(in €m)</t>
        </is>
      </c>
      <c r="G45" s="777" t="inlineStr">
        <is>
          <t>EV / 
Sales
FY19</t>
        </is>
      </c>
      <c r="H45" s="777" t="inlineStr">
        <is>
          <t>EV / 
Sales
FY20</t>
        </is>
      </c>
      <c r="I45" s="777" t="inlineStr">
        <is>
          <t>EV / 
Sales
FY21</t>
        </is>
      </c>
      <c r="J45" s="777" t="inlineStr">
        <is>
          <t>EV / 
Sales
FY22</t>
        </is>
      </c>
      <c r="K45" s="783" t="inlineStr">
        <is>
          <t>EV / 
Sales
FY23</t>
        </is>
      </c>
      <c r="L45" s="777" t="inlineStr">
        <is>
          <t>EV / EBITDA
FY19</t>
        </is>
      </c>
      <c r="M45" s="777" t="inlineStr">
        <is>
          <t>EV / EBITDA
FY20</t>
        </is>
      </c>
      <c r="N45" s="777" t="inlineStr">
        <is>
          <t>EV / EBITDA
FY21</t>
        </is>
      </c>
      <c r="O45" s="777" t="inlineStr">
        <is>
          <t>EV / EBITDA
FY22</t>
        </is>
      </c>
      <c r="P45" s="783" t="inlineStr">
        <is>
          <t>EV / EBITDA
FY23</t>
        </is>
      </c>
      <c r="Q45" s="777" t="inlineStr">
        <is>
          <t>EV / 
EBIT
FY19</t>
        </is>
      </c>
      <c r="R45" s="777" t="inlineStr">
        <is>
          <t>EV / 
EBIT
FY20</t>
        </is>
      </c>
      <c r="S45" s="777" t="inlineStr">
        <is>
          <t>EV / 
EBIT
FY21</t>
        </is>
      </c>
      <c r="T45" s="777" t="inlineStr">
        <is>
          <t>EV / 
EBIT
FY22</t>
        </is>
      </c>
      <c r="U45" s="777" t="inlineStr">
        <is>
          <t>EV / 
EBIT
FY23</t>
        </is>
      </c>
    </row>
    <row r="46">
      <c r="C46" s="637" t="n"/>
      <c r="D46" s="560" t="n"/>
      <c r="E46" s="562" t="n"/>
      <c r="F46" s="562" t="n"/>
      <c r="G46" s="915" t="n"/>
      <c r="H46" s="915" t="n"/>
      <c r="I46" s="915" t="n"/>
      <c r="J46" s="915" t="n"/>
      <c r="K46" s="915" t="n"/>
      <c r="L46" s="915" t="n"/>
      <c r="M46" s="915" t="n"/>
      <c r="N46" s="915" t="n"/>
      <c r="O46" s="915" t="n"/>
      <c r="P46" s="915" t="n"/>
      <c r="Q46" s="915" t="n"/>
      <c r="R46" s="915" t="n"/>
      <c r="S46" s="915" t="n"/>
      <c r="T46" s="915" t="n"/>
      <c r="U46" s="915" t="n"/>
    </row>
    <row r="47">
      <c r="C47" s="637" t="n"/>
      <c r="D47" s="560" t="n"/>
      <c r="E47" s="562" t="n"/>
      <c r="F47" s="562" t="n"/>
      <c r="G47" s="915" t="n"/>
      <c r="H47" s="915" t="n"/>
      <c r="I47" s="915" t="n"/>
      <c r="J47" s="915" t="n"/>
      <c r="K47" s="915" t="n"/>
      <c r="L47" s="915" t="n"/>
      <c r="M47" s="915" t="n"/>
      <c r="N47" s="915" t="n"/>
      <c r="O47" s="915" t="n"/>
      <c r="P47" s="915" t="n"/>
      <c r="Q47" s="915" t="n"/>
      <c r="R47" s="915" t="n"/>
      <c r="S47" s="915" t="n"/>
      <c r="T47" s="915" t="n"/>
      <c r="U47" s="915" t="n"/>
    </row>
    <row r="48">
      <c r="C48" s="637" t="n"/>
      <c r="D48" s="560" t="n"/>
      <c r="E48" s="562" t="n"/>
      <c r="F48" s="562" t="n"/>
      <c r="G48" s="915" t="n"/>
      <c r="H48" s="915" t="n"/>
      <c r="I48" s="915" t="n"/>
      <c r="J48" s="915" t="n"/>
      <c r="K48" s="915" t="n"/>
      <c r="L48" s="915" t="n"/>
      <c r="M48" s="915" t="n"/>
      <c r="N48" s="915" t="n"/>
      <c r="O48" s="915" t="n"/>
      <c r="P48" s="915" t="n"/>
      <c r="Q48" s="915" t="n"/>
      <c r="R48" s="915" t="n"/>
      <c r="S48" s="915" t="n"/>
      <c r="T48" s="915" t="n"/>
      <c r="U48" s="915" t="n"/>
    </row>
    <row r="49">
      <c r="C49" s="637" t="n"/>
      <c r="D49" s="560" t="n"/>
      <c r="E49" s="562" t="n"/>
      <c r="F49" s="562" t="n"/>
      <c r="G49" s="915" t="n"/>
      <c r="H49" s="915" t="n"/>
      <c r="I49" s="915" t="n"/>
      <c r="J49" s="915" t="n"/>
      <c r="K49" s="915" t="n"/>
      <c r="L49" s="915" t="n"/>
      <c r="M49" s="915" t="n"/>
      <c r="N49" s="915" t="n"/>
      <c r="O49" s="915" t="n"/>
      <c r="P49" s="915" t="n"/>
      <c r="Q49" s="915" t="n"/>
      <c r="R49" s="915" t="n"/>
      <c r="S49" s="915" t="n"/>
      <c r="T49" s="915" t="n"/>
      <c r="U49" s="915" t="n"/>
    </row>
    <row r="50">
      <c r="C50" s="637" t="n"/>
      <c r="D50" s="560" t="n"/>
      <c r="E50" s="562" t="n"/>
      <c r="F50" s="562" t="n"/>
      <c r="G50" s="915" t="n"/>
      <c r="H50" s="915" t="n"/>
      <c r="I50" s="915" t="n"/>
      <c r="J50" s="915" t="n"/>
      <c r="K50" s="915" t="n"/>
      <c r="L50" s="915" t="n"/>
      <c r="M50" s="915" t="n"/>
      <c r="N50" s="915" t="n"/>
      <c r="O50" s="915" t="n"/>
      <c r="P50" s="915" t="n"/>
      <c r="Q50" s="915" t="n"/>
      <c r="R50" s="915" t="n"/>
      <c r="S50" s="915" t="n"/>
      <c r="T50" s="915" t="n"/>
      <c r="U50" s="915" t="n"/>
    </row>
    <row r="51">
      <c r="C51" s="637" t="n"/>
      <c r="D51" s="560" t="n"/>
      <c r="E51" s="562" t="n"/>
      <c r="F51" s="562" t="n"/>
      <c r="G51" s="915" t="n"/>
      <c r="H51" s="915" t="n"/>
      <c r="I51" s="915" t="n"/>
      <c r="J51" s="915" t="n"/>
      <c r="K51" s="915" t="n"/>
      <c r="L51" s="915" t="n"/>
      <c r="M51" s="915" t="n"/>
      <c r="N51" s="915" t="n"/>
      <c r="O51" s="915" t="n"/>
      <c r="P51" s="915" t="n"/>
      <c r="Q51" s="915" t="n"/>
      <c r="R51" s="915" t="n"/>
      <c r="S51" s="915" t="n"/>
      <c r="T51" s="915" t="n"/>
      <c r="U51" s="915" t="n"/>
    </row>
    <row r="52">
      <c r="C52" s="637" t="n"/>
      <c r="D52" s="560" t="n"/>
      <c r="E52" s="562" t="n"/>
      <c r="F52" s="562" t="n"/>
      <c r="G52" s="915" t="n"/>
      <c r="H52" s="915" t="n"/>
      <c r="I52" s="915" t="n"/>
      <c r="J52" s="915" t="n"/>
      <c r="K52" s="915" t="n"/>
      <c r="L52" s="915" t="n"/>
      <c r="M52" s="915" t="n"/>
      <c r="N52" s="915" t="n"/>
      <c r="O52" s="915" t="n"/>
      <c r="P52" s="915" t="n"/>
      <c r="Q52" s="915" t="n"/>
      <c r="R52" s="915" t="n"/>
      <c r="S52" s="915" t="n"/>
      <c r="T52" s="915" t="n"/>
      <c r="U52" s="915" t="n"/>
    </row>
    <row r="53">
      <c r="C53" s="637" t="n"/>
      <c r="D53" s="560" t="n"/>
      <c r="E53" s="562" t="n"/>
      <c r="F53" s="562" t="n"/>
      <c r="G53" s="915" t="n"/>
      <c r="H53" s="915" t="n"/>
      <c r="I53" s="915" t="n"/>
      <c r="J53" s="915" t="n"/>
      <c r="K53" s="915" t="n"/>
      <c r="L53" s="915" t="n"/>
      <c r="M53" s="915" t="n"/>
      <c r="N53" s="915" t="n"/>
      <c r="O53" s="915" t="n"/>
      <c r="P53" s="915" t="n"/>
      <c r="Q53" s="915" t="n"/>
      <c r="R53" s="915" t="n"/>
      <c r="S53" s="915" t="n"/>
      <c r="T53" s="915" t="n"/>
      <c r="U53" s="915" t="n"/>
      <c r="V53" s="914" t="n"/>
      <c r="W53" s="914" t="n"/>
    </row>
    <row r="54">
      <c r="C54" s="637" t="n"/>
      <c r="D54" s="560" t="n"/>
      <c r="E54" s="562" t="n"/>
      <c r="F54" s="562" t="n"/>
      <c r="G54" s="915" t="n"/>
      <c r="H54" s="915" t="n"/>
      <c r="I54" s="915" t="n"/>
      <c r="J54" s="915" t="n"/>
      <c r="K54" s="915" t="n"/>
      <c r="L54" s="915" t="n"/>
      <c r="M54" s="915" t="n"/>
      <c r="N54" s="915" t="n"/>
      <c r="O54" s="915" t="n"/>
      <c r="P54" s="915" t="n"/>
      <c r="Q54" s="915" t="n"/>
      <c r="R54" s="915" t="n"/>
      <c r="S54" s="915" t="n"/>
      <c r="T54" s="915" t="n"/>
      <c r="U54" s="915" t="n"/>
      <c r="W54" s="914" t="n"/>
    </row>
    <row r="55">
      <c r="C55" s="637" t="n"/>
      <c r="D55" s="560" t="n"/>
      <c r="E55" s="562" t="n"/>
      <c r="F55" s="562" t="n"/>
      <c r="G55" s="915" t="n"/>
      <c r="H55" s="915" t="n"/>
      <c r="I55" s="915" t="n"/>
      <c r="J55" s="915" t="n"/>
      <c r="K55" s="915" t="n"/>
      <c r="L55" s="915" t="n"/>
      <c r="M55" s="915" t="n"/>
      <c r="N55" s="915" t="n"/>
      <c r="O55" s="915" t="n"/>
      <c r="P55" s="915" t="n"/>
      <c r="Q55" s="915" t="n"/>
      <c r="R55" s="915" t="n"/>
      <c r="S55" s="915" t="n"/>
      <c r="T55" s="915" t="n"/>
      <c r="U55" s="915" t="n"/>
    </row>
    <row r="56">
      <c r="C56" s="637" t="n"/>
      <c r="D56" s="560" t="n"/>
      <c r="E56" s="562" t="n"/>
      <c r="F56" s="562" t="n"/>
      <c r="G56" s="915" t="n"/>
      <c r="H56" s="915" t="n"/>
      <c r="I56" s="915" t="n"/>
      <c r="J56" s="915" t="n"/>
      <c r="K56" s="915" t="n"/>
      <c r="L56" s="915" t="n"/>
      <c r="M56" s="915" t="n"/>
      <c r="N56" s="915" t="n"/>
      <c r="O56" s="915" t="n"/>
      <c r="P56" s="915" t="n"/>
      <c r="Q56" s="915" t="n"/>
      <c r="R56" s="915" t="n"/>
      <c r="S56" s="915" t="n"/>
      <c r="T56" s="915" t="n"/>
      <c r="U56" s="915" t="n"/>
    </row>
    <row r="57">
      <c r="E57" s="98" t="n"/>
      <c r="F57" s="5" t="n"/>
      <c r="G57" s="913" t="n"/>
      <c r="H57" s="913" t="n"/>
      <c r="I57" s="913" t="n"/>
      <c r="J57" s="913" t="n"/>
      <c r="K57" s="913" t="n"/>
      <c r="L57" s="913" t="n"/>
      <c r="M57" s="913" t="n"/>
      <c r="N57" s="913" t="n"/>
      <c r="O57" s="913" t="n"/>
      <c r="P57" s="913" t="n"/>
      <c r="Q57" s="913" t="n"/>
      <c r="R57" s="913" t="n"/>
      <c r="S57" s="913" t="n"/>
    </row>
    <row r="58" customFormat="1" s="24">
      <c r="C58" s="100" t="inlineStr">
        <is>
          <t>1ste kwartiel</t>
        </is>
      </c>
      <c r="D58" s="107" t="n"/>
      <c r="E58" s="107" t="n"/>
      <c r="F58" s="107" t="n"/>
      <c r="G58" s="917">
        <f>IFERROR(QUARTILE(G46:G56,1),"n/a")</f>
        <v/>
      </c>
      <c r="H58" s="917">
        <f>IFERROR(QUARTILE(H46:H56,1),"n/a")</f>
        <v/>
      </c>
      <c r="I58" s="917">
        <f>IFERROR(QUARTILE(I46:I56,1),"n/a")</f>
        <v/>
      </c>
      <c r="J58" s="917">
        <f>IFERROR(QUARTILE(J46:J56,1),"n/a")</f>
        <v/>
      </c>
      <c r="K58" s="917">
        <f>IFERROR(QUARTILE(K46:K56,1),"n/a")</f>
        <v/>
      </c>
      <c r="L58" s="917">
        <f>IFERROR(QUARTILE(L46:L56,1),"n/a")</f>
        <v/>
      </c>
      <c r="M58" s="917">
        <f>IFERROR(QUARTILE(M46:M56,1),"n/a")</f>
        <v/>
      </c>
      <c r="N58" s="917">
        <f>IFERROR(QUARTILE(N46:N56,1),"n/a")</f>
        <v/>
      </c>
      <c r="O58" s="917">
        <f>IFERROR(QUARTILE(O46:O56,1),"n/a")</f>
        <v/>
      </c>
      <c r="P58" s="917">
        <f>IFERROR(QUARTILE(P46:P56,1),"n/a")</f>
        <v/>
      </c>
      <c r="Q58" s="917">
        <f>IFERROR(QUARTILE(Q46:Q56,1),"n/a")</f>
        <v/>
      </c>
      <c r="R58" s="917">
        <f>IFERROR(QUARTILE(R46:R56,1),"n/a")</f>
        <v/>
      </c>
      <c r="S58" s="917">
        <f>IFERROR(QUARTILE(S46:S56,1),"n/a")</f>
        <v/>
      </c>
      <c r="T58" s="917">
        <f>IFERROR(QUARTILE(T46:T56,1),"n/a")</f>
        <v/>
      </c>
      <c r="U58" s="918">
        <f>IFERROR(QUARTILE(U46:U56,1),"n/a")</f>
        <v/>
      </c>
    </row>
    <row r="59">
      <c r="C59" s="103" t="inlineStr">
        <is>
          <t>Mediaan</t>
        </is>
      </c>
      <c r="D59" s="24" t="n"/>
      <c r="E59" s="24" t="n"/>
      <c r="F59" s="24" t="n"/>
      <c r="G59" s="919">
        <f>IFERROR(MEDIAN(G46:G56),"n/a")</f>
        <v/>
      </c>
      <c r="H59" s="919">
        <f>IFERROR(MEDIAN(H46:H56),"n/a")</f>
        <v/>
      </c>
      <c r="I59" s="919">
        <f>IFERROR(MEDIAN(I46:I56),"n/a")</f>
        <v/>
      </c>
      <c r="J59" s="919">
        <f>IFERROR(MEDIAN(J46:J56),"n/a")</f>
        <v/>
      </c>
      <c r="K59" s="919">
        <f>IFERROR(MEDIAN(K46:K56),"n/a")</f>
        <v/>
      </c>
      <c r="L59" s="919">
        <f>IFERROR(MEDIAN(L46:L56),"n/a")</f>
        <v/>
      </c>
      <c r="M59" s="919">
        <f>IFERROR(MEDIAN(M46:M56),"n/a")</f>
        <v/>
      </c>
      <c r="N59" s="919">
        <f>IFERROR(MEDIAN(N46:N56),"n/a")</f>
        <v/>
      </c>
      <c r="O59" s="919">
        <f>IFERROR(MEDIAN(O46:O56),"n/a")</f>
        <v/>
      </c>
      <c r="P59" s="919">
        <f>IFERROR(MEDIAN(P46:P56),"n/a")</f>
        <v/>
      </c>
      <c r="Q59" s="919">
        <f>IFERROR(MEDIAN(Q46:Q56),"n/a")</f>
        <v/>
      </c>
      <c r="R59" s="919">
        <f>IFERROR(MEDIAN(R46:R56),"n/a")</f>
        <v/>
      </c>
      <c r="S59" s="919">
        <f>IFERROR(MEDIAN(S46:S56),"n/a")</f>
        <v/>
      </c>
      <c r="T59" s="919">
        <f>IFERROR(MEDIAN(T46:T56),"n/a")</f>
        <v/>
      </c>
      <c r="U59" s="920">
        <f>IFERROR(MEDIAN(U46:U56),"n/a")</f>
        <v/>
      </c>
    </row>
    <row r="60">
      <c r="C60" s="104" t="inlineStr">
        <is>
          <t>Gemiddelde</t>
        </is>
      </c>
      <c r="G60" s="907">
        <f>IFERROR(AVERAGE(G46:G56),"n/a")</f>
        <v/>
      </c>
      <c r="H60" s="907">
        <f>IFERROR(AVERAGE(H46:H56),"n/a")</f>
        <v/>
      </c>
      <c r="I60" s="907">
        <f>IFERROR(AVERAGE(I46:I56),"n/a")</f>
        <v/>
      </c>
      <c r="J60" s="907">
        <f>IFERROR(AVERAGE(J46:J56),"n/a")</f>
        <v/>
      </c>
      <c r="K60" s="907">
        <f>IFERROR(AVERAGE(K46:K56),"n/a")</f>
        <v/>
      </c>
      <c r="L60" s="907">
        <f>IFERROR(AVERAGE(L46:L56),"n/a")</f>
        <v/>
      </c>
      <c r="M60" s="907">
        <f>IFERROR(AVERAGE(M46:M56),"n/a")</f>
        <v/>
      </c>
      <c r="N60" s="907">
        <f>IFERROR(AVERAGE(N46:N56),"n/a")</f>
        <v/>
      </c>
      <c r="O60" s="907">
        <f>IFERROR(AVERAGE(O46:O56),"n/a")</f>
        <v/>
      </c>
      <c r="P60" s="907">
        <f>IFERROR(AVERAGE(P46:P56),"n/a")</f>
        <v/>
      </c>
      <c r="Q60" s="907">
        <f>IFERROR(AVERAGE(Q46:Q56),"n/a")</f>
        <v/>
      </c>
      <c r="R60" s="907">
        <f>IFERROR(AVERAGE(R46:R56),"n/a")</f>
        <v/>
      </c>
      <c r="S60" s="907">
        <f>IFERROR(AVERAGE(S46:S56),"n/a")</f>
        <v/>
      </c>
      <c r="T60" s="907">
        <f>IFERROR(AVERAGE(T46:T56),"n/a")</f>
        <v/>
      </c>
      <c r="U60" s="921">
        <f>IFERROR(AVERAGE(U46:U56),"n/a")</f>
        <v/>
      </c>
    </row>
    <row r="61">
      <c r="C61" s="105" t="inlineStr">
        <is>
          <t>3de kwartiel</t>
        </is>
      </c>
      <c r="D61" s="106" t="n"/>
      <c r="E61" s="106" t="n"/>
      <c r="F61" s="106" t="n"/>
      <c r="G61" s="922">
        <f>IFERROR(QUARTILE(G46:G56,3),"n/a")</f>
        <v/>
      </c>
      <c r="H61" s="922">
        <f>IFERROR(QUARTILE(H46:H56,3),"n/a")</f>
        <v/>
      </c>
      <c r="I61" s="922">
        <f>IFERROR(QUARTILE(I46:I56,3),"n/a")</f>
        <v/>
      </c>
      <c r="J61" s="922">
        <f>IFERROR(QUARTILE(J46:J56,3),"n/a")</f>
        <v/>
      </c>
      <c r="K61" s="922">
        <f>IFERROR(QUARTILE(K46:K56,3),"n/a")</f>
        <v/>
      </c>
      <c r="L61" s="922">
        <f>IFERROR(QUARTILE(L46:L56,3),"n/a")</f>
        <v/>
      </c>
      <c r="M61" s="922">
        <f>IFERROR(QUARTILE(M46:M56,3),"n/a")</f>
        <v/>
      </c>
      <c r="N61" s="922">
        <f>IFERROR(QUARTILE(N46:N56,3),"n/a")</f>
        <v/>
      </c>
      <c r="O61" s="922">
        <f>IFERROR(QUARTILE(O46:O56,3),"n/a")</f>
        <v/>
      </c>
      <c r="P61" s="922">
        <f>IFERROR(QUARTILE(P46:P56,3),"n/a")</f>
        <v/>
      </c>
      <c r="Q61" s="922">
        <f>IFERROR(QUARTILE(Q46:Q56,3),"n/a")</f>
        <v/>
      </c>
      <c r="R61" s="922">
        <f>IFERROR(QUARTILE(R46:R56,3),"n/a")</f>
        <v/>
      </c>
      <c r="S61" s="922">
        <f>IFERROR(QUARTILE(S46:S56,3),"n/a")</f>
        <v/>
      </c>
      <c r="T61" s="922">
        <f>IFERROR(QUARTILE(T46:T56,3),"n/a")</f>
        <v/>
      </c>
      <c r="U61" s="923">
        <f>IFERROR(QUARTILE(U46:U56,3),"n/a")</f>
        <v/>
      </c>
    </row>
  </sheetData>
  <pageMargins left="0.7" right="0.7" top="0.75" bottom="0.75" header="0.3" footer="0.3"/>
  <pageSetup orientation="portrait" paperSize="9" verticalDpi="0"/>
</worksheet>
</file>

<file path=xl/worksheets/sheet21.xml><?xml version="1.0" encoding="utf-8"?>
<worksheet xmlns="http://schemas.openxmlformats.org/spreadsheetml/2006/main">
  <sheetPr>
    <tabColor theme="4" tint="0.7999816888943144"/>
    <outlinePr summaryBelow="1" summaryRight="1"/>
    <pageSetUpPr/>
  </sheetPr>
  <dimension ref="B2:M48"/>
  <sheetViews>
    <sheetView showGridLines="0" workbookViewId="0">
      <selection activeCell="C3" sqref="C3:I3"/>
    </sheetView>
  </sheetViews>
  <sheetFormatPr baseColWidth="8" defaultColWidth="9.109375" defaultRowHeight="14.4" outlineLevelRow="1"/>
  <cols>
    <col width="4.6640625" customWidth="1" style="110" min="1" max="2"/>
    <col width="9.109375" customWidth="1" style="110" min="3" max="4"/>
    <col width="22.33203125" bestFit="1" customWidth="1" style="110" min="5" max="5"/>
    <col width="1" customWidth="1" style="110" min="6" max="6"/>
    <col width="20.6640625" customWidth="1" style="110" min="7" max="7"/>
    <col width="1" customWidth="1" style="110" min="8" max="8"/>
    <col width="18.109375" customWidth="1" style="110" min="9" max="9"/>
    <col width="9.109375" customWidth="1" style="110" min="10" max="16384"/>
  </cols>
  <sheetData>
    <row r="2" ht="15.75" customHeight="1">
      <c r="B2" s="108" t="n"/>
      <c r="C2" s="109" t="inlineStr">
        <is>
          <t>WACC - Size premium (Deloitte methodology)</t>
        </is>
      </c>
      <c r="D2" s="108" t="n"/>
      <c r="E2" s="108" t="n"/>
      <c r="F2" s="108" t="n"/>
      <c r="G2" s="108" t="n"/>
      <c r="H2" s="108" t="n"/>
      <c r="I2" s="108" t="n"/>
    </row>
    <row r="3" ht="24" customHeight="1">
      <c r="B3" s="108" t="n"/>
      <c r="C3" s="111" t="inlineStr">
        <is>
          <t>Decile</t>
        </is>
      </c>
      <c r="D3" s="112" t="n"/>
      <c r="E3" s="113" t="inlineStr">
        <is>
          <t>Market capitalisation of smallest company (in $m)</t>
        </is>
      </c>
      <c r="F3" s="112" t="n"/>
      <c r="G3" s="113" t="inlineStr">
        <is>
          <t>Market capitalisation of largest company (in $m)</t>
        </is>
      </c>
      <c r="H3" s="112" t="n"/>
      <c r="I3" s="113" t="inlineStr">
        <is>
          <t>Size premium (return in excess of CAPM)</t>
        </is>
      </c>
    </row>
    <row r="4" ht="12" customFormat="1" customHeight="1" s="108">
      <c r="C4" s="114" t="n"/>
      <c r="D4" s="115" t="n"/>
      <c r="E4" s="116" t="n"/>
      <c r="F4" s="115" t="n"/>
      <c r="G4" s="116" t="n"/>
      <c r="H4" s="115" t="n"/>
      <c r="I4" s="116" t="n"/>
    </row>
    <row r="5" ht="11.25" customHeight="1">
      <c r="B5" s="117" t="inlineStr">
        <is>
          <t>3-5 average</t>
        </is>
      </c>
      <c r="C5" s="117" t="inlineStr">
        <is>
          <t>3-5</t>
        </is>
      </c>
      <c r="D5" s="117" t="inlineStr">
        <is>
          <t>Mid-Cap</t>
        </is>
      </c>
      <c r="E5" s="924" t="n">
        <v>3239</v>
      </c>
      <c r="F5" s="924" t="n"/>
      <c r="G5" s="924" t="n">
        <v>13523</v>
      </c>
      <c r="H5" s="119" t="n"/>
      <c r="I5" s="925" t="n">
        <v>0.01</v>
      </c>
    </row>
    <row r="6" ht="11.25" customHeight="1">
      <c r="B6" s="117" t="inlineStr">
        <is>
          <t>6-8 average</t>
        </is>
      </c>
      <c r="C6" s="117" t="inlineStr">
        <is>
          <t>6-8</t>
        </is>
      </c>
      <c r="D6" s="117" t="inlineStr">
        <is>
          <t>Low-Cap</t>
        </is>
      </c>
      <c r="E6" s="924" t="n">
        <v>800</v>
      </c>
      <c r="F6" s="924" t="n"/>
      <c r="G6" s="924" t="n">
        <v>3235</v>
      </c>
      <c r="H6" s="119" t="n"/>
      <c r="I6" s="925" t="n">
        <v>0.0175</v>
      </c>
    </row>
    <row r="7" ht="11.25" customHeight="1">
      <c r="B7" s="117" t="inlineStr">
        <is>
          <t>9-10 average</t>
        </is>
      </c>
      <c r="C7" s="117" t="inlineStr">
        <is>
          <t>9-10</t>
        </is>
      </c>
      <c r="D7" s="117" t="inlineStr">
        <is>
          <t>Micro-Cap</t>
        </is>
      </c>
      <c r="E7" s="924" t="n">
        <v>3</v>
      </c>
      <c r="F7" s="924" t="n"/>
      <c r="G7" s="924" t="n">
        <v>799</v>
      </c>
      <c r="H7" s="119" t="n"/>
      <c r="I7" s="925" t="n">
        <v>0.0375</v>
      </c>
    </row>
    <row r="8" ht="2.25" customHeight="1">
      <c r="B8" s="108" t="n"/>
      <c r="C8" s="119" t="n"/>
      <c r="D8" s="119" t="n"/>
      <c r="E8" s="924" t="n"/>
      <c r="F8" s="924" t="n"/>
      <c r="G8" s="924" t="n"/>
      <c r="H8" s="119" t="n"/>
      <c r="I8" s="925" t="n"/>
    </row>
    <row r="9" ht="11.25" customHeight="1">
      <c r="B9" s="108" t="n"/>
      <c r="C9" s="121" t="inlineStr">
        <is>
          <t>Breakdown of deciles</t>
        </is>
      </c>
      <c r="D9" s="119" t="n"/>
      <c r="E9" s="924" t="n"/>
      <c r="F9" s="924" t="n"/>
      <c r="G9" s="924" t="n"/>
      <c r="H9" s="119" t="n"/>
      <c r="I9" s="925" t="n"/>
    </row>
    <row r="10" ht="11.25" customHeight="1">
      <c r="B10" s="119" t="inlineStr">
        <is>
          <t>1 decile</t>
        </is>
      </c>
      <c r="C10" s="119" t="n">
        <v>1</v>
      </c>
      <c r="D10" s="119" t="inlineStr">
        <is>
          <t>Largest</t>
        </is>
      </c>
      <c r="E10" s="924" t="n">
        <v>30772</v>
      </c>
      <c r="F10" s="924" t="n"/>
      <c r="G10" s="924" t="n">
        <v>1090307</v>
      </c>
      <c r="H10" s="119" t="n"/>
      <c r="I10" s="925" t="n">
        <v>0</v>
      </c>
    </row>
    <row r="11" ht="11.25" customHeight="1">
      <c r="B11" s="119" t="inlineStr">
        <is>
          <t>2 decile</t>
        </is>
      </c>
      <c r="C11" s="119" t="n">
        <v>2</v>
      </c>
      <c r="D11" s="119" t="n"/>
      <c r="E11" s="924" t="n">
        <v>13538</v>
      </c>
      <c r="F11" s="924" t="n"/>
      <c r="G11" s="924" t="n">
        <v>30612</v>
      </c>
      <c r="H11" s="119" t="n"/>
      <c r="I11" s="925" t="n">
        <v>0.005</v>
      </c>
    </row>
    <row r="12" ht="11.25" customHeight="1">
      <c r="B12" s="119" t="inlineStr">
        <is>
          <t>3 decile</t>
        </is>
      </c>
      <c r="C12" s="119" t="n">
        <v>3</v>
      </c>
      <c r="D12" s="119" t="n"/>
      <c r="E12" s="924" t="n">
        <v>7455</v>
      </c>
      <c r="F12" s="924" t="n"/>
      <c r="G12" s="924" t="n">
        <v>13523</v>
      </c>
      <c r="H12" s="119" t="n"/>
      <c r="I12" s="925" t="n">
        <v>0.0075</v>
      </c>
    </row>
    <row r="13" ht="11.25" customHeight="1">
      <c r="B13" s="119" t="inlineStr">
        <is>
          <t>4 decile</t>
        </is>
      </c>
      <c r="C13" s="119" t="n">
        <v>4</v>
      </c>
      <c r="D13" s="119" t="n"/>
      <c r="E13" s="924" t="n">
        <v>4756</v>
      </c>
      <c r="F13" s="924" t="n"/>
      <c r="G13" s="924" t="n">
        <v>7408</v>
      </c>
      <c r="H13" s="119" t="n"/>
      <c r="I13" s="925" t="n">
        <v>0.01</v>
      </c>
    </row>
    <row r="14" ht="11.25" customHeight="1">
      <c r="B14" s="119" t="inlineStr">
        <is>
          <t>5 decile</t>
        </is>
      </c>
      <c r="C14" s="119" t="n">
        <v>5</v>
      </c>
      <c r="D14" s="119" t="n"/>
      <c r="E14" s="924" t="n">
        <v>3239</v>
      </c>
      <c r="F14" s="924" t="n"/>
      <c r="G14" s="924" t="n">
        <v>4725</v>
      </c>
      <c r="H14" s="119" t="n"/>
      <c r="I14" s="925" t="n">
        <v>0.015</v>
      </c>
    </row>
    <row r="15" ht="11.25" customHeight="1">
      <c r="B15" s="119" t="inlineStr">
        <is>
          <t>6 decile</t>
        </is>
      </c>
      <c r="C15" s="119" t="n">
        <v>6</v>
      </c>
      <c r="D15" s="119" t="n"/>
      <c r="E15" s="924" t="n">
        <v>2161</v>
      </c>
      <c r="F15" s="924" t="n"/>
      <c r="G15" s="924" t="n">
        <v>3235</v>
      </c>
      <c r="H15" s="119" t="n"/>
      <c r="I15" s="925" t="n">
        <v>0.0175</v>
      </c>
    </row>
    <row r="16" ht="11.25" customHeight="1">
      <c r="B16" s="119" t="inlineStr">
        <is>
          <t>7 decile</t>
        </is>
      </c>
      <c r="C16" s="119" t="n">
        <v>7</v>
      </c>
      <c r="D16" s="119" t="n"/>
      <c r="E16" s="924" t="n">
        <v>1364</v>
      </c>
      <c r="F16" s="924" t="n"/>
      <c r="G16" s="924" t="n">
        <v>2159</v>
      </c>
      <c r="H16" s="119" t="n"/>
      <c r="I16" s="925" t="n">
        <v>0.0175</v>
      </c>
    </row>
    <row r="17" ht="11.25" customHeight="1">
      <c r="B17" s="119" t="inlineStr">
        <is>
          <t>8 decile</t>
        </is>
      </c>
      <c r="C17" s="119" t="n">
        <v>8</v>
      </c>
      <c r="D17" s="119" t="n"/>
      <c r="E17" s="924" t="n">
        <v>800</v>
      </c>
      <c r="F17" s="924" t="n"/>
      <c r="G17" s="924" t="n">
        <v>1364</v>
      </c>
      <c r="H17" s="119" t="n"/>
      <c r="I17" s="925" t="n">
        <v>0.0225</v>
      </c>
    </row>
    <row r="18" ht="11.25" customHeight="1">
      <c r="B18" s="119" t="inlineStr">
        <is>
          <t>9 decile</t>
        </is>
      </c>
      <c r="C18" s="119" t="n">
        <v>9</v>
      </c>
      <c r="D18" s="119" t="n"/>
      <c r="E18" s="924" t="n">
        <v>366</v>
      </c>
      <c r="F18" s="924" t="n"/>
      <c r="G18" s="924" t="n">
        <v>799</v>
      </c>
      <c r="H18" s="119" t="n"/>
      <c r="I18" s="925" t="n">
        <v>0.0275</v>
      </c>
    </row>
    <row r="19" ht="11.25" customHeight="1">
      <c r="B19" s="119" t="inlineStr">
        <is>
          <t>10 decile</t>
        </is>
      </c>
      <c r="C19" s="119" t="n">
        <v>10</v>
      </c>
      <c r="D19" s="119" t="inlineStr">
        <is>
          <t>Smallest</t>
        </is>
      </c>
      <c r="E19" s="924" t="n">
        <v>3</v>
      </c>
      <c r="F19" s="924" t="n"/>
      <c r="G19" s="924" t="n">
        <v>366</v>
      </c>
      <c r="H19" s="119" t="n"/>
      <c r="I19" s="925" t="n">
        <v>0.06</v>
      </c>
    </row>
    <row r="20" ht="15" customHeight="1" thickBot="1">
      <c r="B20" s="108" t="n"/>
      <c r="C20" s="122" t="n"/>
      <c r="D20" s="122" t="n"/>
      <c r="E20" s="926" t="n"/>
      <c r="F20" s="926" t="n"/>
      <c r="G20" s="926" t="n"/>
      <c r="H20" s="122" t="n"/>
      <c r="I20" s="927" t="n"/>
    </row>
    <row r="21" outlineLevel="1" ht="11.25" customHeight="1">
      <c r="B21" s="108" t="n"/>
      <c r="C21" s="121" t="inlineStr">
        <is>
          <t>Breakdown of 10th decile</t>
        </is>
      </c>
      <c r="D21" s="119" t="n"/>
      <c r="E21" s="924" t="n"/>
      <c r="F21" s="924" t="n"/>
      <c r="G21" s="924" t="n"/>
      <c r="H21" s="119" t="n"/>
      <c r="I21" s="925" t="n"/>
    </row>
    <row r="22" outlineLevel="1" ht="11.25" customHeight="1">
      <c r="B22" s="119" t="inlineStr">
        <is>
          <t>10a sub-decile</t>
        </is>
      </c>
      <c r="C22" s="119" t="inlineStr">
        <is>
          <t>10a</t>
        </is>
      </c>
      <c r="D22" s="119" t="n"/>
      <c r="E22" s="924" t="n">
        <v>127.296</v>
      </c>
      <c r="F22" s="924" t="n"/>
      <c r="G22" s="924" t="n">
        <v>262.891</v>
      </c>
      <c r="H22" s="119" t="n"/>
      <c r="I22" s="925" t="n">
        <v>0.0409</v>
      </c>
    </row>
    <row r="23" outlineLevel="1" ht="11.25" customHeight="1">
      <c r="B23" s="119" t="inlineStr">
        <is>
          <t>10b sub-decile</t>
        </is>
      </c>
      <c r="C23" s="119" t="inlineStr">
        <is>
          <t>10b</t>
        </is>
      </c>
      <c r="D23" s="119" t="n"/>
      <c r="E23" s="924" t="n">
        <v>2.516</v>
      </c>
      <c r="F23" s="924" t="n"/>
      <c r="G23" s="924" t="n">
        <v>127.279</v>
      </c>
      <c r="H23" s="119" t="n"/>
      <c r="I23" s="925" t="n">
        <v>0.0864</v>
      </c>
    </row>
    <row r="24" outlineLevel="1" ht="15" customHeight="1" thickBot="1">
      <c r="B24" s="108" t="n"/>
      <c r="C24" s="928" t="n">
        <v>0</v>
      </c>
      <c r="D24" s="928" t="n">
        <v>0</v>
      </c>
      <c r="E24" s="928" t="n">
        <v>0</v>
      </c>
      <c r="F24" s="928" t="n">
        <v>0</v>
      </c>
      <c r="G24" s="928" t="n">
        <v>0</v>
      </c>
      <c r="H24" s="928" t="n">
        <v>0</v>
      </c>
      <c r="I24" s="928" t="n">
        <v>0</v>
      </c>
    </row>
    <row r="25" ht="11.25" customHeight="1">
      <c r="B25" s="108" t="n"/>
      <c r="C25" s="126" t="inlineStr">
        <is>
          <t>Source: Deloitte size premium methodology</t>
        </is>
      </c>
      <c r="D25" s="108" t="n"/>
      <c r="E25" s="108" t="n"/>
      <c r="F25" s="108" t="n"/>
      <c r="G25" s="108" t="n"/>
      <c r="H25" s="108" t="n"/>
      <c r="I25" s="108" t="n"/>
    </row>
    <row r="26">
      <c r="B26" s="127" t="n"/>
      <c r="C26" s="127" t="n"/>
      <c r="D26" s="127" t="n"/>
      <c r="E26" s="127" t="n"/>
      <c r="F26" s="127" t="n"/>
      <c r="G26" s="127" t="n"/>
      <c r="H26" s="127" t="n"/>
      <c r="I26" s="127" t="n"/>
    </row>
    <row r="28">
      <c r="B28" s="128" t="n"/>
      <c r="C28" s="128" t="n"/>
      <c r="D28" s="128" t="n"/>
      <c r="E28" s="128" t="n"/>
      <c r="F28" s="128" t="n"/>
      <c r="G28" s="128" t="n"/>
      <c r="H28" s="128" t="n"/>
      <c r="I28" s="128" t="n"/>
    </row>
    <row r="29" hidden="1" outlineLevel="1">
      <c r="B29" s="108" t="n"/>
      <c r="C29" s="108" t="inlineStr">
        <is>
          <t>DO NOT DELETE</t>
        </is>
      </c>
      <c r="D29" s="108" t="n"/>
      <c r="E29" s="108" t="n"/>
      <c r="F29" s="108" t="n"/>
      <c r="G29" s="108" t="n"/>
      <c r="H29" s="108" t="n"/>
      <c r="I29" s="108" t="n"/>
    </row>
    <row r="30" hidden="1" outlineLevel="1">
      <c r="B30" s="128" t="n"/>
      <c r="C30" s="117" t="inlineStr">
        <is>
          <t>3-5 average</t>
        </is>
      </c>
      <c r="D30" s="108" t="n"/>
      <c r="E30" s="108" t="n"/>
      <c r="F30" s="108" t="n"/>
      <c r="G30" s="108" t="n"/>
      <c r="H30" s="108" t="n"/>
      <c r="I30" s="108" t="n"/>
    </row>
    <row r="31" hidden="1" outlineLevel="1">
      <c r="C31" s="117" t="inlineStr">
        <is>
          <t>6-8 average</t>
        </is>
      </c>
    </row>
    <row r="32" hidden="1" outlineLevel="1">
      <c r="C32" s="117" t="inlineStr">
        <is>
          <t>9-10 average</t>
        </is>
      </c>
    </row>
    <row r="33" hidden="1" outlineLevel="1">
      <c r="C33" s="119" t="inlineStr">
        <is>
          <t>1 decile</t>
        </is>
      </c>
    </row>
    <row r="34" hidden="1" outlineLevel="1">
      <c r="C34" s="119" t="inlineStr">
        <is>
          <t>2 decile</t>
        </is>
      </c>
    </row>
    <row r="35" hidden="1" outlineLevel="1">
      <c r="C35" s="119" t="inlineStr">
        <is>
          <t>3 decile</t>
        </is>
      </c>
    </row>
    <row r="36" hidden="1" outlineLevel="1">
      <c r="C36" s="119" t="inlineStr">
        <is>
          <t>4 decile</t>
        </is>
      </c>
    </row>
    <row r="37" hidden="1" outlineLevel="1">
      <c r="C37" s="119" t="inlineStr">
        <is>
          <t>5 decile</t>
        </is>
      </c>
    </row>
    <row r="38" hidden="1" outlineLevel="1">
      <c r="C38" s="119" t="inlineStr">
        <is>
          <t>6 decile</t>
        </is>
      </c>
    </row>
    <row r="39" hidden="1" outlineLevel="1">
      <c r="C39" s="119" t="inlineStr">
        <is>
          <t>7 decile</t>
        </is>
      </c>
    </row>
    <row r="40" hidden="1" outlineLevel="1">
      <c r="C40" s="119" t="inlineStr">
        <is>
          <t>8 decile</t>
        </is>
      </c>
    </row>
    <row r="41" hidden="1" outlineLevel="1">
      <c r="C41" s="119" t="inlineStr">
        <is>
          <t>9 decile</t>
        </is>
      </c>
    </row>
    <row r="42" hidden="1" outlineLevel="1">
      <c r="C42" s="119" t="inlineStr">
        <is>
          <t>10 decile</t>
        </is>
      </c>
    </row>
    <row r="43" hidden="1" outlineLevel="1">
      <c r="C43" s="119" t="inlineStr">
        <is>
          <t>10a sub-decile</t>
        </is>
      </c>
    </row>
    <row r="44" hidden="1" outlineLevel="1">
      <c r="C44" s="119" t="inlineStr">
        <is>
          <t>10b sub-decile</t>
        </is>
      </c>
    </row>
    <row r="45" hidden="1" outlineLevel="1">
      <c r="C45" s="108" t="n"/>
    </row>
    <row r="46" collapsed="1">
      <c r="C46" s="108" t="n"/>
    </row>
    <row r="48">
      <c r="M48" s="129" t="n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4" tint="0.7999816888943144"/>
    <outlinePr summaryBelow="1" summaryRight="1"/>
    <pageSetUpPr/>
  </sheetPr>
  <dimension ref="A1:P106"/>
  <sheetViews>
    <sheetView showGridLines="0" workbookViewId="0">
      <selection activeCell="F24" sqref="F24"/>
    </sheetView>
  </sheetViews>
  <sheetFormatPr baseColWidth="8" defaultColWidth="9.109375" defaultRowHeight="15.6"/>
  <cols>
    <col width="39.88671875" customWidth="1" style="471" min="1" max="1"/>
    <col width="20.109375" customWidth="1" style="436" min="2" max="2"/>
    <col width="12.6640625" customWidth="1" style="436" min="3" max="3"/>
    <col width="15.88671875" customWidth="1" style="436" min="4" max="4"/>
    <col width="12.5546875" customWidth="1" style="436" min="5" max="5"/>
    <col width="19" customWidth="1" style="436" min="6" max="6"/>
    <col width="20.109375" customWidth="1" style="436" min="7" max="7"/>
    <col width="37.109375" customWidth="1" style="436" min="8" max="8"/>
    <col width="13.33203125" customWidth="1" style="436" min="9" max="9"/>
    <col width="31.88671875" customWidth="1" style="436" min="10" max="10"/>
    <col width="54.44140625" customWidth="1" style="436" min="11" max="11"/>
    <col width="12.5546875" customWidth="1" style="436" min="12" max="256"/>
    <col width="9.109375" customWidth="1" style="436" min="257" max="16384"/>
  </cols>
  <sheetData>
    <row r="1" ht="15.75" customHeight="1">
      <c r="A1" s="435" t="inlineStr">
        <is>
          <t>Date updated:</t>
        </is>
      </c>
      <c r="B1" s="641" t="n">
        <v>45296</v>
      </c>
      <c r="C1" s="642" t="n"/>
      <c r="D1" s="642" t="n"/>
      <c r="E1" s="642" t="n"/>
      <c r="F1" s="642" t="n"/>
      <c r="G1" s="643" t="n"/>
      <c r="H1" s="644" t="inlineStr">
        <is>
          <t>YouTube Video explaining estimation choices and process.</t>
        </is>
      </c>
    </row>
    <row r="2">
      <c r="A2" s="437" t="inlineStr">
        <is>
          <t>Created by:</t>
        </is>
      </c>
      <c r="B2" s="647" t="inlineStr">
        <is>
          <t>Aswath Damodaran, adamodar@stern.nyu.edu</t>
        </is>
      </c>
      <c r="C2" s="648" t="n"/>
      <c r="D2" s="648" t="n"/>
      <c r="E2" s="648" t="n"/>
      <c r="F2" s="648" t="n"/>
      <c r="G2" s="649" t="n"/>
      <c r="H2" s="645" t="n"/>
    </row>
    <row r="3">
      <c r="A3" s="437" t="inlineStr">
        <is>
          <t>What is this data?</t>
        </is>
      </c>
      <c r="B3" s="650" t="inlineStr">
        <is>
          <t>Beta, Unlevered beta and other risk measures</t>
        </is>
      </c>
      <c r="C3" s="651" t="n"/>
      <c r="D3" s="651" t="n"/>
      <c r="E3" s="652" t="n"/>
      <c r="F3" s="650" t="inlineStr">
        <is>
          <t>Western Europe</t>
        </is>
      </c>
      <c r="G3" s="653" t="n"/>
      <c r="H3" s="645" t="n"/>
      <c r="I3" s="438" t="n"/>
      <c r="J3" s="438" t="n"/>
    </row>
    <row r="4">
      <c r="A4" s="437" t="inlineStr">
        <is>
          <t>Home Page:</t>
        </is>
      </c>
      <c r="B4" s="654" t="inlineStr">
        <is>
          <t>http://www.damodaran.com</t>
        </is>
      </c>
      <c r="C4" s="655" t="n"/>
      <c r="D4" s="655" t="n"/>
      <c r="E4" s="655" t="n"/>
      <c r="F4" s="655" t="n"/>
      <c r="G4" s="656" t="n"/>
      <c r="H4" s="645" t="n"/>
    </row>
    <row r="5">
      <c r="A5" s="437" t="inlineStr">
        <is>
          <t>Data website:</t>
        </is>
      </c>
      <c r="B5" s="657" t="inlineStr">
        <is>
          <t>https://pages.stern.nyu.edu/~adamodar/New_Home_Page/data.html</t>
        </is>
      </c>
      <c r="C5" s="658" t="n"/>
      <c r="D5" s="658" t="n"/>
      <c r="E5" s="658" t="n"/>
      <c r="F5" s="658" t="n"/>
      <c r="G5" s="659" t="n"/>
      <c r="H5" s="645" t="n"/>
    </row>
    <row r="6" customFormat="1" s="439">
      <c r="A6" s="437" t="inlineStr">
        <is>
          <t>Companies in each industry:</t>
        </is>
      </c>
      <c r="B6" s="647" t="inlineStr">
        <is>
          <t>https://pages.stern.nyu.edu/~adamodar/pc/datasets/indname.xls</t>
        </is>
      </c>
      <c r="C6" s="648" t="n"/>
      <c r="D6" s="648" t="n"/>
      <c r="E6" s="648" t="n"/>
      <c r="F6" s="648" t="n"/>
      <c r="G6" s="649" t="n"/>
      <c r="H6" s="645" t="n"/>
    </row>
    <row r="7">
      <c r="A7" s="440" t="inlineStr">
        <is>
          <t>Variable definitions:</t>
        </is>
      </c>
      <c r="B7" s="660" t="inlineStr">
        <is>
          <t>https://pages.stern.nyu.edu/~adamodar/New_Home_Page/datafile/variable.htm</t>
        </is>
      </c>
      <c r="C7" s="661" t="n"/>
      <c r="D7" s="661" t="n"/>
      <c r="E7" s="661" t="n"/>
      <c r="F7" s="661" t="n"/>
      <c r="G7" s="662" t="n"/>
      <c r="H7" s="646" t="n"/>
    </row>
    <row r="8" ht="16.2" customHeight="1" thickBot="1">
      <c r="A8" s="436" t="inlineStr">
        <is>
          <t>Do you want to use marginal or effective tax rates in unlevering betas?</t>
        </is>
      </c>
      <c r="B8" s="441" t="n"/>
      <c r="C8" s="442" t="n"/>
      <c r="D8" s="441" t="n"/>
      <c r="E8" s="441" t="n"/>
      <c r="F8" s="443" t="inlineStr">
        <is>
          <t>Marginal</t>
        </is>
      </c>
      <c r="G8" s="441" t="n"/>
      <c r="H8" s="441" t="n"/>
      <c r="K8" s="444" t="n"/>
    </row>
    <row r="9" ht="16.2" customHeight="1" thickBot="1">
      <c r="A9" s="436" t="inlineStr">
        <is>
          <t>If marginal tax rate, enter the marginal tax rate to use</t>
        </is>
      </c>
      <c r="B9" s="441" t="n"/>
      <c r="C9" s="442" t="n"/>
      <c r="D9" s="441" t="n"/>
      <c r="E9" s="441" t="n"/>
      <c r="F9" s="445" t="n">
        <v>0.2471</v>
      </c>
      <c r="G9" s="441" t="n"/>
      <c r="H9" s="441" t="n"/>
      <c r="K9" s="444" t="n"/>
      <c r="L9" s="638" t="inlineStr">
        <is>
          <t>Beta over time</t>
        </is>
      </c>
      <c r="M9" s="639" t="n"/>
      <c r="N9" s="639" t="n"/>
      <c r="O9" s="639" t="n"/>
      <c r="P9" s="640" t="n"/>
    </row>
    <row r="10" ht="26.4" customHeight="1">
      <c r="A10" s="446" t="inlineStr">
        <is>
          <t>Industry Name</t>
        </is>
      </c>
      <c r="B10" s="447" t="inlineStr">
        <is>
          <t>Number of firms</t>
        </is>
      </c>
      <c r="C10" s="448" t="inlineStr">
        <is>
          <t xml:space="preserve">Beta </t>
        </is>
      </c>
      <c r="D10" s="447" t="inlineStr">
        <is>
          <t>D/E Ratio</t>
        </is>
      </c>
      <c r="E10" s="447" t="inlineStr">
        <is>
          <t>Effective Tax rate</t>
        </is>
      </c>
      <c r="F10" s="449" t="inlineStr">
        <is>
          <t>Unlevered beta</t>
        </is>
      </c>
      <c r="G10" s="450" t="inlineStr">
        <is>
          <t>Cash/Firm value</t>
        </is>
      </c>
      <c r="H10" s="449" t="inlineStr">
        <is>
          <t>Unlevered beta corrected for cash</t>
        </is>
      </c>
      <c r="I10" s="450" t="inlineStr">
        <is>
          <t>HiLo Risk</t>
        </is>
      </c>
      <c r="J10" s="449" t="inlineStr">
        <is>
          <t>Standard deviation of equity</t>
        </is>
      </c>
      <c r="K10" s="451" t="inlineStr">
        <is>
          <t>Standard deviation in operating income (last 10 years)</t>
        </is>
      </c>
      <c r="L10" s="449" t="n">
        <v>2020</v>
      </c>
      <c r="M10" s="449" t="n">
        <v>2021</v>
      </c>
      <c r="N10" s="449" t="n">
        <v>2022</v>
      </c>
      <c r="O10" s="449" t="n">
        <v>2022</v>
      </c>
      <c r="P10" s="452" t="inlineStr">
        <is>
          <t>Average: 2020-24</t>
        </is>
      </c>
    </row>
    <row r="11">
      <c r="A11" s="453" t="inlineStr">
        <is>
          <t>Advertising</t>
        </is>
      </c>
      <c r="B11" s="454" t="n">
        <v>89</v>
      </c>
      <c r="C11" s="455" t="n">
        <v>1.01</v>
      </c>
      <c r="D11" s="456" t="n">
        <v>0.4636</v>
      </c>
      <c r="E11" s="456" t="n">
        <v>0.137</v>
      </c>
      <c r="F11" s="457" t="n">
        <v>0.75</v>
      </c>
      <c r="G11" s="458" t="n">
        <v>0.1136</v>
      </c>
      <c r="H11" s="457" t="n">
        <v>0.84</v>
      </c>
      <c r="I11" s="929" t="n">
        <v>0.3761</v>
      </c>
      <c r="J11" s="460" t="n">
        <v>0.3516</v>
      </c>
      <c r="K11" s="461" t="n">
        <v>0.4586</v>
      </c>
      <c r="L11" s="462" t="n">
        <v>0.68</v>
      </c>
      <c r="M11" s="463" t="n">
        <v>0.73</v>
      </c>
      <c r="N11" s="464" t="n">
        <v>0.83</v>
      </c>
      <c r="O11" s="442" t="n">
        <v>0.9</v>
      </c>
      <c r="P11" s="465" t="n">
        <v>0.8</v>
      </c>
    </row>
    <row r="12">
      <c r="A12" s="453" t="inlineStr">
        <is>
          <t>Aerospace/Defense</t>
        </is>
      </c>
      <c r="B12" s="454" t="n">
        <v>61</v>
      </c>
      <c r="C12" s="455" t="n">
        <v>0.9</v>
      </c>
      <c r="D12" s="456" t="n">
        <v>0.1534</v>
      </c>
      <c r="E12" s="456" t="n">
        <v>0.1274</v>
      </c>
      <c r="F12" s="457" t="n">
        <v>0.8100000000000001</v>
      </c>
      <c r="G12" s="458" t="n">
        <v>0.0848</v>
      </c>
      <c r="H12" s="457" t="n">
        <v>0.89</v>
      </c>
      <c r="I12" s="929" t="n">
        <v>0.3362</v>
      </c>
      <c r="J12" s="460" t="n">
        <v>0.3553</v>
      </c>
      <c r="K12" s="461" t="n">
        <v>0.2074</v>
      </c>
      <c r="L12" s="466" t="n">
        <v>1.2</v>
      </c>
      <c r="M12" s="463" t="n">
        <v>1.07</v>
      </c>
      <c r="N12" s="464" t="n">
        <v>1.14</v>
      </c>
      <c r="O12" s="442" t="n">
        <v>0.9</v>
      </c>
      <c r="P12" s="465" t="n">
        <v>1.04</v>
      </c>
    </row>
    <row r="13">
      <c r="A13" s="453" t="inlineStr">
        <is>
          <t>Air Transport</t>
        </is>
      </c>
      <c r="B13" s="454" t="n">
        <v>34</v>
      </c>
      <c r="C13" s="455" t="n">
        <v>1.34</v>
      </c>
      <c r="D13" s="456" t="n">
        <v>0.9066</v>
      </c>
      <c r="E13" s="456" t="n">
        <v>0.1561</v>
      </c>
      <c r="F13" s="457" t="n">
        <v>0.8</v>
      </c>
      <c r="G13" s="458" t="n">
        <v>0.1151</v>
      </c>
      <c r="H13" s="457" t="n">
        <v>0.9</v>
      </c>
      <c r="I13" s="929" t="n">
        <v>0.3343</v>
      </c>
      <c r="J13" s="460" t="n">
        <v>0.3073</v>
      </c>
      <c r="K13" s="461" t="n">
        <v>1.9269</v>
      </c>
      <c r="L13" s="462" t="n">
        <v>0.67</v>
      </c>
      <c r="M13" s="463" t="n">
        <v>0.96</v>
      </c>
      <c r="N13" s="464" t="n">
        <v>1</v>
      </c>
      <c r="O13" s="442" t="n">
        <v>0.78</v>
      </c>
      <c r="P13" s="465" t="n">
        <v>0.86</v>
      </c>
    </row>
    <row r="14">
      <c r="A14" s="453" t="inlineStr">
        <is>
          <t>Apparel</t>
        </is>
      </c>
      <c r="B14" s="454" t="n">
        <v>110</v>
      </c>
      <c r="C14" s="455" t="n">
        <v>1</v>
      </c>
      <c r="D14" s="456" t="n">
        <v>0.1418</v>
      </c>
      <c r="E14" s="456" t="n">
        <v>0.1419</v>
      </c>
      <c r="F14" s="457" t="n">
        <v>0.91</v>
      </c>
      <c r="G14" s="458" t="n">
        <v>0.0387</v>
      </c>
      <c r="H14" s="457" t="n">
        <v>0.9399999999999999</v>
      </c>
      <c r="I14" s="929" t="n">
        <v>0.3405</v>
      </c>
      <c r="J14" s="460" t="n">
        <v>0.3143</v>
      </c>
      <c r="K14" s="461" t="n">
        <v>0.3916</v>
      </c>
      <c r="L14" s="466" t="n">
        <v>0.92</v>
      </c>
      <c r="M14" s="463" t="n">
        <v>1.04</v>
      </c>
      <c r="N14" s="464" t="n">
        <v>1.07</v>
      </c>
      <c r="O14" s="442" t="n">
        <v>1.03</v>
      </c>
      <c r="P14" s="465" t="n">
        <v>1</v>
      </c>
    </row>
    <row r="15">
      <c r="A15" s="453" t="inlineStr">
        <is>
          <t>Auto &amp; Truck</t>
        </is>
      </c>
      <c r="B15" s="454" t="n">
        <v>31</v>
      </c>
      <c r="C15" s="455" t="n">
        <v>1.4</v>
      </c>
      <c r="D15" s="456" t="n">
        <v>1.0539</v>
      </c>
      <c r="E15" s="456" t="n">
        <v>0.0963</v>
      </c>
      <c r="F15" s="457" t="n">
        <v>0.78</v>
      </c>
      <c r="G15" s="458" t="n">
        <v>0.1796</v>
      </c>
      <c r="H15" s="457" t="n">
        <v>0.95</v>
      </c>
      <c r="I15" s="929" t="n">
        <v>0.3792</v>
      </c>
      <c r="J15" s="460" t="n">
        <v>0.3558</v>
      </c>
      <c r="K15" s="461" t="n">
        <v>0.4067</v>
      </c>
      <c r="L15" s="462" t="n">
        <v>0.8</v>
      </c>
      <c r="M15" s="463" t="n">
        <v>0.6899999999999999</v>
      </c>
      <c r="N15" s="464" t="n">
        <v>0.74</v>
      </c>
      <c r="O15" s="442" t="n">
        <v>0.86</v>
      </c>
      <c r="P15" s="465" t="n">
        <v>0.8100000000000001</v>
      </c>
    </row>
    <row r="16">
      <c r="A16" s="453" t="inlineStr">
        <is>
          <t>Auto Parts</t>
        </is>
      </c>
      <c r="B16" s="454" t="n">
        <v>59</v>
      </c>
      <c r="C16" s="455" t="n">
        <v>1.4</v>
      </c>
      <c r="D16" s="456" t="n">
        <v>0.6198</v>
      </c>
      <c r="E16" s="456" t="n">
        <v>0.1796</v>
      </c>
      <c r="F16" s="457" t="n">
        <v>0.96</v>
      </c>
      <c r="G16" s="458" t="n">
        <v>0.1126</v>
      </c>
      <c r="H16" s="457" t="n">
        <v>1.08</v>
      </c>
      <c r="I16" s="929" t="n">
        <v>0.3465</v>
      </c>
      <c r="J16" s="460" t="n">
        <v>0.3069</v>
      </c>
      <c r="K16" s="461" t="n">
        <v>0.2987</v>
      </c>
      <c r="L16" s="466" t="n">
        <v>1.3</v>
      </c>
      <c r="M16" s="463" t="n">
        <v>1.17</v>
      </c>
      <c r="N16" s="464" t="n">
        <v>1.29</v>
      </c>
      <c r="O16" s="442" t="n">
        <v>1.18</v>
      </c>
      <c r="P16" s="465" t="n">
        <v>1.2</v>
      </c>
    </row>
    <row r="17">
      <c r="A17" s="453" t="inlineStr">
        <is>
          <t>Bank (Money Center)</t>
        </is>
      </c>
      <c r="B17" s="454" t="n">
        <v>112</v>
      </c>
      <c r="C17" s="455" t="n">
        <v>1.22</v>
      </c>
      <c r="D17" s="456" t="n">
        <v>5.6157</v>
      </c>
      <c r="E17" s="456" t="n">
        <v>0.2354</v>
      </c>
      <c r="F17" s="457" t="n">
        <v>0.23</v>
      </c>
      <c r="G17" s="458" t="n">
        <v>0.3626</v>
      </c>
      <c r="H17" s="457" t="n">
        <v>0.36</v>
      </c>
      <c r="I17" s="929" t="n">
        <v>0.245</v>
      </c>
      <c r="J17" s="460" t="n">
        <v>0.2536</v>
      </c>
      <c r="K17" s="461" t="n">
        <v>1.5391</v>
      </c>
      <c r="L17" s="462" t="n">
        <v>0.32</v>
      </c>
      <c r="M17" s="463" t="n">
        <v>0.28</v>
      </c>
      <c r="N17" s="464" t="n">
        <v>0.42</v>
      </c>
      <c r="O17" s="442" t="n">
        <v>0.37</v>
      </c>
      <c r="P17" s="465" t="n">
        <v>0.35</v>
      </c>
    </row>
    <row r="18">
      <c r="A18" s="453" t="inlineStr">
        <is>
          <t>Banks (Regional)</t>
        </is>
      </c>
      <c r="B18" s="454" t="n">
        <v>72</v>
      </c>
      <c r="C18" s="455" t="n">
        <v>0.47</v>
      </c>
      <c r="D18" s="456" t="n">
        <v>2.8756</v>
      </c>
      <c r="E18" s="456" t="n">
        <v>0.1877</v>
      </c>
      <c r="F18" s="457" t="n">
        <v>0.15</v>
      </c>
      <c r="G18" s="458" t="n">
        <v>0.3019</v>
      </c>
      <c r="H18" s="457" t="n">
        <v>0.21</v>
      </c>
      <c r="I18" s="929" t="n">
        <v>0.1142</v>
      </c>
      <c r="J18" s="460" t="n">
        <v>0.1328</v>
      </c>
      <c r="K18" s="461" t="inlineStr">
        <is>
          <t>NA</t>
        </is>
      </c>
      <c r="L18" s="466" t="n">
        <v>0.2</v>
      </c>
      <c r="M18" s="463" t="n">
        <v>0.23</v>
      </c>
      <c r="N18" s="464" t="n">
        <v>0.29</v>
      </c>
      <c r="O18" s="442" t="n">
        <v>0.24</v>
      </c>
      <c r="P18" s="465" t="n">
        <v>0.23</v>
      </c>
    </row>
    <row r="19">
      <c r="A19" s="453" t="inlineStr">
        <is>
          <t>Beverage (Alcoholic)</t>
        </is>
      </c>
      <c r="B19" s="454" t="n">
        <v>55</v>
      </c>
      <c r="C19" s="455" t="n">
        <v>0.59</v>
      </c>
      <c r="D19" s="456" t="n">
        <v>0.4501</v>
      </c>
      <c r="E19" s="456" t="n">
        <v>0.1803</v>
      </c>
      <c r="F19" s="457" t="n">
        <v>0.44</v>
      </c>
      <c r="G19" s="458" t="n">
        <v>0.0235</v>
      </c>
      <c r="H19" s="457" t="n">
        <v>0.45</v>
      </c>
      <c r="I19" s="929" t="n">
        <v>0.2512</v>
      </c>
      <c r="J19" s="460" t="n">
        <v>0.2635</v>
      </c>
      <c r="K19" s="461" t="n">
        <v>0.1085</v>
      </c>
      <c r="L19" s="462" t="n">
        <v>0.45</v>
      </c>
      <c r="M19" s="463" t="n">
        <v>0.47</v>
      </c>
      <c r="N19" s="464" t="n">
        <v>0.52</v>
      </c>
      <c r="O19" s="442" t="n">
        <v>0.51</v>
      </c>
      <c r="P19" s="465" t="n">
        <v>0.48</v>
      </c>
    </row>
    <row r="20">
      <c r="A20" s="453" t="inlineStr">
        <is>
          <t>Beverage (Soft)</t>
        </is>
      </c>
      <c r="B20" s="454" t="n">
        <v>15</v>
      </c>
      <c r="C20" s="455" t="n">
        <v>0.71</v>
      </c>
      <c r="D20" s="456" t="n">
        <v>0.3624</v>
      </c>
      <c r="E20" s="456" t="n">
        <v>0.197</v>
      </c>
      <c r="F20" s="457" t="n">
        <v>0.5600000000000001</v>
      </c>
      <c r="G20" s="458" t="n">
        <v>0.0496</v>
      </c>
      <c r="H20" s="457" t="n">
        <v>0.58</v>
      </c>
      <c r="I20" s="929" t="n">
        <v>0.2179</v>
      </c>
      <c r="J20" s="460" t="n">
        <v>0.2372</v>
      </c>
      <c r="K20" s="461" t="n">
        <v>0.2535</v>
      </c>
      <c r="L20" s="466" t="n">
        <v>0.52</v>
      </c>
      <c r="M20" s="463" t="n">
        <v>0.65</v>
      </c>
      <c r="N20" s="464" t="n">
        <v>0.68</v>
      </c>
      <c r="O20" s="442" t="n">
        <v>0.71</v>
      </c>
      <c r="P20" s="465" t="n">
        <v>0.63</v>
      </c>
    </row>
    <row r="21">
      <c r="A21" s="453" t="inlineStr">
        <is>
          <t>Broadcasting</t>
        </is>
      </c>
      <c r="B21" s="454" t="n">
        <v>22</v>
      </c>
      <c r="C21" s="455" t="n">
        <v>0.93</v>
      </c>
      <c r="D21" s="456" t="n">
        <v>0.4459</v>
      </c>
      <c r="E21" s="456" t="n">
        <v>0.184</v>
      </c>
      <c r="F21" s="457" t="n">
        <v>0.6899999999999999</v>
      </c>
      <c r="G21" s="458" t="n">
        <v>0.1042</v>
      </c>
      <c r="H21" s="457" t="n">
        <v>0.78</v>
      </c>
      <c r="I21" s="929" t="n">
        <v>0.2826</v>
      </c>
      <c r="J21" s="460" t="n">
        <v>0.2252</v>
      </c>
      <c r="K21" s="461" t="n">
        <v>0.1447</v>
      </c>
      <c r="L21" s="462" t="n">
        <v>1.03</v>
      </c>
      <c r="M21" s="463" t="n">
        <v>0.75</v>
      </c>
      <c r="N21" s="464" t="n">
        <v>0.82</v>
      </c>
      <c r="O21" s="442" t="n">
        <v>0.8</v>
      </c>
      <c r="P21" s="465" t="n">
        <v>0.84</v>
      </c>
    </row>
    <row r="22">
      <c r="A22" s="453" t="inlineStr">
        <is>
          <t>Brokerage &amp; Investment Banking</t>
        </is>
      </c>
      <c r="B22" s="454" t="n">
        <v>74</v>
      </c>
      <c r="C22" s="455" t="n">
        <v>0.87</v>
      </c>
      <c r="D22" s="456" t="n">
        <v>0.6876</v>
      </c>
      <c r="E22" s="456" t="n">
        <v>0.1519</v>
      </c>
      <c r="F22" s="457" t="n">
        <v>0.57</v>
      </c>
      <c r="G22" s="458" t="n">
        <v>0.2413</v>
      </c>
      <c r="H22" s="457" t="n">
        <v>0.76</v>
      </c>
      <c r="I22" s="929" t="n">
        <v>0.3178</v>
      </c>
      <c r="J22" s="460" t="n">
        <v>0.2926</v>
      </c>
      <c r="K22" s="461" t="n">
        <v>0.8203</v>
      </c>
      <c r="L22" s="466" t="n">
        <v>0.95</v>
      </c>
      <c r="M22" s="463" t="n">
        <v>0.73</v>
      </c>
      <c r="N22" s="464" t="n">
        <v>0.9</v>
      </c>
      <c r="O22" s="442" t="n">
        <v>0.7</v>
      </c>
      <c r="P22" s="465" t="n">
        <v>0.8100000000000001</v>
      </c>
    </row>
    <row r="23">
      <c r="A23" s="453" t="inlineStr">
        <is>
          <t>Building Materials</t>
        </is>
      </c>
      <c r="B23" s="454" t="n">
        <v>89</v>
      </c>
      <c r="C23" s="455" t="n">
        <v>1.07</v>
      </c>
      <c r="D23" s="456" t="n">
        <v>0.2053</v>
      </c>
      <c r="E23" s="456" t="n">
        <v>0.1465</v>
      </c>
      <c r="F23" s="457" t="n">
        <v>0.93</v>
      </c>
      <c r="G23" s="458" t="n">
        <v>0.0385</v>
      </c>
      <c r="H23" s="457" t="n">
        <v>0.96</v>
      </c>
      <c r="I23" s="929" t="n">
        <v>0.329</v>
      </c>
      <c r="J23" s="460" t="n">
        <v>0.2981</v>
      </c>
      <c r="K23" s="461" t="n">
        <v>0.2035</v>
      </c>
      <c r="L23" s="462" t="n">
        <v>0.87</v>
      </c>
      <c r="M23" s="463" t="n">
        <v>0.83</v>
      </c>
      <c r="N23" s="464" t="n">
        <v>0.9399999999999999</v>
      </c>
      <c r="O23" s="442" t="n">
        <v>1.04</v>
      </c>
      <c r="P23" s="465" t="n">
        <v>0.93</v>
      </c>
    </row>
    <row r="24">
      <c r="A24" s="453" t="inlineStr">
        <is>
          <t>Business &amp; Consumer Services</t>
        </is>
      </c>
      <c r="B24" s="454" t="n">
        <v>194</v>
      </c>
      <c r="C24" s="455" t="n">
        <v>1.01</v>
      </c>
      <c r="D24" s="456" t="n">
        <v>0.2704</v>
      </c>
      <c r="E24" s="456" t="n">
        <v>0.1638</v>
      </c>
      <c r="F24" s="457" t="n">
        <v>0.84</v>
      </c>
      <c r="G24" s="458" t="n">
        <v>0.0463</v>
      </c>
      <c r="H24" s="457" t="n">
        <v>0.88</v>
      </c>
      <c r="I24" s="929" t="n">
        <v>0.3199</v>
      </c>
      <c r="J24" s="460" t="n">
        <v>0.3074</v>
      </c>
      <c r="K24" s="461" t="n">
        <v>0.1836</v>
      </c>
      <c r="L24" s="466" t="n">
        <v>0.87</v>
      </c>
      <c r="M24" s="463" t="n">
        <v>0.85</v>
      </c>
      <c r="N24" s="464" t="n">
        <v>0.97</v>
      </c>
      <c r="O24" s="442" t="n">
        <v>0.91</v>
      </c>
      <c r="P24" s="465" t="n">
        <v>0.9</v>
      </c>
    </row>
    <row r="25">
      <c r="A25" s="453" t="inlineStr">
        <is>
          <t>Cable TV</t>
        </is>
      </c>
      <c r="B25" s="454" t="n">
        <v>3</v>
      </c>
      <c r="C25" s="455" t="n">
        <v>0.78</v>
      </c>
      <c r="D25" s="456" t="n">
        <v>1.9683</v>
      </c>
      <c r="E25" s="456" t="n">
        <v>0.1606</v>
      </c>
      <c r="F25" s="457" t="n">
        <v>0.31</v>
      </c>
      <c r="G25" s="458" t="n">
        <v>0.1154</v>
      </c>
      <c r="H25" s="457" t="n">
        <v>0.35</v>
      </c>
      <c r="I25" s="929" t="n">
        <v>0.4582</v>
      </c>
      <c r="J25" s="460" t="n">
        <v>0.2834</v>
      </c>
      <c r="K25" s="461" t="n">
        <v>0.1741</v>
      </c>
      <c r="L25" s="462" t="n">
        <v>0.51</v>
      </c>
      <c r="M25" s="463" t="n">
        <v>0.54</v>
      </c>
      <c r="N25" s="464" t="n">
        <v>0.41</v>
      </c>
      <c r="O25" s="442" t="n">
        <v>0.33</v>
      </c>
      <c r="P25" s="465" t="n">
        <v>0.43</v>
      </c>
    </row>
    <row r="26">
      <c r="A26" s="453" t="inlineStr">
        <is>
          <t>Chemical (Basic)</t>
        </is>
      </c>
      <c r="B26" s="454" t="n">
        <v>61</v>
      </c>
      <c r="C26" s="455" t="n">
        <v>0.84</v>
      </c>
      <c r="D26" s="456" t="n">
        <v>0.4057</v>
      </c>
      <c r="E26" s="456" t="n">
        <v>0.0859</v>
      </c>
      <c r="F26" s="457" t="n">
        <v>0.64</v>
      </c>
      <c r="G26" s="458" t="n">
        <v>0.0741</v>
      </c>
      <c r="H26" s="457" t="n">
        <v>0.6899999999999999</v>
      </c>
      <c r="I26" s="929" t="n">
        <v>0.3837</v>
      </c>
      <c r="J26" s="460" t="n">
        <v>0.3333</v>
      </c>
      <c r="K26" s="461" t="n">
        <v>0.4541</v>
      </c>
      <c r="L26" s="466" t="n">
        <v>0.7</v>
      </c>
      <c r="M26" s="463" t="n">
        <v>0.75</v>
      </c>
      <c r="N26" s="464" t="n">
        <v>0.87</v>
      </c>
      <c r="O26" s="442" t="n">
        <v>0.9</v>
      </c>
      <c r="P26" s="465" t="n">
        <v>0.78</v>
      </c>
    </row>
    <row r="27">
      <c r="A27" s="453" t="inlineStr">
        <is>
          <t>Chemical (Diversified)</t>
        </is>
      </c>
      <c r="B27" s="454" t="n">
        <v>7</v>
      </c>
      <c r="C27" s="455" t="n">
        <v>1.11</v>
      </c>
      <c r="D27" s="456" t="n">
        <v>0.52</v>
      </c>
      <c r="E27" s="456" t="n">
        <v>0.0813</v>
      </c>
      <c r="F27" s="457" t="n">
        <v>0.8</v>
      </c>
      <c r="G27" s="458" t="n">
        <v>0.0588</v>
      </c>
      <c r="H27" s="457" t="n">
        <v>0.85</v>
      </c>
      <c r="I27" s="929" t="n">
        <v>0.2761</v>
      </c>
      <c r="J27" s="460" t="n">
        <v>0.2318</v>
      </c>
      <c r="K27" s="461" t="n">
        <v>0.2071</v>
      </c>
      <c r="L27" s="462" t="n">
        <v>1.44</v>
      </c>
      <c r="M27" s="463" t="n">
        <v>1.08</v>
      </c>
      <c r="N27" s="464" t="n">
        <v>1.03</v>
      </c>
      <c r="O27" s="442" t="n">
        <v>0.78</v>
      </c>
      <c r="P27" s="465" t="n">
        <v>1.04</v>
      </c>
    </row>
    <row r="28">
      <c r="A28" s="453" t="inlineStr">
        <is>
          <t>Chemical (Specialty)</t>
        </is>
      </c>
      <c r="B28" s="454" t="n">
        <v>102</v>
      </c>
      <c r="C28" s="455" t="n">
        <v>1.08</v>
      </c>
      <c r="D28" s="456" t="n">
        <v>0.1827</v>
      </c>
      <c r="E28" s="456" t="n">
        <v>0.1069</v>
      </c>
      <c r="F28" s="457" t="n">
        <v>0.95</v>
      </c>
      <c r="G28" s="458" t="n">
        <v>0.0353</v>
      </c>
      <c r="H28" s="457" t="n">
        <v>0.98</v>
      </c>
      <c r="I28" s="929" t="n">
        <v>0.4022</v>
      </c>
      <c r="J28" s="460" t="n">
        <v>0.3407</v>
      </c>
      <c r="K28" s="461" t="n">
        <v>0.2839</v>
      </c>
      <c r="L28" s="466" t="n">
        <v>1.07</v>
      </c>
      <c r="M28" s="463" t="n">
        <v>0.89</v>
      </c>
      <c r="N28" s="464" t="n">
        <v>0.91</v>
      </c>
      <c r="O28" s="442" t="n">
        <v>1.03</v>
      </c>
      <c r="P28" s="465" t="n">
        <v>0.98</v>
      </c>
    </row>
    <row r="29">
      <c r="A29" s="453" t="inlineStr">
        <is>
          <t>Coal &amp; Related Energy</t>
        </is>
      </c>
      <c r="B29" s="454" t="n">
        <v>16</v>
      </c>
      <c r="C29" s="455" t="n">
        <v>0.87</v>
      </c>
      <c r="D29" s="456" t="n">
        <v>0.1481</v>
      </c>
      <c r="E29" s="456" t="n">
        <v>0.0688</v>
      </c>
      <c r="F29" s="457" t="n">
        <v>0.78</v>
      </c>
      <c r="G29" s="458" t="n">
        <v>0.2738</v>
      </c>
      <c r="H29" s="457" t="n">
        <v>1.08</v>
      </c>
      <c r="I29" s="929" t="n">
        <v>0.5496</v>
      </c>
      <c r="J29" s="460" t="n">
        <v>0.505</v>
      </c>
      <c r="K29" s="461" t="n">
        <v>0.6872</v>
      </c>
      <c r="L29" s="462" t="n">
        <v>1.1</v>
      </c>
      <c r="M29" s="463" t="n">
        <v>1.19</v>
      </c>
      <c r="N29" s="464" t="n">
        <v>1.95</v>
      </c>
      <c r="O29" s="442" t="n">
        <v>1.4</v>
      </c>
      <c r="P29" s="465" t="n">
        <v>1.34</v>
      </c>
    </row>
    <row r="30">
      <c r="A30" s="453" t="inlineStr">
        <is>
          <t>Computer Services</t>
        </is>
      </c>
      <c r="B30" s="454" t="n">
        <v>226</v>
      </c>
      <c r="C30" s="455" t="n">
        <v>0.95</v>
      </c>
      <c r="D30" s="456" t="n">
        <v>0.1029</v>
      </c>
      <c r="E30" s="456" t="n">
        <v>0.163</v>
      </c>
      <c r="F30" s="457" t="n">
        <v>0.88</v>
      </c>
      <c r="G30" s="458" t="n">
        <v>0.0577</v>
      </c>
      <c r="H30" s="457" t="n">
        <v>0.9399999999999999</v>
      </c>
      <c r="I30" s="929" t="n">
        <v>0.3357</v>
      </c>
      <c r="J30" s="460" t="n">
        <v>0.2953</v>
      </c>
      <c r="K30" s="461" t="n">
        <v>0.2997</v>
      </c>
      <c r="L30" s="466" t="n">
        <v>0.99</v>
      </c>
      <c r="M30" s="463" t="n">
        <v>0.91</v>
      </c>
      <c r="N30" s="464" t="n">
        <v>0.97</v>
      </c>
      <c r="O30" s="442" t="n">
        <v>1</v>
      </c>
      <c r="P30" s="465" t="n">
        <v>0.96</v>
      </c>
    </row>
    <row r="31">
      <c r="A31" s="453" t="inlineStr">
        <is>
          <t>Computers/Peripherals</t>
        </is>
      </c>
      <c r="B31" s="454" t="n">
        <v>43</v>
      </c>
      <c r="C31" s="455" t="n">
        <v>1.09</v>
      </c>
      <c r="D31" s="456" t="n">
        <v>0.2059</v>
      </c>
      <c r="E31" s="456" t="n">
        <v>0.0775</v>
      </c>
      <c r="F31" s="457" t="n">
        <v>0.95</v>
      </c>
      <c r="G31" s="458" t="n">
        <v>0.0711</v>
      </c>
      <c r="H31" s="457" t="n">
        <v>1.02</v>
      </c>
      <c r="I31" s="929" t="n">
        <v>0.4143</v>
      </c>
      <c r="J31" s="460" t="n">
        <v>0.363</v>
      </c>
      <c r="K31" s="461" t="n">
        <v>0.2795</v>
      </c>
      <c r="L31" s="462" t="n">
        <v>1.38</v>
      </c>
      <c r="M31" s="463" t="n">
        <v>0.93</v>
      </c>
      <c r="N31" s="464" t="n">
        <v>0.99</v>
      </c>
      <c r="O31" s="442" t="n">
        <v>1.02</v>
      </c>
      <c r="P31" s="465" t="n">
        <v>1.07</v>
      </c>
    </row>
    <row r="32">
      <c r="A32" s="453" t="inlineStr">
        <is>
          <t>Construction Supplies</t>
        </is>
      </c>
      <c r="B32" s="454" t="n">
        <v>54</v>
      </c>
      <c r="C32" s="455" t="n">
        <v>0.75</v>
      </c>
      <c r="D32" s="456" t="n">
        <v>0.3419</v>
      </c>
      <c r="E32" s="456" t="n">
        <v>0.1398</v>
      </c>
      <c r="F32" s="457" t="n">
        <v>0.6</v>
      </c>
      <c r="G32" s="458" t="n">
        <v>0.0694</v>
      </c>
      <c r="H32" s="457" t="n">
        <v>0.64</v>
      </c>
      <c r="I32" s="929" t="n">
        <v>0.3864</v>
      </c>
      <c r="J32" s="460" t="n">
        <v>0.2976</v>
      </c>
      <c r="K32" s="461" t="n">
        <v>0.3201</v>
      </c>
      <c r="L32" s="466" t="n">
        <v>0.9399999999999999</v>
      </c>
      <c r="M32" s="463" t="n">
        <v>0.92</v>
      </c>
      <c r="N32" s="464" t="n">
        <v>0.95</v>
      </c>
      <c r="O32" s="442" t="n">
        <v>0.92</v>
      </c>
      <c r="P32" s="465" t="n">
        <v>0.87</v>
      </c>
    </row>
    <row r="33">
      <c r="A33" s="453" t="inlineStr">
        <is>
          <t>Diversified</t>
        </is>
      </c>
      <c r="B33" s="454" t="n">
        <v>70</v>
      </c>
      <c r="C33" s="455" t="n">
        <v>1.17</v>
      </c>
      <c r="D33" s="456" t="n">
        <v>0.4055</v>
      </c>
      <c r="E33" s="456" t="n">
        <v>0.1396</v>
      </c>
      <c r="F33" s="457" t="n">
        <v>0.9</v>
      </c>
      <c r="G33" s="458" t="n">
        <v>0.0828</v>
      </c>
      <c r="H33" s="457" t="n">
        <v>0.98</v>
      </c>
      <c r="I33" s="929" t="n">
        <v>0.3139</v>
      </c>
      <c r="J33" s="460" t="n">
        <v>0.2648</v>
      </c>
      <c r="K33" s="461" t="n">
        <v>0.3528</v>
      </c>
      <c r="L33" s="462" t="n">
        <v>1</v>
      </c>
      <c r="M33" s="463" t="n">
        <v>0.82</v>
      </c>
      <c r="N33" s="464" t="n">
        <v>0.97</v>
      </c>
      <c r="O33" s="442" t="n">
        <v>1.02</v>
      </c>
      <c r="P33" s="465" t="n">
        <v>0.96</v>
      </c>
    </row>
    <row r="34">
      <c r="A34" s="453" t="inlineStr">
        <is>
          <t>Drugs (Biotechnology)</t>
        </is>
      </c>
      <c r="B34" s="454" t="n">
        <v>233</v>
      </c>
      <c r="C34" s="455" t="n">
        <v>1.16</v>
      </c>
      <c r="D34" s="456" t="n">
        <v>0.1604</v>
      </c>
      <c r="E34" s="456" t="n">
        <v>0.018</v>
      </c>
      <c r="F34" s="457" t="n">
        <v>1.04</v>
      </c>
      <c r="G34" s="458" t="n">
        <v>0.0825</v>
      </c>
      <c r="H34" s="457" t="n">
        <v>1.13</v>
      </c>
      <c r="I34" s="929" t="n">
        <v>0.5356</v>
      </c>
      <c r="J34" s="460" t="n">
        <v>0.5119</v>
      </c>
      <c r="K34" s="461" t="inlineStr">
        <is>
          <t>NA</t>
        </is>
      </c>
      <c r="L34" s="466" t="n">
        <v>1.51</v>
      </c>
      <c r="M34" s="463" t="n">
        <v>1.03</v>
      </c>
      <c r="N34" s="464" t="n">
        <v>1.09</v>
      </c>
      <c r="O34" s="442" t="n">
        <v>1.24</v>
      </c>
      <c r="P34" s="465" t="n">
        <v>1.2</v>
      </c>
    </row>
    <row r="35">
      <c r="A35" s="453" t="inlineStr">
        <is>
          <t>Drugs (Pharmaceutical)</t>
        </is>
      </c>
      <c r="B35" s="454" t="n">
        <v>131</v>
      </c>
      <c r="C35" s="455" t="n">
        <v>0.98</v>
      </c>
      <c r="D35" s="456" t="n">
        <v>0.1511</v>
      </c>
      <c r="E35" s="456" t="n">
        <v>0.0788</v>
      </c>
      <c r="F35" s="457" t="n">
        <v>0.88</v>
      </c>
      <c r="G35" s="458" t="n">
        <v>0.0267</v>
      </c>
      <c r="H35" s="457" t="n">
        <v>0.9</v>
      </c>
      <c r="I35" s="929" t="n">
        <v>0.4568</v>
      </c>
      <c r="J35" s="460" t="n">
        <v>0.4184</v>
      </c>
      <c r="K35" s="461" t="n">
        <v>0.158</v>
      </c>
      <c r="L35" s="462" t="n">
        <v>1.02</v>
      </c>
      <c r="M35" s="463" t="n">
        <v>0.83</v>
      </c>
      <c r="N35" s="464" t="n">
        <v>0.88</v>
      </c>
      <c r="O35" s="442" t="n">
        <v>0.93</v>
      </c>
      <c r="P35" s="465" t="n">
        <v>0.91</v>
      </c>
    </row>
    <row r="36">
      <c r="A36" s="453" t="inlineStr">
        <is>
          <t>Education</t>
        </is>
      </c>
      <c r="B36" s="454" t="n">
        <v>21</v>
      </c>
      <c r="C36" s="455" t="n">
        <v>0.62</v>
      </c>
      <c r="D36" s="456" t="n">
        <v>0.2901</v>
      </c>
      <c r="E36" s="456" t="n">
        <v>0.0682</v>
      </c>
      <c r="F36" s="457" t="n">
        <v>0.51</v>
      </c>
      <c r="G36" s="458" t="n">
        <v>0.049</v>
      </c>
      <c r="H36" s="457" t="n">
        <v>0.54</v>
      </c>
      <c r="I36" s="929" t="n">
        <v>0.3389</v>
      </c>
      <c r="J36" s="460" t="n">
        <v>0.2782</v>
      </c>
      <c r="K36" s="461" t="n">
        <v>0.2241</v>
      </c>
      <c r="L36" s="466" t="n">
        <v>0.58</v>
      </c>
      <c r="M36" s="463" t="n">
        <v>0.61</v>
      </c>
      <c r="N36" s="464" t="n">
        <v>0.6</v>
      </c>
      <c r="O36" s="442" t="n">
        <v>0.64</v>
      </c>
      <c r="P36" s="465" t="n">
        <v>0.59</v>
      </c>
    </row>
    <row r="37">
      <c r="A37" s="453" t="inlineStr">
        <is>
          <t>Electrical Equipment</t>
        </is>
      </c>
      <c r="B37" s="454" t="n">
        <v>157</v>
      </c>
      <c r="C37" s="455" t="n">
        <v>1.29</v>
      </c>
      <c r="D37" s="456" t="n">
        <v>0.1579</v>
      </c>
      <c r="E37" s="456" t="n">
        <v>0.0973</v>
      </c>
      <c r="F37" s="457" t="n">
        <v>1.16</v>
      </c>
      <c r="G37" s="458" t="n">
        <v>0.0518</v>
      </c>
      <c r="H37" s="457" t="n">
        <v>1.22</v>
      </c>
      <c r="I37" s="929" t="n">
        <v>0.4503</v>
      </c>
      <c r="J37" s="460" t="n">
        <v>0.3825</v>
      </c>
      <c r="K37" s="461" t="n">
        <v>0.1093</v>
      </c>
      <c r="L37" s="462" t="n">
        <v>1.19</v>
      </c>
      <c r="M37" s="463" t="n">
        <v>1.16</v>
      </c>
      <c r="N37" s="464" t="n">
        <v>1.24</v>
      </c>
      <c r="O37" s="442" t="n">
        <v>1.26</v>
      </c>
      <c r="P37" s="465" t="n">
        <v>1.21</v>
      </c>
    </row>
    <row r="38">
      <c r="A38" s="453" t="inlineStr">
        <is>
          <t>Electronics (Consumer &amp; Office)</t>
        </is>
      </c>
      <c r="B38" s="454" t="n">
        <v>21</v>
      </c>
      <c r="C38" s="455" t="n">
        <v>1.02</v>
      </c>
      <c r="D38" s="456" t="n">
        <v>0.1296</v>
      </c>
      <c r="E38" s="456" t="n">
        <v>0.102</v>
      </c>
      <c r="F38" s="457" t="n">
        <v>0.93</v>
      </c>
      <c r="G38" s="458" t="n">
        <v>0.0547</v>
      </c>
      <c r="H38" s="457" t="n">
        <v>0.98</v>
      </c>
      <c r="I38" s="929" t="n">
        <v>0.4559</v>
      </c>
      <c r="J38" s="460" t="n">
        <v>0.3996</v>
      </c>
      <c r="K38" s="461" t="n">
        <v>0.2939</v>
      </c>
      <c r="L38" s="466" t="n">
        <v>1.38</v>
      </c>
      <c r="M38" s="463" t="n">
        <v>1.23</v>
      </c>
      <c r="N38" s="464" t="n">
        <v>1.27</v>
      </c>
      <c r="O38" s="442" t="n">
        <v>1.08</v>
      </c>
      <c r="P38" s="465" t="n">
        <v>1.19</v>
      </c>
    </row>
    <row r="39">
      <c r="A39" s="453" t="inlineStr">
        <is>
          <t>Electronics (General)</t>
        </is>
      </c>
      <c r="B39" s="454" t="n">
        <v>151</v>
      </c>
      <c r="C39" s="455" t="n">
        <v>1.21</v>
      </c>
      <c r="D39" s="456" t="n">
        <v>0.1338</v>
      </c>
      <c r="E39" s="456" t="n">
        <v>0.1235</v>
      </c>
      <c r="F39" s="457" t="n">
        <v>1.1</v>
      </c>
      <c r="G39" s="458" t="n">
        <v>0.0406</v>
      </c>
      <c r="H39" s="457" t="n">
        <v>1.15</v>
      </c>
      <c r="I39" s="929" t="n">
        <v>0.3969</v>
      </c>
      <c r="J39" s="460" t="n">
        <v>0.3615</v>
      </c>
      <c r="K39" s="461" t="n">
        <v>0.1943</v>
      </c>
      <c r="L39" s="462" t="n">
        <v>1.2</v>
      </c>
      <c r="M39" s="463" t="n">
        <v>0.95</v>
      </c>
      <c r="N39" s="464" t="n">
        <v>1.01</v>
      </c>
      <c r="O39" s="442" t="n">
        <v>1.14</v>
      </c>
      <c r="P39" s="465" t="n">
        <v>1.09</v>
      </c>
    </row>
    <row r="40">
      <c r="A40" s="453" t="inlineStr">
        <is>
          <t>Engineering/Construction</t>
        </is>
      </c>
      <c r="B40" s="454" t="n">
        <v>231</v>
      </c>
      <c r="C40" s="455" t="n">
        <v>1.05</v>
      </c>
      <c r="D40" s="456" t="n">
        <v>0.6267</v>
      </c>
      <c r="E40" s="456" t="n">
        <v>0.1498</v>
      </c>
      <c r="F40" s="457" t="n">
        <v>0.71</v>
      </c>
      <c r="G40" s="458" t="n">
        <v>0.1241</v>
      </c>
      <c r="H40" s="457" t="n">
        <v>0.82</v>
      </c>
      <c r="I40" s="929" t="n">
        <v>0.3264</v>
      </c>
      <c r="J40" s="460" t="n">
        <v>0.2933</v>
      </c>
      <c r="K40" s="461" t="n">
        <v>0.2479</v>
      </c>
      <c r="L40" s="466" t="n">
        <v>0.8100000000000001</v>
      </c>
      <c r="M40" s="463" t="n">
        <v>0.74</v>
      </c>
      <c r="N40" s="464" t="n">
        <v>0.84</v>
      </c>
      <c r="O40" s="442" t="n">
        <v>0.77</v>
      </c>
      <c r="P40" s="465" t="n">
        <v>0.79</v>
      </c>
    </row>
    <row r="41">
      <c r="A41" s="453" t="inlineStr">
        <is>
          <t>Entertainment</t>
        </is>
      </c>
      <c r="B41" s="454" t="n">
        <v>200</v>
      </c>
      <c r="C41" s="455" t="n">
        <v>0.89</v>
      </c>
      <c r="D41" s="456" t="n">
        <v>0.1879</v>
      </c>
      <c r="E41" s="456" t="n">
        <v>0.0669</v>
      </c>
      <c r="F41" s="457" t="n">
        <v>0.78</v>
      </c>
      <c r="G41" s="458" t="n">
        <v>0.0785</v>
      </c>
      <c r="H41" s="457" t="n">
        <v>0.85</v>
      </c>
      <c r="I41" s="929" t="n">
        <v>0.4243</v>
      </c>
      <c r="J41" s="460" t="n">
        <v>0.3946</v>
      </c>
      <c r="K41" s="461" t="n">
        <v>0.4395</v>
      </c>
      <c r="L41" s="462" t="n">
        <v>1.04</v>
      </c>
      <c r="M41" s="463" t="n">
        <v>0.86</v>
      </c>
      <c r="N41" s="464" t="n">
        <v>0.93</v>
      </c>
      <c r="O41" s="442" t="n">
        <v>0.9</v>
      </c>
      <c r="P41" s="465" t="n">
        <v>0.91</v>
      </c>
    </row>
    <row r="42">
      <c r="A42" s="453" t="inlineStr">
        <is>
          <t>Environmental &amp; Waste Services</t>
        </is>
      </c>
      <c r="B42" s="454" t="n">
        <v>52</v>
      </c>
      <c r="C42" s="455" t="n">
        <v>1.11</v>
      </c>
      <c r="D42" s="456" t="n">
        <v>0.5092</v>
      </c>
      <c r="E42" s="456" t="n">
        <v>0.1445</v>
      </c>
      <c r="F42" s="457" t="n">
        <v>0.8100000000000001</v>
      </c>
      <c r="G42" s="458" t="n">
        <v>0.09420000000000001</v>
      </c>
      <c r="H42" s="457" t="n">
        <v>0.89</v>
      </c>
      <c r="I42" s="929" t="n">
        <v>0.3697</v>
      </c>
      <c r="J42" s="460" t="n">
        <v>0.3507</v>
      </c>
      <c r="K42" s="461" t="n">
        <v>0.494</v>
      </c>
      <c r="L42" s="466" t="n">
        <v>0.8</v>
      </c>
      <c r="M42" s="463" t="n">
        <v>0.82</v>
      </c>
      <c r="N42" s="464" t="n">
        <v>0.9399999999999999</v>
      </c>
      <c r="O42" s="442" t="n">
        <v>1.04</v>
      </c>
      <c r="P42" s="465" t="n">
        <v>0.9</v>
      </c>
    </row>
    <row r="43">
      <c r="A43" s="453" t="inlineStr">
        <is>
          <t>Farming/Agriculture</t>
        </is>
      </c>
      <c r="B43" s="454" t="n">
        <v>50</v>
      </c>
      <c r="C43" s="455" t="n">
        <v>0.8</v>
      </c>
      <c r="D43" s="456" t="n">
        <v>0.8885</v>
      </c>
      <c r="E43" s="456" t="n">
        <v>0.1357</v>
      </c>
      <c r="F43" s="457" t="n">
        <v>0.48</v>
      </c>
      <c r="G43" s="458" t="n">
        <v>0.0688</v>
      </c>
      <c r="H43" s="457" t="n">
        <v>0.51</v>
      </c>
      <c r="I43" s="929" t="n">
        <v>0.3263</v>
      </c>
      <c r="J43" s="460" t="n">
        <v>0.3034</v>
      </c>
      <c r="K43" s="461" t="n">
        <v>0.28</v>
      </c>
      <c r="L43" s="462" t="n">
        <v>0.45</v>
      </c>
      <c r="M43" s="463" t="n">
        <v>0.43</v>
      </c>
      <c r="N43" s="464" t="n">
        <v>0.55</v>
      </c>
      <c r="O43" s="442" t="n">
        <v>0.59</v>
      </c>
      <c r="P43" s="465" t="n">
        <v>0.51</v>
      </c>
    </row>
    <row r="44">
      <c r="A44" s="453" t="inlineStr">
        <is>
          <t>Financial Svcs. (Non-bank &amp; Insurance)</t>
        </is>
      </c>
      <c r="B44" s="454" t="n">
        <v>158</v>
      </c>
      <c r="C44" s="455" t="n">
        <v>0.98</v>
      </c>
      <c r="D44" s="456" t="n">
        <v>4.0849</v>
      </c>
      <c r="E44" s="456" t="n">
        <v>0.1289</v>
      </c>
      <c r="F44" s="457" t="n">
        <v>0.24</v>
      </c>
      <c r="G44" s="458" t="n">
        <v>0.2846</v>
      </c>
      <c r="H44" s="457" t="n">
        <v>0.34</v>
      </c>
      <c r="I44" s="929" t="n">
        <v>0.3656</v>
      </c>
      <c r="J44" s="460" t="n">
        <v>0.3563</v>
      </c>
      <c r="K44" s="461" t="n">
        <v>0.4652</v>
      </c>
      <c r="L44" s="466" t="n">
        <v>0.26</v>
      </c>
      <c r="M44" s="463" t="n">
        <v>0.27</v>
      </c>
      <c r="N44" s="464" t="n">
        <v>0.33</v>
      </c>
      <c r="O44" s="442" t="n">
        <v>0.25</v>
      </c>
      <c r="P44" s="465" t="n">
        <v>0.29</v>
      </c>
    </row>
    <row r="45">
      <c r="A45" s="453" t="inlineStr">
        <is>
          <t>Food Processing</t>
        </is>
      </c>
      <c r="B45" s="454" t="n">
        <v>197</v>
      </c>
      <c r="C45" s="455" t="n">
        <v>0.62</v>
      </c>
      <c r="D45" s="456" t="n">
        <v>0.2731</v>
      </c>
      <c r="E45" s="456" t="n">
        <v>0.1441</v>
      </c>
      <c r="F45" s="457" t="n">
        <v>0.51</v>
      </c>
      <c r="G45" s="458" t="n">
        <v>0.0304</v>
      </c>
      <c r="H45" s="457" t="n">
        <v>0.53</v>
      </c>
      <c r="I45" s="929" t="n">
        <v>0.3231</v>
      </c>
      <c r="J45" s="460" t="n">
        <v>0.2624</v>
      </c>
      <c r="K45" s="461" t="n">
        <v>0.1081</v>
      </c>
      <c r="L45" s="462" t="n">
        <v>0.63</v>
      </c>
      <c r="M45" s="463" t="n">
        <v>0.6</v>
      </c>
      <c r="N45" s="464" t="n">
        <v>0.64</v>
      </c>
      <c r="O45" s="442" t="n">
        <v>0.68</v>
      </c>
      <c r="P45" s="465" t="n">
        <v>0.61</v>
      </c>
    </row>
    <row r="46">
      <c r="A46" s="453" t="inlineStr">
        <is>
          <t>Food Wholesalers</t>
        </is>
      </c>
      <c r="B46" s="454" t="n">
        <v>14</v>
      </c>
      <c r="C46" s="455" t="n">
        <v>0.76</v>
      </c>
      <c r="D46" s="456" t="n">
        <v>1.6658</v>
      </c>
      <c r="E46" s="456" t="n">
        <v>0.187</v>
      </c>
      <c r="F46" s="457" t="n">
        <v>0.34</v>
      </c>
      <c r="G46" s="458" t="n">
        <v>0.07240000000000001</v>
      </c>
      <c r="H46" s="457" t="n">
        <v>0.37</v>
      </c>
      <c r="I46" s="929" t="n">
        <v>0.3204</v>
      </c>
      <c r="J46" s="460" t="n">
        <v>0.2887</v>
      </c>
      <c r="K46" s="461" t="n">
        <v>0.2319</v>
      </c>
      <c r="L46" s="466" t="n">
        <v>0.17</v>
      </c>
      <c r="M46" s="463" t="n">
        <v>0.18</v>
      </c>
      <c r="N46" s="464" t="n">
        <v>0.24</v>
      </c>
      <c r="O46" s="442" t="n">
        <v>0.22</v>
      </c>
      <c r="P46" s="465" t="n">
        <v>0.23</v>
      </c>
    </row>
    <row r="47">
      <c r="A47" s="453" t="inlineStr">
        <is>
          <t>Furn/Home Furnishings</t>
        </is>
      </c>
      <c r="B47" s="454" t="n">
        <v>52</v>
      </c>
      <c r="C47" s="455" t="n">
        <v>0.9</v>
      </c>
      <c r="D47" s="456" t="n">
        <v>0.6727</v>
      </c>
      <c r="E47" s="456" t="n">
        <v>0.145</v>
      </c>
      <c r="F47" s="457" t="n">
        <v>0.6</v>
      </c>
      <c r="G47" s="458" t="n">
        <v>0.1353</v>
      </c>
      <c r="H47" s="457" t="n">
        <v>0.6899999999999999</v>
      </c>
      <c r="I47" s="929" t="n">
        <v>0.3235</v>
      </c>
      <c r="J47" s="460" t="n">
        <v>0.3017</v>
      </c>
      <c r="K47" s="461" t="n">
        <v>0.212</v>
      </c>
      <c r="L47" s="462" t="n">
        <v>0.93</v>
      </c>
      <c r="M47" s="463" t="n">
        <v>0.96</v>
      </c>
      <c r="N47" s="464" t="n">
        <v>0.95</v>
      </c>
      <c r="O47" s="442" t="n">
        <v>0.82</v>
      </c>
      <c r="P47" s="465" t="n">
        <v>0.87</v>
      </c>
    </row>
    <row r="48">
      <c r="A48" s="453" t="inlineStr">
        <is>
          <t>Green &amp; Renewable Energy</t>
        </is>
      </c>
      <c r="B48" s="454" t="n">
        <v>66</v>
      </c>
      <c r="C48" s="455" t="n">
        <v>0.83</v>
      </c>
      <c r="D48" s="456" t="n">
        <v>0.7365</v>
      </c>
      <c r="E48" s="456" t="n">
        <v>0.09089999999999999</v>
      </c>
      <c r="F48" s="457" t="n">
        <v>0.53</v>
      </c>
      <c r="G48" s="458" t="n">
        <v>0.073</v>
      </c>
      <c r="H48" s="457" t="n">
        <v>0.58</v>
      </c>
      <c r="I48" s="929" t="n">
        <v>0.3776</v>
      </c>
      <c r="J48" s="460" t="n">
        <v>0.3326</v>
      </c>
      <c r="K48" s="461" t="n">
        <v>0.6646</v>
      </c>
      <c r="L48" s="466" t="n">
        <v>0.6</v>
      </c>
      <c r="M48" s="463" t="n">
        <v>0.72</v>
      </c>
      <c r="N48" s="464" t="n">
        <v>0.68</v>
      </c>
      <c r="O48" s="442" t="n">
        <v>0.68</v>
      </c>
      <c r="P48" s="465" t="n">
        <v>0.65</v>
      </c>
    </row>
    <row r="49">
      <c r="A49" s="453" t="inlineStr">
        <is>
          <t>Healthcare Products</t>
        </is>
      </c>
      <c r="B49" s="454" t="n">
        <v>182</v>
      </c>
      <c r="C49" s="455" t="n">
        <v>1.19</v>
      </c>
      <c r="D49" s="456" t="n">
        <v>0.1925</v>
      </c>
      <c r="E49" s="456" t="n">
        <v>0.07489999999999999</v>
      </c>
      <c r="F49" s="457" t="n">
        <v>1.04</v>
      </c>
      <c r="G49" s="458" t="n">
        <v>0.0212</v>
      </c>
      <c r="H49" s="457" t="n">
        <v>1.07</v>
      </c>
      <c r="I49" s="929" t="n">
        <v>0.4819</v>
      </c>
      <c r="J49" s="460" t="n">
        <v>0.4525</v>
      </c>
      <c r="K49" s="461" t="n">
        <v>0.217</v>
      </c>
      <c r="L49" s="462" t="n">
        <v>1.14</v>
      </c>
      <c r="M49" s="463" t="n">
        <v>0.89</v>
      </c>
      <c r="N49" s="464" t="n">
        <v>0.89</v>
      </c>
      <c r="O49" s="442" t="n">
        <v>1.06</v>
      </c>
      <c r="P49" s="465" t="n">
        <v>1.01</v>
      </c>
    </row>
    <row r="50">
      <c r="A50" s="453" t="inlineStr">
        <is>
          <t>Healthcare Support Services</t>
        </is>
      </c>
      <c r="B50" s="454" t="n">
        <v>45</v>
      </c>
      <c r="C50" s="455" t="n">
        <v>0.86</v>
      </c>
      <c r="D50" s="456" t="n">
        <v>0.6979</v>
      </c>
      <c r="E50" s="456" t="n">
        <v>0.1395</v>
      </c>
      <c r="F50" s="457" t="n">
        <v>0.5600000000000001</v>
      </c>
      <c r="G50" s="458" t="n">
        <v>0.0473</v>
      </c>
      <c r="H50" s="457" t="n">
        <v>0.59</v>
      </c>
      <c r="I50" s="929" t="n">
        <v>0.3751</v>
      </c>
      <c r="J50" s="460" t="n">
        <v>0.3131</v>
      </c>
      <c r="K50" s="461" t="n">
        <v>0.1419</v>
      </c>
      <c r="L50" s="466" t="n">
        <v>0.63</v>
      </c>
      <c r="M50" s="463" t="n">
        <v>0.52</v>
      </c>
      <c r="N50" s="464" t="n">
        <v>0.5600000000000001</v>
      </c>
      <c r="O50" s="442" t="n">
        <v>0.54</v>
      </c>
      <c r="P50" s="465" t="n">
        <v>0.57</v>
      </c>
    </row>
    <row r="51">
      <c r="A51" s="453" t="inlineStr">
        <is>
          <t>Heathcare Information and Technology</t>
        </is>
      </c>
      <c r="B51" s="454" t="n">
        <v>95</v>
      </c>
      <c r="C51" s="455" t="n">
        <v>1.17</v>
      </c>
      <c r="D51" s="456" t="n">
        <v>0.1421</v>
      </c>
      <c r="E51" s="456" t="n">
        <v>0.0806</v>
      </c>
      <c r="F51" s="457" t="n">
        <v>1.06</v>
      </c>
      <c r="G51" s="458" t="n">
        <v>0.0354</v>
      </c>
      <c r="H51" s="457" t="n">
        <v>1.09</v>
      </c>
      <c r="I51" s="929" t="n">
        <v>0.3974</v>
      </c>
      <c r="J51" s="460" t="n">
        <v>0.3686</v>
      </c>
      <c r="K51" s="461" t="n">
        <v>0.4574</v>
      </c>
      <c r="L51" s="462" t="n">
        <v>1.03</v>
      </c>
      <c r="M51" s="463" t="n">
        <v>0.82</v>
      </c>
      <c r="N51" s="464" t="n">
        <v>0.85</v>
      </c>
      <c r="O51" s="442" t="n">
        <v>1.14</v>
      </c>
      <c r="P51" s="465" t="n">
        <v>0.99</v>
      </c>
    </row>
    <row r="52">
      <c r="A52" s="453" t="inlineStr">
        <is>
          <t>Homebuilding</t>
        </is>
      </c>
      <c r="B52" s="454" t="n">
        <v>43</v>
      </c>
      <c r="C52" s="455" t="n">
        <v>1.14</v>
      </c>
      <c r="D52" s="456" t="n">
        <v>0.1903</v>
      </c>
      <c r="E52" s="456" t="n">
        <v>0.1499</v>
      </c>
      <c r="F52" s="457" t="n">
        <v>1</v>
      </c>
      <c r="G52" s="458" t="n">
        <v>0.1291</v>
      </c>
      <c r="H52" s="457" t="n">
        <v>1.14</v>
      </c>
      <c r="I52" s="929" t="n">
        <v>0.3553</v>
      </c>
      <c r="J52" s="460" t="n">
        <v>0.2943</v>
      </c>
      <c r="K52" s="461" t="n">
        <v>0.2279</v>
      </c>
      <c r="L52" s="466" t="n">
        <v>1.08</v>
      </c>
      <c r="M52" s="463" t="n">
        <v>1.12</v>
      </c>
      <c r="N52" s="464" t="n">
        <v>1.32</v>
      </c>
      <c r="O52" s="442" t="n">
        <v>1.21</v>
      </c>
      <c r="P52" s="465" t="n">
        <v>1.18</v>
      </c>
    </row>
    <row r="53">
      <c r="A53" s="453" t="inlineStr">
        <is>
          <t>Hospitals/Healthcare Facilities</t>
        </is>
      </c>
      <c r="B53" s="454" t="n">
        <v>29</v>
      </c>
      <c r="C53" s="455" t="n">
        <v>0.5600000000000001</v>
      </c>
      <c r="D53" s="456" t="n">
        <v>2.5642</v>
      </c>
      <c r="E53" s="456" t="n">
        <v>0.1584</v>
      </c>
      <c r="F53" s="457" t="n">
        <v>0.19</v>
      </c>
      <c r="G53" s="458" t="n">
        <v>0.0425</v>
      </c>
      <c r="H53" s="457" t="n">
        <v>0.2</v>
      </c>
      <c r="I53" s="929" t="n">
        <v>0.3803</v>
      </c>
      <c r="J53" s="460" t="n">
        <v>0.2813</v>
      </c>
      <c r="K53" s="461" t="n">
        <v>0.1707</v>
      </c>
      <c r="L53" s="462" t="n">
        <v>0.37</v>
      </c>
      <c r="M53" s="463" t="n">
        <v>0.35</v>
      </c>
      <c r="N53" s="464" t="n">
        <v>0.37</v>
      </c>
      <c r="O53" s="442" t="n">
        <v>0.25</v>
      </c>
      <c r="P53" s="465" t="n">
        <v>0.31</v>
      </c>
    </row>
    <row r="54">
      <c r="A54" s="453" t="inlineStr">
        <is>
          <t>Hotel/Gaming</t>
        </is>
      </c>
      <c r="B54" s="454" t="n">
        <v>106</v>
      </c>
      <c r="C54" s="455" t="n">
        <v>1.2</v>
      </c>
      <c r="D54" s="456" t="n">
        <v>0.3517</v>
      </c>
      <c r="E54" s="456" t="n">
        <v>0.1</v>
      </c>
      <c r="F54" s="457" t="n">
        <v>0.95</v>
      </c>
      <c r="G54" s="458" t="n">
        <v>0.0743</v>
      </c>
      <c r="H54" s="457" t="n">
        <v>1.02</v>
      </c>
      <c r="I54" s="929" t="n">
        <v>0.3609</v>
      </c>
      <c r="J54" s="460" t="n">
        <v>0.3511</v>
      </c>
      <c r="K54" s="461" t="n">
        <v>0.8119</v>
      </c>
      <c r="L54" s="466" t="n">
        <v>0.6899999999999999</v>
      </c>
      <c r="M54" s="463" t="n">
        <v>0.93</v>
      </c>
      <c r="N54" s="464" t="n">
        <v>1.1</v>
      </c>
      <c r="O54" s="442" t="n">
        <v>1.02</v>
      </c>
      <c r="P54" s="465" t="n">
        <v>0.95</v>
      </c>
    </row>
    <row r="55">
      <c r="A55" s="453" t="inlineStr">
        <is>
          <t>Household Products</t>
        </is>
      </c>
      <c r="B55" s="454" t="n">
        <v>28</v>
      </c>
      <c r="C55" s="455" t="n">
        <v>0.86</v>
      </c>
      <c r="D55" s="456" t="n">
        <v>0.2731</v>
      </c>
      <c r="E55" s="456" t="n">
        <v>0.1167</v>
      </c>
      <c r="F55" s="457" t="n">
        <v>0.71</v>
      </c>
      <c r="G55" s="458" t="n">
        <v>0.0265</v>
      </c>
      <c r="H55" s="457" t="n">
        <v>0.73</v>
      </c>
      <c r="I55" s="929" t="n">
        <v>0.3291</v>
      </c>
      <c r="J55" s="460" t="n">
        <v>0.3264</v>
      </c>
      <c r="K55" s="461" t="n">
        <v>0.1511</v>
      </c>
      <c r="L55" s="462" t="n">
        <v>0.78</v>
      </c>
      <c r="M55" s="463" t="n">
        <v>0.73</v>
      </c>
      <c r="N55" s="464" t="n">
        <v>0.79</v>
      </c>
      <c r="O55" s="442" t="n">
        <v>0.79</v>
      </c>
      <c r="P55" s="465" t="n">
        <v>0.76</v>
      </c>
    </row>
    <row r="56">
      <c r="A56" s="453" t="inlineStr">
        <is>
          <t>Information Services</t>
        </is>
      </c>
      <c r="B56" s="454" t="n">
        <v>6</v>
      </c>
      <c r="C56" s="455" t="n">
        <v>2.52</v>
      </c>
      <c r="D56" s="456" t="n">
        <v>0.5847</v>
      </c>
      <c r="E56" s="456" t="n">
        <v>0.06610000000000001</v>
      </c>
      <c r="F56" s="457" t="n">
        <v>1.75</v>
      </c>
      <c r="G56" s="458" t="n">
        <v>0.07439999999999999</v>
      </c>
      <c r="H56" s="457" t="n">
        <v>1.89</v>
      </c>
      <c r="I56" s="929" t="n">
        <v>0.4845</v>
      </c>
      <c r="J56" s="460" t="n">
        <v>0.3857</v>
      </c>
      <c r="K56" s="461" t="n">
        <v>0.1904</v>
      </c>
      <c r="L56" s="466" t="n">
        <v>1.02</v>
      </c>
      <c r="M56" s="463" t="n">
        <v>1.04</v>
      </c>
      <c r="N56" s="464" t="n">
        <v>1.06</v>
      </c>
      <c r="O56" s="442" t="n">
        <v>1.16</v>
      </c>
      <c r="P56" s="465" t="n">
        <v>1.23</v>
      </c>
    </row>
    <row r="57">
      <c r="A57" s="453" t="inlineStr">
        <is>
          <t>Insurance (General)</t>
        </is>
      </c>
      <c r="B57" s="454" t="n">
        <v>36</v>
      </c>
      <c r="C57" s="455" t="n">
        <v>0.93</v>
      </c>
      <c r="D57" s="456" t="n">
        <v>0.3988</v>
      </c>
      <c r="E57" s="456" t="n">
        <v>0.1589</v>
      </c>
      <c r="F57" s="457" t="n">
        <v>0.72</v>
      </c>
      <c r="G57" s="458" t="n">
        <v>0.1716</v>
      </c>
      <c r="H57" s="457" t="n">
        <v>0.87</v>
      </c>
      <c r="I57" s="929" t="n">
        <v>0.1775</v>
      </c>
      <c r="J57" s="460" t="n">
        <v>0.206</v>
      </c>
      <c r="K57" s="461" t="n">
        <v>0.1161</v>
      </c>
      <c r="L57" s="462" t="n">
        <v>0.79</v>
      </c>
      <c r="M57" s="463" t="n">
        <v>0.92</v>
      </c>
      <c r="N57" s="464" t="n">
        <v>0.96</v>
      </c>
      <c r="O57" s="442" t="n">
        <v>0.84</v>
      </c>
      <c r="P57" s="465" t="n">
        <v>0.88</v>
      </c>
    </row>
    <row r="58">
      <c r="A58" s="453" t="inlineStr">
        <is>
          <t>Insurance (Life)</t>
        </is>
      </c>
      <c r="B58" s="454" t="n">
        <v>16</v>
      </c>
      <c r="C58" s="455" t="n">
        <v>1.14</v>
      </c>
      <c r="D58" s="456" t="n">
        <v>1.7114</v>
      </c>
      <c r="E58" s="456" t="n">
        <v>0.1426</v>
      </c>
      <c r="F58" s="457" t="n">
        <v>0.5</v>
      </c>
      <c r="G58" s="458" t="n">
        <v>0.1865</v>
      </c>
      <c r="H58" s="457" t="n">
        <v>0.61</v>
      </c>
      <c r="I58" s="929" t="n">
        <v>0.2187</v>
      </c>
      <c r="J58" s="460" t="n">
        <v>0.1998</v>
      </c>
      <c r="K58" s="461" t="n">
        <v>0.1965</v>
      </c>
      <c r="L58" s="466" t="n">
        <v>0.8</v>
      </c>
      <c r="M58" s="463" t="n">
        <v>0.85</v>
      </c>
      <c r="N58" s="464" t="n">
        <v>0.6899999999999999</v>
      </c>
      <c r="O58" s="442" t="n">
        <v>0.59</v>
      </c>
      <c r="P58" s="465" t="n">
        <v>0.71</v>
      </c>
    </row>
    <row r="59">
      <c r="A59" s="453" t="inlineStr">
        <is>
          <t>Insurance (Prop/Cas.)</t>
        </is>
      </c>
      <c r="B59" s="454" t="n">
        <v>19</v>
      </c>
      <c r="C59" s="455" t="n">
        <v>0.6899999999999999</v>
      </c>
      <c r="D59" s="456" t="n">
        <v>0.1938</v>
      </c>
      <c r="E59" s="456" t="n">
        <v>0.1337</v>
      </c>
      <c r="F59" s="457" t="n">
        <v>0.6</v>
      </c>
      <c r="G59" s="458" t="n">
        <v>0.0475</v>
      </c>
      <c r="H59" s="457" t="n">
        <v>0.63</v>
      </c>
      <c r="I59" s="929" t="n">
        <v>0.292</v>
      </c>
      <c r="J59" s="460" t="n">
        <v>0.2308</v>
      </c>
      <c r="K59" s="461" t="n">
        <v>0.2221</v>
      </c>
      <c r="L59" s="462" t="n">
        <v>0.68</v>
      </c>
      <c r="M59" s="463" t="n">
        <v>0.66</v>
      </c>
      <c r="N59" s="464" t="n">
        <v>0.76</v>
      </c>
      <c r="O59" s="442" t="n">
        <v>0.79</v>
      </c>
      <c r="P59" s="465" t="n">
        <v>0.7</v>
      </c>
    </row>
    <row r="60">
      <c r="A60" s="453" t="inlineStr">
        <is>
          <t>Investments &amp; Asset Management</t>
        </is>
      </c>
      <c r="B60" s="454" t="n">
        <v>350</v>
      </c>
      <c r="C60" s="455" t="n">
        <v>0.89</v>
      </c>
      <c r="D60" s="456" t="n">
        <v>0.2713</v>
      </c>
      <c r="E60" s="456" t="n">
        <v>0.0704</v>
      </c>
      <c r="F60" s="457" t="n">
        <v>0.74</v>
      </c>
      <c r="G60" s="458" t="n">
        <v>0.2222</v>
      </c>
      <c r="H60" s="457" t="n">
        <v>0.95</v>
      </c>
      <c r="I60" s="929" t="n">
        <v>0.3218</v>
      </c>
      <c r="J60" s="460" t="n">
        <v>0.3009</v>
      </c>
      <c r="K60" s="461" t="n">
        <v>0.3768</v>
      </c>
      <c r="L60" s="466" t="n">
        <v>0.91</v>
      </c>
      <c r="M60" s="463" t="n">
        <v>0.83</v>
      </c>
      <c r="N60" s="464" t="n">
        <v>0.91</v>
      </c>
      <c r="O60" s="442" t="n">
        <v>1.16</v>
      </c>
      <c r="P60" s="465" t="n">
        <v>0.95</v>
      </c>
    </row>
    <row r="61">
      <c r="A61" s="453" t="inlineStr">
        <is>
          <t>Machinery</t>
        </is>
      </c>
      <c r="B61" s="454" t="n">
        <v>219</v>
      </c>
      <c r="C61" s="455" t="n">
        <v>1.17</v>
      </c>
      <c r="D61" s="456" t="n">
        <v>0.1268</v>
      </c>
      <c r="E61" s="456" t="n">
        <v>0.1474</v>
      </c>
      <c r="F61" s="457" t="n">
        <v>1.07</v>
      </c>
      <c r="G61" s="458" t="n">
        <v>0.0539</v>
      </c>
      <c r="H61" s="457" t="n">
        <v>1.13</v>
      </c>
      <c r="I61" s="929" t="n">
        <v>0.3059</v>
      </c>
      <c r="J61" s="460" t="n">
        <v>0.3079</v>
      </c>
      <c r="K61" s="461" t="n">
        <v>0.1053</v>
      </c>
      <c r="L61" s="462" t="n">
        <v>1.23</v>
      </c>
      <c r="M61" s="463" t="n">
        <v>1.01</v>
      </c>
      <c r="N61" s="464" t="n">
        <v>1.09</v>
      </c>
      <c r="O61" s="442" t="n">
        <v>1.2</v>
      </c>
      <c r="P61" s="465" t="n">
        <v>1.13</v>
      </c>
    </row>
    <row r="62">
      <c r="A62" s="453" t="inlineStr">
        <is>
          <t>Metals &amp; Mining</t>
        </is>
      </c>
      <c r="B62" s="454" t="n">
        <v>120</v>
      </c>
      <c r="C62" s="455" t="n">
        <v>1.05</v>
      </c>
      <c r="D62" s="456" t="n">
        <v>0.2718</v>
      </c>
      <c r="E62" s="456" t="n">
        <v>0.0772</v>
      </c>
      <c r="F62" s="457" t="n">
        <v>0.87</v>
      </c>
      <c r="G62" s="458" t="n">
        <v>0.0658</v>
      </c>
      <c r="H62" s="457" t="n">
        <v>0.93</v>
      </c>
      <c r="I62" s="929" t="n">
        <v>0.4572</v>
      </c>
      <c r="J62" s="460" t="n">
        <v>0.4301</v>
      </c>
      <c r="K62" s="461" t="n">
        <v>0.5754</v>
      </c>
      <c r="L62" s="466" t="n">
        <v>1.05</v>
      </c>
      <c r="M62" s="463" t="n">
        <v>0.98</v>
      </c>
      <c r="N62" s="464" t="n">
        <v>1.16</v>
      </c>
      <c r="O62" s="442" t="n">
        <v>1.14</v>
      </c>
      <c r="P62" s="465" t="n">
        <v>1.05</v>
      </c>
    </row>
    <row r="63">
      <c r="A63" s="453" t="inlineStr">
        <is>
          <t>Office Equipment &amp; Services</t>
        </is>
      </c>
      <c r="B63" s="454" t="n">
        <v>22</v>
      </c>
      <c r="C63" s="455" t="n">
        <v>0.71</v>
      </c>
      <c r="D63" s="456" t="n">
        <v>0.2256</v>
      </c>
      <c r="E63" s="456" t="n">
        <v>0.2293</v>
      </c>
      <c r="F63" s="457" t="n">
        <v>0.61</v>
      </c>
      <c r="G63" s="458" t="n">
        <v>0.08550000000000001</v>
      </c>
      <c r="H63" s="457" t="n">
        <v>0.66</v>
      </c>
      <c r="I63" s="929" t="n">
        <v>0.2905</v>
      </c>
      <c r="J63" s="460" t="n">
        <v>0.2583</v>
      </c>
      <c r="K63" s="461" t="n">
        <v>0.1315</v>
      </c>
      <c r="L63" s="462" t="n">
        <v>0.92</v>
      </c>
      <c r="M63" s="463" t="n">
        <v>0.9</v>
      </c>
      <c r="N63" s="464" t="n">
        <v>0.96</v>
      </c>
      <c r="O63" s="442" t="n">
        <v>0.73</v>
      </c>
      <c r="P63" s="465" t="n">
        <v>0.83</v>
      </c>
    </row>
    <row r="64">
      <c r="A64" s="453" t="inlineStr">
        <is>
          <t>Oil/Gas (Integrated)</t>
        </is>
      </c>
      <c r="B64" s="454" t="n">
        <v>12</v>
      </c>
      <c r="C64" s="455" t="n">
        <v>0.78</v>
      </c>
      <c r="D64" s="456" t="n">
        <v>0.4401</v>
      </c>
      <c r="E64" s="456" t="n">
        <v>0.3656</v>
      </c>
      <c r="F64" s="457" t="n">
        <v>0.59</v>
      </c>
      <c r="G64" s="458" t="n">
        <v>0.1429</v>
      </c>
      <c r="H64" s="457" t="n">
        <v>0.6899999999999999</v>
      </c>
      <c r="I64" s="929" t="n">
        <v>0.2271</v>
      </c>
      <c r="J64" s="460" t="n">
        <v>0.2355</v>
      </c>
      <c r="K64" s="461" t="n">
        <v>0.9432</v>
      </c>
      <c r="L64" s="466" t="n">
        <v>0.97</v>
      </c>
      <c r="M64" s="463" t="n">
        <v>0.89</v>
      </c>
      <c r="N64" s="464" t="n">
        <v>1.03</v>
      </c>
      <c r="O64" s="442" t="n">
        <v>0.83</v>
      </c>
      <c r="P64" s="465" t="n">
        <v>0.88</v>
      </c>
    </row>
    <row r="65">
      <c r="A65" s="453" t="inlineStr">
        <is>
          <t>Oil/Gas (Production and Exploration)</t>
        </is>
      </c>
      <c r="B65" s="454" t="n">
        <v>91</v>
      </c>
      <c r="C65" s="455" t="n">
        <v>0.84</v>
      </c>
      <c r="D65" s="456" t="n">
        <v>0.6661</v>
      </c>
      <c r="E65" s="456" t="n">
        <v>0.1079</v>
      </c>
      <c r="F65" s="457" t="n">
        <v>0.5600000000000001</v>
      </c>
      <c r="G65" s="458" t="n">
        <v>0.1199</v>
      </c>
      <c r="H65" s="457" t="n">
        <v>0.64</v>
      </c>
      <c r="I65" s="929" t="n">
        <v>0.4907</v>
      </c>
      <c r="J65" s="460" t="n">
        <v>0.5094</v>
      </c>
      <c r="K65" s="461" t="n">
        <v>1.5594</v>
      </c>
      <c r="L65" s="462" t="n">
        <v>0.91</v>
      </c>
      <c r="M65" s="463" t="n">
        <v>0.76</v>
      </c>
      <c r="N65" s="464" t="n">
        <v>1.11</v>
      </c>
      <c r="O65" s="442" t="n">
        <v>0.71</v>
      </c>
      <c r="P65" s="465" t="n">
        <v>0.83</v>
      </c>
    </row>
    <row r="66">
      <c r="A66" s="453" t="inlineStr">
        <is>
          <t>Oil/Gas Distribution</t>
        </is>
      </c>
      <c r="B66" s="454" t="n">
        <v>29</v>
      </c>
      <c r="C66" s="455" t="n">
        <v>0.76</v>
      </c>
      <c r="D66" s="456" t="n">
        <v>0.5831</v>
      </c>
      <c r="E66" s="456" t="n">
        <v>0.117</v>
      </c>
      <c r="F66" s="457" t="n">
        <v>0.53</v>
      </c>
      <c r="G66" s="458" t="n">
        <v>0.07140000000000001</v>
      </c>
      <c r="H66" s="457" t="n">
        <v>0.57</v>
      </c>
      <c r="I66" s="929" t="n">
        <v>0.3288</v>
      </c>
      <c r="J66" s="460" t="n">
        <v>0.3581</v>
      </c>
      <c r="K66" s="461" t="n">
        <v>0.5964</v>
      </c>
      <c r="L66" s="466" t="n">
        <v>0.74</v>
      </c>
      <c r="M66" s="463" t="n">
        <v>0.55</v>
      </c>
      <c r="N66" s="464" t="n">
        <v>0.51</v>
      </c>
      <c r="O66" s="442" t="n">
        <v>0.59</v>
      </c>
      <c r="P66" s="465" t="n">
        <v>0.59</v>
      </c>
    </row>
    <row r="67">
      <c r="A67" s="453" t="inlineStr">
        <is>
          <t>Oilfield Svcs/Equip.</t>
        </is>
      </c>
      <c r="B67" s="454" t="n">
        <v>67</v>
      </c>
      <c r="C67" s="455" t="n">
        <v>1.12</v>
      </c>
      <c r="D67" s="456" t="n">
        <v>0.3536</v>
      </c>
      <c r="E67" s="456" t="n">
        <v>0.1337</v>
      </c>
      <c r="F67" s="457" t="n">
        <v>0.88</v>
      </c>
      <c r="G67" s="458" t="n">
        <v>0.1319</v>
      </c>
      <c r="H67" s="457" t="n">
        <v>1.02</v>
      </c>
      <c r="I67" s="929" t="n">
        <v>0.3426</v>
      </c>
      <c r="J67" s="460" t="n">
        <v>0.3908</v>
      </c>
      <c r="K67" s="461" t="n">
        <v>0.5958</v>
      </c>
      <c r="L67" s="462" t="n">
        <v>1.24</v>
      </c>
      <c r="M67" s="463" t="n">
        <v>1.05</v>
      </c>
      <c r="N67" s="464" t="n">
        <v>1.16</v>
      </c>
      <c r="O67" s="442" t="n">
        <v>1.05</v>
      </c>
      <c r="P67" s="465" t="n">
        <v>1.1</v>
      </c>
    </row>
    <row r="68">
      <c r="A68" s="453" t="inlineStr">
        <is>
          <t>Packaging &amp; Container</t>
        </is>
      </c>
      <c r="B68" s="454" t="n">
        <v>16</v>
      </c>
      <c r="C68" s="455" t="n">
        <v>0.9</v>
      </c>
      <c r="D68" s="456" t="n">
        <v>0.4758</v>
      </c>
      <c r="E68" s="456" t="n">
        <v>0.115</v>
      </c>
      <c r="F68" s="457" t="n">
        <v>0.66</v>
      </c>
      <c r="G68" s="458" t="n">
        <v>0.0489</v>
      </c>
      <c r="H68" s="457" t="n">
        <v>0.7</v>
      </c>
      <c r="I68" s="929" t="n">
        <v>0.2455</v>
      </c>
      <c r="J68" s="460" t="n">
        <v>0.2508</v>
      </c>
      <c r="K68" s="461" t="n">
        <v>0.528</v>
      </c>
      <c r="L68" s="466" t="n">
        <v>0.82</v>
      </c>
      <c r="M68" s="463" t="n">
        <v>0.68</v>
      </c>
      <c r="N68" s="464" t="n">
        <v>0.75</v>
      </c>
      <c r="O68" s="442" t="n">
        <v>0.6899999999999999</v>
      </c>
      <c r="P68" s="465" t="n">
        <v>0.73</v>
      </c>
    </row>
    <row r="69">
      <c r="A69" s="453" t="inlineStr">
        <is>
          <t>Paper/Forest Products</t>
        </is>
      </c>
      <c r="B69" s="454" t="n">
        <v>38</v>
      </c>
      <c r="C69" s="455" t="n">
        <v>0.73</v>
      </c>
      <c r="D69" s="456" t="n">
        <v>0.2666</v>
      </c>
      <c r="E69" s="456" t="n">
        <v>0.1642</v>
      </c>
      <c r="F69" s="457" t="n">
        <v>0.61</v>
      </c>
      <c r="G69" s="458" t="n">
        <v>0.0699</v>
      </c>
      <c r="H69" s="457" t="n">
        <v>0.66</v>
      </c>
      <c r="I69" s="929" t="n">
        <v>0.2645</v>
      </c>
      <c r="J69" s="460" t="n">
        <v>0.2578</v>
      </c>
      <c r="K69" s="461" t="n">
        <v>0.296</v>
      </c>
      <c r="L69" s="462" t="n">
        <v>0.91</v>
      </c>
      <c r="M69" s="463" t="n">
        <v>0.74</v>
      </c>
      <c r="N69" s="464" t="n">
        <v>0.77</v>
      </c>
      <c r="O69" s="442" t="n">
        <v>0.8100000000000001</v>
      </c>
      <c r="P69" s="465" t="n">
        <v>0.78</v>
      </c>
    </row>
    <row r="70">
      <c r="A70" s="453" t="inlineStr">
        <is>
          <t>Power</t>
        </is>
      </c>
      <c r="B70" s="454" t="n">
        <v>73</v>
      </c>
      <c r="C70" s="455" t="n">
        <v>0.78</v>
      </c>
      <c r="D70" s="456" t="n">
        <v>0.6465</v>
      </c>
      <c r="E70" s="456" t="n">
        <v>0.1538</v>
      </c>
      <c r="F70" s="457" t="n">
        <v>0.52</v>
      </c>
      <c r="G70" s="458" t="n">
        <v>0.0713</v>
      </c>
      <c r="H70" s="457" t="n">
        <v>0.5600000000000001</v>
      </c>
      <c r="I70" s="929" t="n">
        <v>0.319</v>
      </c>
      <c r="J70" s="460" t="n">
        <v>0.3113</v>
      </c>
      <c r="K70" s="461" t="n">
        <v>0.1318</v>
      </c>
      <c r="L70" s="466" t="n">
        <v>0.57</v>
      </c>
      <c r="M70" s="463" t="n">
        <v>0.58</v>
      </c>
      <c r="N70" s="464" t="n">
        <v>0.59</v>
      </c>
      <c r="O70" s="442" t="n">
        <v>0.54</v>
      </c>
      <c r="P70" s="465" t="n">
        <v>0.57</v>
      </c>
    </row>
    <row r="71">
      <c r="A71" s="453" t="inlineStr">
        <is>
          <t>Precious Metals</t>
        </is>
      </c>
      <c r="B71" s="454" t="n">
        <v>46</v>
      </c>
      <c r="C71" s="455" t="n">
        <v>1.13</v>
      </c>
      <c r="D71" s="456" t="n">
        <v>0.1824</v>
      </c>
      <c r="E71" s="456" t="n">
        <v>0.1018</v>
      </c>
      <c r="F71" s="457" t="n">
        <v>1</v>
      </c>
      <c r="G71" s="458" t="n">
        <v>0.0982</v>
      </c>
      <c r="H71" s="457" t="n">
        <v>1.11</v>
      </c>
      <c r="I71" s="929" t="n">
        <v>0.4455</v>
      </c>
      <c r="J71" s="460" t="n">
        <v>0.4234</v>
      </c>
      <c r="K71" s="461" t="n">
        <v>0.6598000000000001</v>
      </c>
      <c r="L71" s="462" t="n">
        <v>0.99</v>
      </c>
      <c r="M71" s="463" t="n">
        <v>0.87</v>
      </c>
      <c r="N71" s="464" t="n">
        <v>1.05</v>
      </c>
      <c r="O71" s="442" t="n">
        <v>1.1</v>
      </c>
      <c r="P71" s="465" t="n">
        <v>1.02</v>
      </c>
    </row>
    <row r="72">
      <c r="A72" s="453" t="inlineStr">
        <is>
          <t>Publishing &amp; Newspapers</t>
        </is>
      </c>
      <c r="B72" s="454" t="n">
        <v>58</v>
      </c>
      <c r="C72" s="455" t="n">
        <v>0.83</v>
      </c>
      <c r="D72" s="456" t="n">
        <v>0.5394</v>
      </c>
      <c r="E72" s="456" t="n">
        <v>0.1394</v>
      </c>
      <c r="F72" s="457" t="n">
        <v>0.59</v>
      </c>
      <c r="G72" s="458" t="n">
        <v>0.0506</v>
      </c>
      <c r="H72" s="457" t="n">
        <v>0.62</v>
      </c>
      <c r="I72" s="929" t="n">
        <v>0.3194</v>
      </c>
      <c r="J72" s="460" t="n">
        <v>0.2846</v>
      </c>
      <c r="K72" s="461" t="n">
        <v>0.3051</v>
      </c>
      <c r="L72" s="466" t="n">
        <v>0.62</v>
      </c>
      <c r="M72" s="463" t="n">
        <v>0.73</v>
      </c>
      <c r="N72" s="464" t="n">
        <v>0.79</v>
      </c>
      <c r="O72" s="442" t="n">
        <v>0.63</v>
      </c>
      <c r="P72" s="465" t="n">
        <v>0.68</v>
      </c>
    </row>
    <row r="73">
      <c r="A73" s="453" t="inlineStr">
        <is>
          <t>R.E.I.T.</t>
        </is>
      </c>
      <c r="B73" s="454" t="n">
        <v>141</v>
      </c>
      <c r="C73" s="455" t="n">
        <v>0.74</v>
      </c>
      <c r="D73" s="456" t="n">
        <v>0.8158</v>
      </c>
      <c r="E73" s="456" t="n">
        <v>0.0121</v>
      </c>
      <c r="F73" s="457" t="n">
        <v>0.46</v>
      </c>
      <c r="G73" s="458" t="n">
        <v>0.0297</v>
      </c>
      <c r="H73" s="457" t="n">
        <v>0.47</v>
      </c>
      <c r="I73" s="929" t="n">
        <v>0.2667</v>
      </c>
      <c r="J73" s="460" t="n">
        <v>0.229</v>
      </c>
      <c r="K73" s="461" t="n">
        <v>0.1472</v>
      </c>
      <c r="L73" s="462" t="n">
        <v>0.37</v>
      </c>
      <c r="M73" s="463" t="n">
        <v>0.52</v>
      </c>
      <c r="N73" s="464" t="n">
        <v>0.54</v>
      </c>
      <c r="O73" s="442" t="n">
        <v>0.43</v>
      </c>
      <c r="P73" s="465" t="n">
        <v>0.47</v>
      </c>
    </row>
    <row r="74">
      <c r="A74" s="453" t="inlineStr">
        <is>
          <t>Real Estate (Development)</t>
        </is>
      </c>
      <c r="B74" s="454" t="n">
        <v>66</v>
      </c>
      <c r="C74" s="455" t="n">
        <v>0.8</v>
      </c>
      <c r="D74" s="456" t="n">
        <v>0.7842</v>
      </c>
      <c r="E74" s="456" t="n">
        <v>0.1094</v>
      </c>
      <c r="F74" s="457" t="n">
        <v>0.5</v>
      </c>
      <c r="G74" s="458" t="n">
        <v>0.1213</v>
      </c>
      <c r="H74" s="457" t="n">
        <v>0.57</v>
      </c>
      <c r="I74" s="929" t="n">
        <v>0.3328</v>
      </c>
      <c r="J74" s="460" t="n">
        <v>0.3198</v>
      </c>
      <c r="K74" s="461" t="n">
        <v>0.4938</v>
      </c>
      <c r="L74" s="466" t="n">
        <v>0.54</v>
      </c>
      <c r="M74" s="463" t="n">
        <v>0.5600000000000001</v>
      </c>
      <c r="N74" s="464" t="n">
        <v>0.57</v>
      </c>
      <c r="O74" s="442" t="n">
        <v>0.59</v>
      </c>
      <c r="P74" s="465" t="n">
        <v>0.57</v>
      </c>
    </row>
    <row r="75">
      <c r="A75" s="453" t="inlineStr">
        <is>
          <t>Real Estate (General/Diversified)</t>
        </is>
      </c>
      <c r="B75" s="454" t="n">
        <v>48</v>
      </c>
      <c r="C75" s="455" t="n">
        <v>0.9399999999999999</v>
      </c>
      <c r="D75" s="456" t="n">
        <v>1.7469</v>
      </c>
      <c r="E75" s="456" t="n">
        <v>0.0955</v>
      </c>
      <c r="F75" s="457" t="n">
        <v>0.41</v>
      </c>
      <c r="G75" s="458" t="n">
        <v>0.0525</v>
      </c>
      <c r="H75" s="457" t="n">
        <v>0.43</v>
      </c>
      <c r="I75" s="929" t="n">
        <v>0.2975</v>
      </c>
      <c r="J75" s="460" t="n">
        <v>0.2913</v>
      </c>
      <c r="K75" s="461" t="n">
        <v>0.3294</v>
      </c>
      <c r="L75" s="462" t="n">
        <v>0.44</v>
      </c>
      <c r="M75" s="463" t="n">
        <v>0.48</v>
      </c>
      <c r="N75" s="464" t="n">
        <v>0.49</v>
      </c>
      <c r="O75" s="442" t="n">
        <v>0.41</v>
      </c>
      <c r="P75" s="465" t="n">
        <v>0.45</v>
      </c>
    </row>
    <row r="76">
      <c r="A76" s="453" t="inlineStr">
        <is>
          <t>Real Estate (Operations &amp; Services)</t>
        </is>
      </c>
      <c r="B76" s="454" t="n">
        <v>237</v>
      </c>
      <c r="C76" s="455" t="n">
        <v>0.83</v>
      </c>
      <c r="D76" s="456" t="n">
        <v>1.2079</v>
      </c>
      <c r="E76" s="456" t="n">
        <v>0.0985</v>
      </c>
      <c r="F76" s="457" t="n">
        <v>0.43</v>
      </c>
      <c r="G76" s="458" t="n">
        <v>0.0362</v>
      </c>
      <c r="H76" s="457" t="n">
        <v>0.45</v>
      </c>
      <c r="I76" s="929" t="n">
        <v>0.2784</v>
      </c>
      <c r="J76" s="460" t="n">
        <v>0.2552</v>
      </c>
      <c r="K76" s="461" t="n">
        <v>0.2397</v>
      </c>
      <c r="L76" s="466" t="n">
        <v>0.32</v>
      </c>
      <c r="M76" s="463" t="n">
        <v>0.36</v>
      </c>
      <c r="N76" s="464" t="n">
        <v>0.41</v>
      </c>
      <c r="O76" s="442" t="n">
        <v>0.4</v>
      </c>
      <c r="P76" s="465" t="n">
        <v>0.39</v>
      </c>
    </row>
    <row r="77">
      <c r="A77" s="453" t="inlineStr">
        <is>
          <t>Recreation</t>
        </is>
      </c>
      <c r="B77" s="454" t="n">
        <v>60</v>
      </c>
      <c r="C77" s="455" t="n">
        <v>1</v>
      </c>
      <c r="D77" s="456" t="n">
        <v>0.2948</v>
      </c>
      <c r="E77" s="456" t="n">
        <v>0.149</v>
      </c>
      <c r="F77" s="457" t="n">
        <v>0.82</v>
      </c>
      <c r="G77" s="458" t="n">
        <v>0.0667</v>
      </c>
      <c r="H77" s="457" t="n">
        <v>0.88</v>
      </c>
      <c r="I77" s="929" t="n">
        <v>0.3103</v>
      </c>
      <c r="J77" s="460" t="n">
        <v>0.3006</v>
      </c>
      <c r="K77" s="461" t="n">
        <v>0.5754</v>
      </c>
      <c r="L77" s="462" t="n">
        <v>0.67</v>
      </c>
      <c r="M77" s="463" t="n">
        <v>0.82</v>
      </c>
      <c r="N77" s="464" t="n">
        <v>0.98</v>
      </c>
      <c r="O77" s="442" t="n">
        <v>0.89</v>
      </c>
      <c r="P77" s="465" t="n">
        <v>0.85</v>
      </c>
    </row>
    <row r="78">
      <c r="A78" s="453" t="inlineStr">
        <is>
          <t>Reinsurance</t>
        </is>
      </c>
      <c r="B78" s="454" t="n">
        <v>4</v>
      </c>
      <c r="C78" s="455" t="n">
        <v>1.1</v>
      </c>
      <c r="D78" s="456" t="n">
        <v>0.2037</v>
      </c>
      <c r="E78" s="456" t="n">
        <v>0.2364</v>
      </c>
      <c r="F78" s="457" t="n">
        <v>0.95</v>
      </c>
      <c r="G78" s="458" t="n">
        <v>0.0956</v>
      </c>
      <c r="H78" s="457" t="n">
        <v>1.05</v>
      </c>
      <c r="I78" s="929" t="n">
        <v>0.1745</v>
      </c>
      <c r="J78" s="460" t="n">
        <v>0.1821</v>
      </c>
      <c r="K78" s="461" t="n">
        <v>0.3757</v>
      </c>
      <c r="L78" s="466" t="n">
        <v>0.9399999999999999</v>
      </c>
      <c r="M78" s="463" t="n">
        <v>1.42</v>
      </c>
      <c r="N78" s="464" t="n">
        <v>1.45</v>
      </c>
      <c r="O78" s="442" t="n">
        <v>1.04</v>
      </c>
      <c r="P78" s="465" t="n">
        <v>1.18</v>
      </c>
    </row>
    <row r="79">
      <c r="A79" s="453" t="inlineStr">
        <is>
          <t>Restaurant/Dining</t>
        </is>
      </c>
      <c r="B79" s="454" t="n">
        <v>43</v>
      </c>
      <c r="C79" s="455" t="n">
        <v>1.25</v>
      </c>
      <c r="D79" s="456" t="n">
        <v>0.381</v>
      </c>
      <c r="E79" s="456" t="n">
        <v>0.0931</v>
      </c>
      <c r="F79" s="457" t="n">
        <v>0.97</v>
      </c>
      <c r="G79" s="458" t="n">
        <v>0.076</v>
      </c>
      <c r="H79" s="457" t="n">
        <v>1.05</v>
      </c>
      <c r="I79" s="929" t="n">
        <v>0.3572</v>
      </c>
      <c r="J79" s="460" t="n">
        <v>0.3341</v>
      </c>
      <c r="K79" s="461" t="n">
        <v>0.8967000000000001</v>
      </c>
      <c r="L79" s="462" t="n">
        <v>0.66</v>
      </c>
      <c r="M79" s="463" t="n">
        <v>0.99</v>
      </c>
      <c r="N79" s="464" t="n">
        <v>1.19</v>
      </c>
      <c r="O79" s="442" t="n">
        <v>0.96</v>
      </c>
      <c r="P79" s="465" t="n">
        <v>0.97</v>
      </c>
    </row>
    <row r="80">
      <c r="A80" s="453" t="inlineStr">
        <is>
          <t>Retail (Automotive)</t>
        </is>
      </c>
      <c r="B80" s="454" t="n">
        <v>28</v>
      </c>
      <c r="C80" s="455" t="n">
        <v>1.24</v>
      </c>
      <c r="D80" s="456" t="n">
        <v>0.5805</v>
      </c>
      <c r="E80" s="456" t="n">
        <v>0.1316</v>
      </c>
      <c r="F80" s="457" t="n">
        <v>0.86</v>
      </c>
      <c r="G80" s="458" t="n">
        <v>0.1314</v>
      </c>
      <c r="H80" s="457" t="n">
        <v>0.99</v>
      </c>
      <c r="I80" s="929" t="n">
        <v>0.3649</v>
      </c>
      <c r="J80" s="460" t="n">
        <v>0.3754</v>
      </c>
      <c r="K80" s="461" t="n">
        <v>0.3197</v>
      </c>
      <c r="L80" s="466" t="n">
        <v>0.43</v>
      </c>
      <c r="M80" s="463" t="n">
        <v>0.79</v>
      </c>
      <c r="N80" s="464" t="n">
        <v>1.06</v>
      </c>
      <c r="O80" s="442" t="n">
        <v>0.92</v>
      </c>
      <c r="P80" s="465" t="n">
        <v>0.84</v>
      </c>
    </row>
    <row r="81">
      <c r="A81" s="453" t="inlineStr">
        <is>
          <t>Retail (Building Supply)</t>
        </is>
      </c>
      <c r="B81" s="454" t="n">
        <v>29</v>
      </c>
      <c r="C81" s="455" t="n">
        <v>1.26</v>
      </c>
      <c r="D81" s="456" t="n">
        <v>0.6863</v>
      </c>
      <c r="E81" s="456" t="n">
        <v>0.1972</v>
      </c>
      <c r="F81" s="457" t="n">
        <v>0.83</v>
      </c>
      <c r="G81" s="458" t="n">
        <v>0.0747</v>
      </c>
      <c r="H81" s="457" t="n">
        <v>0.89</v>
      </c>
      <c r="I81" s="929" t="n">
        <v>0.2997</v>
      </c>
      <c r="J81" s="460" t="n">
        <v>0.2807</v>
      </c>
      <c r="K81" s="461" t="n">
        <v>0.2669</v>
      </c>
      <c r="L81" s="462" t="n">
        <v>0.54</v>
      </c>
      <c r="M81" s="463" t="n">
        <v>0.82</v>
      </c>
      <c r="N81" s="464" t="n">
        <v>0.87</v>
      </c>
      <c r="O81" s="442" t="n">
        <v>0.86</v>
      </c>
      <c r="P81" s="465" t="n">
        <v>0.8</v>
      </c>
    </row>
    <row r="82">
      <c r="A82" s="453" t="inlineStr">
        <is>
          <t>Retail (Distributors)</t>
        </is>
      </c>
      <c r="B82" s="454" t="n">
        <v>116</v>
      </c>
      <c r="C82" s="455" t="n">
        <v>0.99</v>
      </c>
      <c r="D82" s="456" t="n">
        <v>0.5185999999999999</v>
      </c>
      <c r="E82" s="456" t="n">
        <v>0.1658</v>
      </c>
      <c r="F82" s="457" t="n">
        <v>0.71</v>
      </c>
      <c r="G82" s="458" t="n">
        <v>0.038</v>
      </c>
      <c r="H82" s="457" t="n">
        <v>0.74</v>
      </c>
      <c r="I82" s="929" t="n">
        <v>0.2836</v>
      </c>
      <c r="J82" s="460" t="n">
        <v>0.2735</v>
      </c>
      <c r="K82" s="461" t="n">
        <v>0.3141</v>
      </c>
      <c r="L82" s="466" t="n">
        <v>0.61</v>
      </c>
      <c r="M82" s="463" t="n">
        <v>0.7</v>
      </c>
      <c r="N82" s="464" t="n">
        <v>0.79</v>
      </c>
      <c r="O82" s="442" t="n">
        <v>0.76</v>
      </c>
      <c r="P82" s="465" t="n">
        <v>0.72</v>
      </c>
    </row>
    <row r="83">
      <c r="A83" s="453" t="inlineStr">
        <is>
          <t>Retail (General)</t>
        </is>
      </c>
      <c r="B83" s="454" t="n">
        <v>32</v>
      </c>
      <c r="C83" s="455" t="n">
        <v>1.08</v>
      </c>
      <c r="D83" s="456" t="n">
        <v>0.3943</v>
      </c>
      <c r="E83" s="456" t="n">
        <v>0.09569999999999999</v>
      </c>
      <c r="F83" s="457" t="n">
        <v>0.84</v>
      </c>
      <c r="G83" s="458" t="n">
        <v>0.0494</v>
      </c>
      <c r="H83" s="457" t="n">
        <v>0.88</v>
      </c>
      <c r="I83" s="929" t="n">
        <v>0.3463</v>
      </c>
      <c r="J83" s="460" t="n">
        <v>0.359</v>
      </c>
      <c r="K83" s="461" t="n">
        <v>0.1413</v>
      </c>
      <c r="L83" s="462" t="n">
        <v>0.38</v>
      </c>
      <c r="M83" s="463" t="n">
        <v>0.35</v>
      </c>
      <c r="N83" s="464" t="n">
        <v>0.4</v>
      </c>
      <c r="O83" s="442" t="n">
        <v>0.39</v>
      </c>
      <c r="P83" s="465" t="n">
        <v>0.48</v>
      </c>
    </row>
    <row r="84">
      <c r="A84" s="453" t="inlineStr">
        <is>
          <t>Retail (Grocery and Food)</t>
        </is>
      </c>
      <c r="B84" s="454" t="n">
        <v>32</v>
      </c>
      <c r="C84" s="455" t="n">
        <v>1.07</v>
      </c>
      <c r="D84" s="456" t="n">
        <v>0.6274999999999999</v>
      </c>
      <c r="E84" s="456" t="n">
        <v>0.1656</v>
      </c>
      <c r="F84" s="457" t="n">
        <v>0.73</v>
      </c>
      <c r="G84" s="458" t="n">
        <v>0.0774</v>
      </c>
      <c r="H84" s="457" t="n">
        <v>0.79</v>
      </c>
      <c r="I84" s="929" t="n">
        <v>0.3772</v>
      </c>
      <c r="J84" s="460" t="n">
        <v>0.2974</v>
      </c>
      <c r="K84" s="461" t="n">
        <v>0.2482</v>
      </c>
      <c r="L84" s="466" t="n">
        <v>0.44</v>
      </c>
      <c r="M84" s="463" t="n">
        <v>0.39</v>
      </c>
      <c r="N84" s="464" t="n">
        <v>0.42</v>
      </c>
      <c r="O84" s="442" t="n">
        <v>0.55</v>
      </c>
      <c r="P84" s="465" t="n">
        <v>0.52</v>
      </c>
    </row>
    <row r="85">
      <c r="A85" s="453" t="inlineStr">
        <is>
          <t>Retail (REITs)</t>
        </is>
      </c>
      <c r="B85" s="454" t="n">
        <v>33</v>
      </c>
      <c r="C85" s="455" t="n">
        <v>0.96</v>
      </c>
      <c r="D85" s="456" t="n">
        <v>1.4416</v>
      </c>
      <c r="E85" s="456" t="n">
        <v>0.0422</v>
      </c>
      <c r="F85" s="457" t="n">
        <v>0.46</v>
      </c>
      <c r="G85" s="458" t="n">
        <v>0.0707</v>
      </c>
      <c r="H85" s="457" t="n">
        <v>0.5</v>
      </c>
      <c r="I85" s="929" t="n">
        <v>0.186</v>
      </c>
      <c r="J85" s="460" t="n">
        <v>0.2121</v>
      </c>
      <c r="K85" s="461" t="n">
        <v>0.2453</v>
      </c>
      <c r="L85" s="462" t="n">
        <v>1.23</v>
      </c>
      <c r="M85" s="463" t="n">
        <v>1.12</v>
      </c>
      <c r="N85" s="464" t="n">
        <v>1.25</v>
      </c>
      <c r="O85" s="442" t="n">
        <v>1.47</v>
      </c>
      <c r="P85" s="465" t="n">
        <v>1.11</v>
      </c>
    </row>
    <row r="86">
      <c r="A86" s="453" t="inlineStr">
        <is>
          <t>Retail (Special Lines)</t>
        </is>
      </c>
      <c r="B86" s="454" t="n">
        <v>111</v>
      </c>
      <c r="C86" s="455" t="n">
        <v>1.53</v>
      </c>
      <c r="D86" s="456" t="n">
        <v>0.2125</v>
      </c>
      <c r="E86" s="456" t="n">
        <v>0.1055</v>
      </c>
      <c r="F86" s="457" t="n">
        <v>1.32</v>
      </c>
      <c r="G86" s="458" t="n">
        <v>0.0774</v>
      </c>
      <c r="H86" s="457" t="n">
        <v>1.43</v>
      </c>
      <c r="I86" s="929" t="n">
        <v>0.4112</v>
      </c>
      <c r="J86" s="460" t="n">
        <v>0.377</v>
      </c>
      <c r="K86" s="461" t="n">
        <v>0.2421</v>
      </c>
      <c r="L86" s="466" t="n">
        <v>0.9</v>
      </c>
      <c r="M86" s="463" t="n">
        <v>1.06</v>
      </c>
      <c r="N86" s="464" t="n">
        <v>1.24</v>
      </c>
      <c r="O86" s="442" t="n">
        <v>1.17</v>
      </c>
      <c r="P86" s="465" t="n">
        <v>1.16</v>
      </c>
    </row>
    <row r="87">
      <c r="A87" s="453" t="inlineStr">
        <is>
          <t>Rubber&amp; Tires</t>
        </is>
      </c>
      <c r="B87" s="454" t="n">
        <v>8</v>
      </c>
      <c r="C87" s="455" t="n">
        <v>1.1</v>
      </c>
      <c r="D87" s="456" t="n">
        <v>0.4377</v>
      </c>
      <c r="E87" s="456" t="n">
        <v>0.1493</v>
      </c>
      <c r="F87" s="457" t="n">
        <v>0.82</v>
      </c>
      <c r="G87" s="458" t="n">
        <v>0.09229999999999999</v>
      </c>
      <c r="H87" s="457" t="n">
        <v>0.91</v>
      </c>
      <c r="I87" s="929" t="n">
        <v>0.2771</v>
      </c>
      <c r="J87" s="460" t="n">
        <v>0.2745</v>
      </c>
      <c r="K87" s="461" t="n">
        <v>0.1874</v>
      </c>
      <c r="L87" s="462" t="n">
        <v>0.93</v>
      </c>
      <c r="M87" s="463" t="n">
        <v>0.87</v>
      </c>
      <c r="N87" s="464" t="n">
        <v>0.9</v>
      </c>
      <c r="O87" s="442" t="n">
        <v>0.88</v>
      </c>
      <c r="P87" s="465" t="n">
        <v>0.9</v>
      </c>
    </row>
    <row r="88">
      <c r="A88" s="453" t="inlineStr">
        <is>
          <t>Semiconductor</t>
        </is>
      </c>
      <c r="B88" s="454" t="n">
        <v>40</v>
      </c>
      <c r="C88" s="455" t="n">
        <v>1.4</v>
      </c>
      <c r="D88" s="456" t="n">
        <v>0.1394</v>
      </c>
      <c r="E88" s="456" t="n">
        <v>0.0457</v>
      </c>
      <c r="F88" s="457" t="n">
        <v>1.27</v>
      </c>
      <c r="G88" s="458" t="n">
        <v>0.0557</v>
      </c>
      <c r="H88" s="457" t="n">
        <v>1.34</v>
      </c>
      <c r="I88" s="929" t="n">
        <v>0.5194</v>
      </c>
      <c r="J88" s="460" t="n">
        <v>0.4452</v>
      </c>
      <c r="K88" s="461" t="n">
        <v>0.8816000000000001</v>
      </c>
      <c r="L88" s="466" t="n">
        <v>1.81</v>
      </c>
      <c r="M88" s="463" t="n">
        <v>1.16</v>
      </c>
      <c r="N88" s="464" t="n">
        <v>1.27</v>
      </c>
      <c r="O88" s="442" t="n">
        <v>1.45</v>
      </c>
      <c r="P88" s="465" t="n">
        <v>1.41</v>
      </c>
    </row>
    <row r="89">
      <c r="A89" s="453" t="inlineStr">
        <is>
          <t>Semiconductor Equip</t>
        </is>
      </c>
      <c r="B89" s="454" t="n">
        <v>22</v>
      </c>
      <c r="C89" s="455" t="n">
        <v>1.73</v>
      </c>
      <c r="D89" s="456" t="n">
        <v>0.0228</v>
      </c>
      <c r="E89" s="456" t="n">
        <v>0.1185</v>
      </c>
      <c r="F89" s="457" t="n">
        <v>1.7</v>
      </c>
      <c r="G89" s="458" t="n">
        <v>0.0227</v>
      </c>
      <c r="H89" s="457" t="n">
        <v>1.74</v>
      </c>
      <c r="I89" s="929" t="n">
        <v>0.401</v>
      </c>
      <c r="J89" s="460" t="n">
        <v>0.3469</v>
      </c>
      <c r="K89" s="461" t="n">
        <v>0.6711</v>
      </c>
      <c r="L89" s="462" t="n">
        <v>2.08</v>
      </c>
      <c r="M89" s="463" t="n">
        <v>1.37</v>
      </c>
      <c r="N89" s="464" t="n">
        <v>1.5</v>
      </c>
      <c r="O89" s="442" t="n">
        <v>1.83</v>
      </c>
      <c r="P89" s="465" t="n">
        <v>1.7</v>
      </c>
    </row>
    <row r="90">
      <c r="A90" s="453" t="inlineStr">
        <is>
          <t>Shipbuilding &amp; Marine</t>
        </is>
      </c>
      <c r="B90" s="454" t="n">
        <v>62</v>
      </c>
      <c r="C90" s="455" t="n">
        <v>0.92</v>
      </c>
      <c r="D90" s="456" t="n">
        <v>0.3732</v>
      </c>
      <c r="E90" s="456" t="n">
        <v>0.0862</v>
      </c>
      <c r="F90" s="457" t="n">
        <v>0.72</v>
      </c>
      <c r="G90" s="458" t="n">
        <v>0.1387</v>
      </c>
      <c r="H90" s="457" t="n">
        <v>0.83</v>
      </c>
      <c r="I90" s="929" t="n">
        <v>0.3433</v>
      </c>
      <c r="J90" s="460" t="n">
        <v>0.3402</v>
      </c>
      <c r="K90" s="461" t="n">
        <v>1.281</v>
      </c>
      <c r="L90" s="466" t="n">
        <v>0.9</v>
      </c>
      <c r="M90" s="463" t="n">
        <v>0.83</v>
      </c>
      <c r="N90" s="464" t="n">
        <v>0.93</v>
      </c>
      <c r="O90" s="442" t="n">
        <v>0.97</v>
      </c>
      <c r="P90" s="465" t="n">
        <v>0.89</v>
      </c>
    </row>
    <row r="91">
      <c r="A91" s="453" t="inlineStr">
        <is>
          <t>Shoe</t>
        </is>
      </c>
      <c r="B91" s="454" t="n">
        <v>10</v>
      </c>
      <c r="C91" s="455" t="n">
        <v>1.27</v>
      </c>
      <c r="D91" s="456" t="n">
        <v>0.2527</v>
      </c>
      <c r="E91" s="456" t="n">
        <v>0.1339</v>
      </c>
      <c r="F91" s="457" t="n">
        <v>1.06</v>
      </c>
      <c r="G91" s="458" t="n">
        <v>0.0392</v>
      </c>
      <c r="H91" s="457" t="n">
        <v>1.11</v>
      </c>
      <c r="I91" s="929" t="n">
        <v>0.2976</v>
      </c>
      <c r="J91" s="460" t="n">
        <v>0.3128</v>
      </c>
      <c r="K91" s="461" t="n">
        <v>0.6509</v>
      </c>
      <c r="L91" s="462" t="n">
        <v>1.67</v>
      </c>
      <c r="M91" s="463" t="n">
        <v>1.01</v>
      </c>
      <c r="N91" s="464" t="n">
        <v>1.11</v>
      </c>
      <c r="O91" s="442" t="n">
        <v>0.97</v>
      </c>
      <c r="P91" s="465" t="n">
        <v>1.17</v>
      </c>
    </row>
    <row r="92">
      <c r="A92" s="453" t="inlineStr">
        <is>
          <t>Software (Entertainment)</t>
        </is>
      </c>
      <c r="B92" s="454" t="n">
        <v>56</v>
      </c>
      <c r="C92" s="455" t="n">
        <v>1.3</v>
      </c>
      <c r="D92" s="456" t="n">
        <v>0.0871</v>
      </c>
      <c r="E92" s="456" t="n">
        <v>0.07870000000000001</v>
      </c>
      <c r="F92" s="457" t="n">
        <v>1.22</v>
      </c>
      <c r="G92" s="458" t="n">
        <v>0.0177</v>
      </c>
      <c r="H92" s="457" t="n">
        <v>1.24</v>
      </c>
      <c r="I92" s="929" t="n">
        <v>0.4486</v>
      </c>
      <c r="J92" s="460" t="n">
        <v>0.4342</v>
      </c>
      <c r="K92" s="461" t="n">
        <v>0.1824</v>
      </c>
      <c r="L92" s="466" t="n">
        <v>1.28</v>
      </c>
      <c r="M92" s="463" t="n">
        <v>1.05</v>
      </c>
      <c r="N92" s="464" t="n">
        <v>1.01</v>
      </c>
      <c r="O92" s="442" t="n">
        <v>1.26</v>
      </c>
      <c r="P92" s="465" t="n">
        <v>1.17</v>
      </c>
    </row>
    <row r="93">
      <c r="A93" s="453" t="inlineStr">
        <is>
          <t>Software (Internet)</t>
        </is>
      </c>
      <c r="B93" s="454" t="n">
        <v>28</v>
      </c>
      <c r="C93" s="455" t="n">
        <v>1.22</v>
      </c>
      <c r="D93" s="456" t="n">
        <v>0.31</v>
      </c>
      <c r="E93" s="456" t="n">
        <v>0.0838</v>
      </c>
      <c r="F93" s="457" t="n">
        <v>0.99</v>
      </c>
      <c r="G93" s="458" t="n">
        <v>0.0208</v>
      </c>
      <c r="H93" s="457" t="n">
        <v>1.01</v>
      </c>
      <c r="I93" s="929" t="n">
        <v>0.4111</v>
      </c>
      <c r="J93" s="460" t="n">
        <v>0.4101</v>
      </c>
      <c r="K93" s="461" t="n">
        <v>0.8937</v>
      </c>
      <c r="L93" s="462" t="n">
        <v>0.95</v>
      </c>
      <c r="M93" s="463" t="n">
        <v>0.7</v>
      </c>
      <c r="N93" s="464" t="n">
        <v>0.85</v>
      </c>
      <c r="O93" s="442" t="n">
        <v>1.04</v>
      </c>
      <c r="P93" s="465" t="n">
        <v>0.91</v>
      </c>
    </row>
    <row r="94">
      <c r="A94" s="453" t="inlineStr">
        <is>
          <t>Software (System &amp; Application)</t>
        </is>
      </c>
      <c r="B94" s="454" t="n">
        <v>339</v>
      </c>
      <c r="C94" s="455" t="n">
        <v>1.08</v>
      </c>
      <c r="D94" s="456" t="n">
        <v>0.0745</v>
      </c>
      <c r="E94" s="456" t="n">
        <v>0.0789</v>
      </c>
      <c r="F94" s="457" t="n">
        <v>1.02</v>
      </c>
      <c r="G94" s="458" t="n">
        <v>0.0533</v>
      </c>
      <c r="H94" s="457" t="n">
        <v>1.08</v>
      </c>
      <c r="I94" s="929" t="n">
        <v>0.4218</v>
      </c>
      <c r="J94" s="460" t="n">
        <v>0.3916</v>
      </c>
      <c r="K94" s="461" t="n">
        <v>0.1096</v>
      </c>
      <c r="L94" s="466" t="n">
        <v>1.11</v>
      </c>
      <c r="M94" s="463" t="n">
        <v>0.86</v>
      </c>
      <c r="N94" s="464" t="n">
        <v>0.98</v>
      </c>
      <c r="O94" s="442" t="n">
        <v>1.12</v>
      </c>
      <c r="P94" s="465" t="n">
        <v>1.03</v>
      </c>
    </row>
    <row r="95">
      <c r="A95" s="453" t="inlineStr">
        <is>
          <t>Steel</t>
        </is>
      </c>
      <c r="B95" s="454" t="n">
        <v>59</v>
      </c>
      <c r="C95" s="455" t="n">
        <v>1.04</v>
      </c>
      <c r="D95" s="456" t="n">
        <v>0.451</v>
      </c>
      <c r="E95" s="456" t="n">
        <v>0.1284</v>
      </c>
      <c r="F95" s="457" t="n">
        <v>0.78</v>
      </c>
      <c r="G95" s="458" t="n">
        <v>0.2265</v>
      </c>
      <c r="H95" s="457" t="n">
        <v>1</v>
      </c>
      <c r="I95" s="929" t="n">
        <v>0.349</v>
      </c>
      <c r="J95" s="460" t="n">
        <v>0.3434</v>
      </c>
      <c r="K95" s="461" t="n">
        <v>0.9536</v>
      </c>
      <c r="L95" s="462" t="n">
        <v>1</v>
      </c>
      <c r="M95" s="463" t="n">
        <v>1.04</v>
      </c>
      <c r="N95" s="464" t="n">
        <v>1.12</v>
      </c>
      <c r="O95" s="442" t="n">
        <v>1.08</v>
      </c>
      <c r="P95" s="465" t="n">
        <v>1.05</v>
      </c>
    </row>
    <row r="96">
      <c r="A96" s="453" t="inlineStr">
        <is>
          <t>Telecom (Wireless)</t>
        </is>
      </c>
      <c r="B96" s="454" t="n">
        <v>12</v>
      </c>
      <c r="C96" s="455" t="n">
        <v>0.74</v>
      </c>
      <c r="D96" s="456" t="n">
        <v>1.7894</v>
      </c>
      <c r="E96" s="456" t="n">
        <v>0.1942</v>
      </c>
      <c r="F96" s="457" t="n">
        <v>0.32</v>
      </c>
      <c r="G96" s="458" t="n">
        <v>0.0781</v>
      </c>
      <c r="H96" s="457" t="n">
        <v>0.34</v>
      </c>
      <c r="I96" s="929" t="n">
        <v>0.2867</v>
      </c>
      <c r="J96" s="460" t="n">
        <v>0.2647</v>
      </c>
      <c r="K96" s="461" t="n">
        <v>0.4506</v>
      </c>
      <c r="L96" s="466" t="n">
        <v>0.47</v>
      </c>
      <c r="M96" s="463" t="n">
        <v>0.43</v>
      </c>
      <c r="N96" s="464" t="n">
        <v>0.48</v>
      </c>
      <c r="O96" s="442" t="n">
        <v>0.3</v>
      </c>
      <c r="P96" s="465" t="n">
        <v>0.41</v>
      </c>
    </row>
    <row r="97">
      <c r="A97" s="453" t="inlineStr">
        <is>
          <t>Telecom. Equipment</t>
        </is>
      </c>
      <c r="B97" s="454" t="n">
        <v>54</v>
      </c>
      <c r="C97" s="455" t="n">
        <v>0.93</v>
      </c>
      <c r="D97" s="456" t="n">
        <v>0.2372</v>
      </c>
      <c r="E97" s="456" t="n">
        <v>0.08019999999999999</v>
      </c>
      <c r="F97" s="457" t="n">
        <v>0.79</v>
      </c>
      <c r="G97" s="458" t="n">
        <v>0.1393</v>
      </c>
      <c r="H97" s="457" t="n">
        <v>0.92</v>
      </c>
      <c r="I97" s="929" t="n">
        <v>0.4294</v>
      </c>
      <c r="J97" s="460" t="n">
        <v>0.3332</v>
      </c>
      <c r="K97" s="461" t="n">
        <v>0.4677</v>
      </c>
      <c r="L97" s="462" t="n">
        <v>1.3</v>
      </c>
      <c r="M97" s="463" t="n">
        <v>0.98</v>
      </c>
      <c r="N97" s="464" t="n">
        <v>1.06</v>
      </c>
      <c r="O97" s="442" t="n">
        <v>0.96</v>
      </c>
      <c r="P97" s="465" t="n">
        <v>1.04</v>
      </c>
    </row>
    <row r="98">
      <c r="A98" s="453" t="inlineStr">
        <is>
          <t>Telecom. Services</t>
        </is>
      </c>
      <c r="B98" s="454" t="n">
        <v>64</v>
      </c>
      <c r="C98" s="455" t="n">
        <v>0.85</v>
      </c>
      <c r="D98" s="456" t="n">
        <v>1.12</v>
      </c>
      <c r="E98" s="456" t="n">
        <v>0.1225</v>
      </c>
      <c r="F98" s="457" t="n">
        <v>0.46</v>
      </c>
      <c r="G98" s="458" t="n">
        <v>0.0411</v>
      </c>
      <c r="H98" s="457" t="n">
        <v>0.48</v>
      </c>
      <c r="I98" s="929" t="n">
        <v>0.3089</v>
      </c>
      <c r="J98" s="460" t="n">
        <v>0.2621</v>
      </c>
      <c r="K98" s="461" t="n">
        <v>0.1101</v>
      </c>
      <c r="L98" s="466" t="n">
        <v>0.42</v>
      </c>
      <c r="M98" s="463" t="n">
        <v>0.37</v>
      </c>
      <c r="N98" s="464" t="n">
        <v>0.39</v>
      </c>
      <c r="O98" s="442" t="n">
        <v>0.44</v>
      </c>
      <c r="P98" s="465" t="n">
        <v>0.42</v>
      </c>
    </row>
    <row r="99">
      <c r="A99" s="453" t="inlineStr">
        <is>
          <t>Tobacco</t>
        </is>
      </c>
      <c r="B99" s="454" t="n">
        <v>6</v>
      </c>
      <c r="C99" s="455" t="n">
        <v>0.55</v>
      </c>
      <c r="D99" s="456" t="n">
        <v>0.7459</v>
      </c>
      <c r="E99" s="456" t="n">
        <v>0.1767</v>
      </c>
      <c r="F99" s="457" t="n">
        <v>0.35</v>
      </c>
      <c r="G99" s="458" t="n">
        <v>0.0442</v>
      </c>
      <c r="H99" s="457" t="n">
        <v>0.37</v>
      </c>
      <c r="I99" s="929" t="n">
        <v>0.2122</v>
      </c>
      <c r="J99" s="460" t="n">
        <v>0.1828</v>
      </c>
      <c r="K99" s="461" t="n">
        <v>0.2383</v>
      </c>
      <c r="L99" s="462" t="n">
        <v>0.4</v>
      </c>
      <c r="M99" s="463" t="n">
        <v>0.33</v>
      </c>
      <c r="N99" s="464" t="n">
        <v>0.37</v>
      </c>
      <c r="O99" s="442" t="n">
        <v>0.29</v>
      </c>
      <c r="P99" s="465" t="n">
        <v>0.35</v>
      </c>
    </row>
    <row r="100">
      <c r="A100" s="453" t="inlineStr">
        <is>
          <t>Transportation</t>
        </is>
      </c>
      <c r="B100" s="454" t="n">
        <v>101</v>
      </c>
      <c r="C100" s="455" t="n">
        <v>0.97</v>
      </c>
      <c r="D100" s="456" t="n">
        <v>0.2582</v>
      </c>
      <c r="E100" s="456" t="n">
        <v>0.1399</v>
      </c>
      <c r="F100" s="457" t="n">
        <v>0.8100000000000001</v>
      </c>
      <c r="G100" s="458" t="n">
        <v>0.0447</v>
      </c>
      <c r="H100" s="457" t="n">
        <v>0.85</v>
      </c>
      <c r="I100" s="929" t="n">
        <v>0.3454</v>
      </c>
      <c r="J100" s="460" t="n">
        <v>0.3325</v>
      </c>
      <c r="K100" s="461" t="n">
        <v>0.2124</v>
      </c>
      <c r="L100" s="466" t="n">
        <v>0.62</v>
      </c>
      <c r="M100" s="463" t="n">
        <v>0.61</v>
      </c>
      <c r="N100" s="464" t="n">
        <v>0.73</v>
      </c>
      <c r="O100" s="442" t="n">
        <v>0.85</v>
      </c>
      <c r="P100" s="465" t="n">
        <v>0.73</v>
      </c>
    </row>
    <row r="101">
      <c r="A101" s="453" t="inlineStr">
        <is>
          <t>Transportation (Railroads)</t>
        </is>
      </c>
      <c r="B101" s="454" t="n">
        <v>7</v>
      </c>
      <c r="C101" s="455" t="n">
        <v>0.91</v>
      </c>
      <c r="D101" s="456" t="n">
        <v>0.8225</v>
      </c>
      <c r="E101" s="456" t="n">
        <v>0.1626</v>
      </c>
      <c r="F101" s="457" t="n">
        <v>0.5600000000000001</v>
      </c>
      <c r="G101" s="458" t="n">
        <v>0.1659</v>
      </c>
      <c r="H101" s="457" t="n">
        <v>0.67</v>
      </c>
      <c r="I101" s="929" t="n">
        <v>0.2203</v>
      </c>
      <c r="J101" s="460" t="n">
        <v>0.1704</v>
      </c>
      <c r="K101" s="461" t="n">
        <v>0.6702</v>
      </c>
      <c r="L101" s="462" t="n">
        <v>0.5</v>
      </c>
      <c r="M101" s="463" t="n">
        <v>0.54</v>
      </c>
      <c r="N101" s="464" t="n">
        <v>1.01</v>
      </c>
      <c r="O101" s="442" t="n">
        <v>0.8100000000000001</v>
      </c>
      <c r="P101" s="465" t="n">
        <v>0.71</v>
      </c>
    </row>
    <row r="102">
      <c r="A102" s="453" t="inlineStr">
        <is>
          <t>Trucking</t>
        </is>
      </c>
      <c r="B102" s="454" t="n">
        <v>6</v>
      </c>
      <c r="C102" s="455" t="n">
        <v>1.09</v>
      </c>
      <c r="D102" s="456" t="n">
        <v>0.5724</v>
      </c>
      <c r="E102" s="456" t="n">
        <v>0.2163</v>
      </c>
      <c r="F102" s="457" t="n">
        <v>0.76</v>
      </c>
      <c r="G102" s="458" t="n">
        <v>0.0476</v>
      </c>
      <c r="H102" s="457" t="n">
        <v>0.8</v>
      </c>
      <c r="I102" s="929" t="n">
        <v>0.2388</v>
      </c>
      <c r="J102" s="460" t="n">
        <v>0.2678</v>
      </c>
      <c r="K102" s="461" t="n">
        <v>0.3899</v>
      </c>
      <c r="L102" s="466" t="n">
        <v>0.43</v>
      </c>
      <c r="M102" s="463" t="n">
        <v>0.39</v>
      </c>
      <c r="N102" s="464" t="n">
        <v>0.55</v>
      </c>
      <c r="O102" s="442" t="n">
        <v>0.44</v>
      </c>
      <c r="P102" s="465" t="n">
        <v>0.52</v>
      </c>
    </row>
    <row r="103">
      <c r="A103" s="453" t="inlineStr">
        <is>
          <t>Utility (General)</t>
        </is>
      </c>
      <c r="B103" s="454" t="n">
        <v>16</v>
      </c>
      <c r="C103" s="455" t="n">
        <v>0.89</v>
      </c>
      <c r="D103" s="456" t="n">
        <v>1.0955</v>
      </c>
      <c r="E103" s="456" t="n">
        <v>0.1961</v>
      </c>
      <c r="F103" s="457" t="n">
        <v>0.49</v>
      </c>
      <c r="G103" s="458" t="n">
        <v>0.1224</v>
      </c>
      <c r="H103" s="457" t="n">
        <v>0.55</v>
      </c>
      <c r="I103" s="929" t="n">
        <v>0.1943</v>
      </c>
      <c r="J103" s="460" t="n">
        <v>0.1919</v>
      </c>
      <c r="K103" s="461" t="n">
        <v>0.2587</v>
      </c>
      <c r="L103" s="462" t="n">
        <v>0.41</v>
      </c>
      <c r="M103" s="463" t="n">
        <v>0.43</v>
      </c>
      <c r="N103" s="464" t="n">
        <v>0.49</v>
      </c>
      <c r="O103" s="442" t="n">
        <v>0.47</v>
      </c>
      <c r="P103" s="465" t="n">
        <v>0.47</v>
      </c>
    </row>
    <row r="104">
      <c r="A104" s="453" t="inlineStr">
        <is>
          <t>Utility (Water)</t>
        </is>
      </c>
      <c r="B104" s="454" t="n">
        <v>12</v>
      </c>
      <c r="C104" s="455" t="n">
        <v>0.76</v>
      </c>
      <c r="D104" s="456" t="n">
        <v>1.1021</v>
      </c>
      <c r="E104" s="456" t="n">
        <v>0.0959</v>
      </c>
      <c r="F104" s="457" t="n">
        <v>0.42</v>
      </c>
      <c r="G104" s="458" t="n">
        <v>0.0166</v>
      </c>
      <c r="H104" s="457" t="n">
        <v>0.42</v>
      </c>
      <c r="I104" s="929" t="n">
        <v>0.2015</v>
      </c>
      <c r="J104" s="460" t="n">
        <v>0.3326</v>
      </c>
      <c r="K104" s="461" t="n">
        <v>0.1656</v>
      </c>
      <c r="L104" s="466" t="n">
        <v>0.29</v>
      </c>
      <c r="M104" s="463" t="n">
        <v>0.26</v>
      </c>
      <c r="N104" s="464" t="n">
        <v>0.28</v>
      </c>
      <c r="O104" s="442" t="n">
        <v>0.35</v>
      </c>
      <c r="P104" s="465" t="n">
        <v>0.32</v>
      </c>
    </row>
    <row r="105" customFormat="1" s="439">
      <c r="A105" s="453" t="inlineStr">
        <is>
          <t>Total Market</t>
        </is>
      </c>
      <c r="B105" s="454" t="n">
        <v>6971</v>
      </c>
      <c r="C105" s="455" t="n">
        <v>1</v>
      </c>
      <c r="D105" s="456" t="n">
        <v>0.8217</v>
      </c>
      <c r="E105" s="456" t="n">
        <v>0.1157</v>
      </c>
      <c r="F105" s="457" t="n">
        <v>0.62</v>
      </c>
      <c r="G105" s="458" t="n">
        <v>0.1602</v>
      </c>
      <c r="H105" s="457" t="n">
        <v>0.74</v>
      </c>
      <c r="I105" s="929" t="n">
        <v>0.3588</v>
      </c>
      <c r="J105" s="467" t="n">
        <v>0.3326</v>
      </c>
      <c r="K105" s="468" t="n">
        <v>0.2306</v>
      </c>
      <c r="L105" s="462" t="n">
        <v>0.7</v>
      </c>
      <c r="M105" s="463" t="n">
        <v>0.67</v>
      </c>
      <c r="N105" s="464" t="n">
        <v>0.79</v>
      </c>
      <c r="O105" s="442" t="n">
        <v>0.78</v>
      </c>
      <c r="P105" s="465" t="n">
        <v>0.74</v>
      </c>
    </row>
    <row r="106" customFormat="1" s="439">
      <c r="A106" s="453" t="inlineStr">
        <is>
          <t>Total Market (without financials)</t>
        </is>
      </c>
      <c r="B106" s="454" t="n">
        <v>6134</v>
      </c>
      <c r="C106" s="455" t="n">
        <v>1.02</v>
      </c>
      <c r="D106" s="456" t="n">
        <v>0.3625</v>
      </c>
      <c r="E106" s="456" t="n">
        <v>0.1141</v>
      </c>
      <c r="F106" s="457" t="n">
        <v>0.8</v>
      </c>
      <c r="G106" s="458" t="n">
        <v>0.0655</v>
      </c>
      <c r="H106" s="457" t="n">
        <v>0.86</v>
      </c>
      <c r="I106" s="929" t="n">
        <v>0.3679</v>
      </c>
      <c r="J106" s="469" t="n">
        <v>0.3395</v>
      </c>
      <c r="K106" s="470" t="n">
        <v>0.252</v>
      </c>
      <c r="L106" s="466" t="n">
        <v>0.85</v>
      </c>
      <c r="M106" s="463" t="n">
        <v>0.78</v>
      </c>
      <c r="N106" s="464" t="n">
        <v>0.87</v>
      </c>
      <c r="O106" s="442" t="n">
        <v>0.88</v>
      </c>
      <c r="P106" s="465" t="n">
        <v>0.85</v>
      </c>
    </row>
  </sheetData>
  <pageMargins left="0.75" right="0.75" top="1" bottom="1" header="0.5" footer="0.5"/>
  <pageSetup orientation="landscape" scale="60" horizontalDpi="4294967292" verticalDpi="4294967292"/>
</worksheet>
</file>

<file path=xl/worksheets/sheet23.xml><?xml version="1.0" encoding="utf-8"?>
<worksheet xmlns="http://schemas.openxmlformats.org/spreadsheetml/2006/main">
  <sheetPr>
    <tabColor theme="1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tabColor theme="4" tint="0.5999938962981048"/>
    <outlinePr summaryBelow="1" summaryRight="1"/>
    <pageSetUpPr/>
  </sheetPr>
  <dimension ref="A1:S137"/>
  <sheetViews>
    <sheetView showGridLines="0" zoomScaleNormal="100" workbookViewId="0">
      <selection activeCell="K20" sqref="K20"/>
    </sheetView>
  </sheetViews>
  <sheetFormatPr baseColWidth="8" defaultColWidth="9.109375" defaultRowHeight="13.2" outlineLevelRow="1"/>
  <cols>
    <col width="10.6640625" bestFit="1" customWidth="1" style="518" min="1" max="1"/>
    <col width="35.109375" customWidth="1" style="518" min="2" max="2"/>
    <col width="8.5546875" customWidth="1" style="784" min="3" max="3"/>
    <col width="8.5546875" customWidth="1" style="518" min="4" max="13"/>
    <col width="9.109375" customWidth="1" style="518" min="14" max="14"/>
    <col width="23" customWidth="1" style="518" min="15" max="15"/>
    <col width="9.109375" customWidth="1" style="784" min="16" max="16"/>
    <col width="23.5546875" customWidth="1" style="518" min="17" max="17"/>
    <col width="9.109375" customWidth="1" style="518" min="18" max="16384"/>
  </cols>
  <sheetData>
    <row r="1">
      <c r="A1" s="1">
        <f>SUM(A2:A200)</f>
        <v/>
      </c>
    </row>
    <row r="3">
      <c r="B3" s="406">
        <f>"Assumptie waardering LBO - "&amp;Historiek!A2</f>
        <v/>
      </c>
      <c r="C3" s="13" t="n"/>
    </row>
    <row r="4">
      <c r="B4" s="738" t="inlineStr">
        <is>
          <t>k€</t>
        </is>
      </c>
      <c r="C4" s="743" t="n"/>
    </row>
    <row r="5">
      <c r="B5" s="406" t="inlineStr">
        <is>
          <t>EV / EBITDA multiple</t>
        </is>
      </c>
      <c r="C5" s="930" t="n">
        <v>0</v>
      </c>
    </row>
    <row r="6">
      <c r="B6" s="2" t="inlineStr">
        <is>
          <t>EBITDA 2022</t>
        </is>
      </c>
      <c r="C6" s="21">
        <f>'BP - Annual'!F61</f>
        <v/>
      </c>
    </row>
    <row r="7">
      <c r="B7" s="24" t="inlineStr">
        <is>
          <t>Enterprise value</t>
        </is>
      </c>
      <c r="C7" s="25">
        <f>C5*C6</f>
        <v/>
      </c>
    </row>
    <row r="8">
      <c r="B8" s="2" t="inlineStr">
        <is>
          <t>NFD per Dec'22</t>
        </is>
      </c>
      <c r="C8" s="21">
        <f>'BP - Annual'!F141</f>
        <v/>
      </c>
    </row>
    <row r="9">
      <c r="B9" s="24" t="inlineStr">
        <is>
          <t>Equity value</t>
        </is>
      </c>
      <c r="C9" s="25">
        <f>SUM(C7:C8)</f>
        <v/>
      </c>
    </row>
    <row r="11">
      <c r="O11" s="24">
        <f>"Structurering - "&amp;Historiek!A2</f>
        <v/>
      </c>
    </row>
    <row r="12">
      <c r="O12" s="738" t="inlineStr">
        <is>
          <t>Sources</t>
        </is>
      </c>
      <c r="P12" s="785" t="n"/>
      <c r="Q12" s="738" t="inlineStr">
        <is>
          <t>Uses</t>
        </is>
      </c>
      <c r="R12" s="738" t="n"/>
    </row>
    <row r="13">
      <c r="H13" s="794" t="n"/>
      <c r="N13" s="531">
        <f>N14</f>
        <v/>
      </c>
      <c r="O13" s="2" t="inlineStr">
        <is>
          <t>Equity LRM</t>
        </is>
      </c>
      <c r="P13" s="21">
        <f>N13*$P$16</f>
        <v/>
      </c>
      <c r="Q13" s="2" t="inlineStr">
        <is>
          <t>Prijs</t>
        </is>
      </c>
      <c r="R13" s="5">
        <f>C9</f>
        <v/>
      </c>
    </row>
    <row r="14">
      <c r="H14" s="794" t="n"/>
      <c r="N14" s="531">
        <f>(1-N15)/2</f>
        <v/>
      </c>
      <c r="O14" s="2" t="inlineStr">
        <is>
          <t>Equity co-investor</t>
        </is>
      </c>
      <c r="P14" s="21">
        <f>N14*$P$16</f>
        <v/>
      </c>
      <c r="Q14" s="2" t="inlineStr">
        <is>
          <t>Bestaande NFD</t>
        </is>
      </c>
      <c r="R14" s="5">
        <f>-C8</f>
        <v/>
      </c>
    </row>
    <row r="15">
      <c r="H15" s="794" t="n"/>
      <c r="N15" s="519" t="n">
        <v>0.3</v>
      </c>
      <c r="O15" s="2" t="inlineStr">
        <is>
          <t>Equity Mngt</t>
        </is>
      </c>
      <c r="P15" s="21">
        <f>N15*$P$16</f>
        <v/>
      </c>
      <c r="Q15" s="3" t="inlineStr">
        <is>
          <t>Transactiekosten</t>
        </is>
      </c>
      <c r="R15" s="8" t="n">
        <v>0</v>
      </c>
    </row>
    <row r="16">
      <c r="H16" s="794" t="n"/>
      <c r="N16" s="520" t="n">
        <v>0.4</v>
      </c>
      <c r="O16" s="406" t="inlineStr">
        <is>
          <t>Totaal equity</t>
        </is>
      </c>
      <c r="P16" s="15">
        <f>N16*R21</f>
        <v/>
      </c>
    </row>
    <row r="17">
      <c r="N17" s="519" t="n">
        <v>0.6</v>
      </c>
      <c r="O17" s="518" t="inlineStr">
        <is>
          <t>Amortizing bank debt</t>
        </is>
      </c>
      <c r="P17" s="21">
        <f>N17*$P$20</f>
        <v/>
      </c>
    </row>
    <row r="18">
      <c r="N18" s="519" t="n">
        <v>0.3</v>
      </c>
      <c r="O18" s="518" t="inlineStr">
        <is>
          <t>Bullet bank debt</t>
        </is>
      </c>
      <c r="P18" s="21">
        <f>N18*$P$20</f>
        <v/>
      </c>
    </row>
    <row r="19">
      <c r="N19" s="519" t="n">
        <v>0.1</v>
      </c>
      <c r="O19" s="518" t="inlineStr">
        <is>
          <t>Vendor loan</t>
        </is>
      </c>
      <c r="P19" s="21">
        <f>N19*$P$20</f>
        <v/>
      </c>
    </row>
    <row r="20">
      <c r="N20" s="520" t="n">
        <v>0.6</v>
      </c>
      <c r="O20" s="521" t="inlineStr">
        <is>
          <t>Totaal schuld</t>
        </is>
      </c>
      <c r="P20" s="522">
        <f>N20*$R$21</f>
        <v/>
      </c>
      <c r="Q20" s="523" t="n"/>
      <c r="R20" s="523" t="n"/>
    </row>
    <row r="21">
      <c r="O21" s="24" t="inlineStr">
        <is>
          <t>Totaal</t>
        </is>
      </c>
      <c r="P21" s="25">
        <f>SUM(P16,P20)</f>
        <v/>
      </c>
      <c r="Q21" s="24" t="inlineStr">
        <is>
          <t>Totaal</t>
        </is>
      </c>
      <c r="R21" s="420">
        <f>SUM(R13:R15)</f>
        <v/>
      </c>
    </row>
    <row r="23" outlineLevel="1">
      <c r="A23" s="10">
        <f>SUM(P23:R23)</f>
        <v/>
      </c>
      <c r="B23" s="3" t="inlineStr">
        <is>
          <t>Check</t>
        </is>
      </c>
      <c r="O23" s="3" t="n"/>
      <c r="P23" s="20">
        <f>SUM(P13:P15,P17:P19)-P21</f>
        <v/>
      </c>
      <c r="R23" s="8">
        <f>P21-R21</f>
        <v/>
      </c>
    </row>
    <row r="25">
      <c r="B25" s="406">
        <f>"Resultatenrekening - "&amp;Historiek!A2</f>
        <v/>
      </c>
      <c r="C25" s="13" t="n"/>
      <c r="D25" s="407" t="n"/>
      <c r="E25" s="407" t="n"/>
      <c r="F25" s="407" t="n"/>
      <c r="G25" s="407" t="n"/>
      <c r="H25" s="407" t="n"/>
      <c r="I25" s="524" t="inlineStr">
        <is>
          <t>Added</t>
        </is>
      </c>
      <c r="J25" s="524" t="inlineStr">
        <is>
          <t>Added</t>
        </is>
      </c>
      <c r="K25" s="524" t="inlineStr">
        <is>
          <t>Added</t>
        </is>
      </c>
      <c r="L25" s="407" t="n"/>
      <c r="M25" s="407" t="n"/>
    </row>
    <row r="26">
      <c r="B26" s="738">
        <f>'BP - Annual'!C4</f>
        <v/>
      </c>
      <c r="C26" s="743">
        <f>'BP - Annual'!F4</f>
        <v/>
      </c>
      <c r="D26" s="741">
        <f>'BP - Annual'!G4</f>
        <v/>
      </c>
      <c r="E26" s="741">
        <f>'BP - Annual'!H4</f>
        <v/>
      </c>
      <c r="F26" s="741">
        <f>'BP - Annual'!I4</f>
        <v/>
      </c>
      <c r="G26" s="741">
        <f>'BP - Annual'!J4</f>
        <v/>
      </c>
      <c r="H26" s="741">
        <f>'BP - Annual'!K4</f>
        <v/>
      </c>
      <c r="I26" s="741">
        <f>"FY"&amp;RIGHT(H26,2)+1</f>
        <v/>
      </c>
      <c r="J26" s="741">
        <f>"FY"&amp;RIGHT(I26,2)+1</f>
        <v/>
      </c>
      <c r="K26" s="741">
        <f>"FY"&amp;RIGHT(J26,2)+1</f>
        <v/>
      </c>
    </row>
    <row r="27">
      <c r="B27" s="414" t="inlineStr">
        <is>
          <t>Omzet</t>
        </is>
      </c>
      <c r="C27" s="21">
        <f>'BP - Annual'!F52</f>
        <v/>
      </c>
      <c r="D27" s="5">
        <f>'BP - Annual'!G52</f>
        <v/>
      </c>
      <c r="E27" s="5">
        <f>'BP - Annual'!H52</f>
        <v/>
      </c>
      <c r="F27" s="5">
        <f>'BP - Annual'!I52</f>
        <v/>
      </c>
      <c r="G27" s="5">
        <f>'BP - Annual'!J52</f>
        <v/>
      </c>
      <c r="H27" s="5">
        <f>'BP - Annual'!K52</f>
        <v/>
      </c>
      <c r="I27" s="5">
        <f>H27*(1+I29)</f>
        <v/>
      </c>
      <c r="J27" s="5">
        <f>I27*(1+J29)</f>
        <v/>
      </c>
      <c r="K27" s="5">
        <f>J27*(1+K29)</f>
        <v/>
      </c>
    </row>
    <row r="28">
      <c r="B28" s="795" t="inlineStr">
        <is>
          <t xml:space="preserve">Totale bedrijfsopbrengsten </t>
        </is>
      </c>
      <c r="C28" s="801">
        <f>SUM(C27)</f>
        <v/>
      </c>
      <c r="D28" s="525">
        <f>SUM(D27)</f>
        <v/>
      </c>
      <c r="E28" s="525">
        <f>SUM(E27)</f>
        <v/>
      </c>
      <c r="F28" s="525">
        <f>SUM(F27)</f>
        <v/>
      </c>
      <c r="G28" s="525">
        <f>SUM(G27)</f>
        <v/>
      </c>
      <c r="H28" s="525">
        <f>SUM(H27)</f>
        <v/>
      </c>
      <c r="I28" s="525">
        <f>SUM(I27)</f>
        <v/>
      </c>
      <c r="J28" s="525">
        <f>SUM(J27)</f>
        <v/>
      </c>
      <c r="K28" s="525">
        <f>SUM(K27)</f>
        <v/>
      </c>
    </row>
    <row r="29">
      <c r="B29" s="744" t="inlineStr">
        <is>
          <t>Groei %</t>
        </is>
      </c>
      <c r="C29" s="746" t="inlineStr">
        <is>
          <t>n/a</t>
        </is>
      </c>
      <c r="D29" s="745">
        <f>IFERROR(D28/C28-1,"n/a")</f>
        <v/>
      </c>
      <c r="E29" s="745">
        <f>IFERROR(E28/D28-1,"n/a")</f>
        <v/>
      </c>
      <c r="F29" s="745">
        <f>IFERROR(F28/E28-1,"n/a")</f>
        <v/>
      </c>
      <c r="G29" s="745">
        <f>IFERROR(G28/F28-1,"n/a")</f>
        <v/>
      </c>
      <c r="H29" s="745">
        <f>IFERROR(H28/G28-1,"n/a")</f>
        <v/>
      </c>
      <c r="I29" s="786" t="n">
        <v>0.05</v>
      </c>
      <c r="J29" s="786" t="n">
        <v>0.03</v>
      </c>
      <c r="K29" s="786" t="n">
        <v>0.025</v>
      </c>
    </row>
    <row r="30">
      <c r="B30" s="414" t="inlineStr">
        <is>
          <t>COGS</t>
        </is>
      </c>
      <c r="C30" s="21">
        <f>'BP - Annual'!F53</f>
        <v/>
      </c>
      <c r="D30" s="5">
        <f>'BP - Annual'!G53</f>
        <v/>
      </c>
      <c r="E30" s="5">
        <f>'BP - Annual'!H53</f>
        <v/>
      </c>
      <c r="F30" s="5">
        <f>'BP - Annual'!I53</f>
        <v/>
      </c>
      <c r="G30" s="5">
        <f>'BP - Annual'!J53</f>
        <v/>
      </c>
      <c r="H30" s="5">
        <f>'BP - Annual'!K53</f>
        <v/>
      </c>
      <c r="I30" s="5">
        <f>I31-I28</f>
        <v/>
      </c>
      <c r="J30" s="5">
        <f>J31-J28</f>
        <v/>
      </c>
      <c r="K30" s="5">
        <f>K31-K28</f>
        <v/>
      </c>
    </row>
    <row r="31">
      <c r="B31" s="417" t="inlineStr">
        <is>
          <t>Brutomarge</t>
        </is>
      </c>
      <c r="C31" s="22">
        <f>SUM(C28,C30)</f>
        <v/>
      </c>
      <c r="D31" s="7">
        <f>SUM(D28,D30)</f>
        <v/>
      </c>
      <c r="E31" s="7">
        <f>SUM(E28,E30)</f>
        <v/>
      </c>
      <c r="F31" s="7">
        <f>SUM(F28,F30)</f>
        <v/>
      </c>
      <c r="G31" s="7">
        <f>SUM(G28,G30)</f>
        <v/>
      </c>
      <c r="H31" s="7">
        <f>SUM(H28,H30)</f>
        <v/>
      </c>
      <c r="I31" s="7">
        <f>I28*I32</f>
        <v/>
      </c>
      <c r="J31" s="7">
        <f>J28*J32</f>
        <v/>
      </c>
      <c r="K31" s="7">
        <f>K28*K32</f>
        <v/>
      </c>
    </row>
    <row r="32">
      <c r="B32" s="744" t="inlineStr">
        <is>
          <t>Brutomarge %</t>
        </is>
      </c>
      <c r="C32" s="746">
        <f>IFERROR(C31/C28,"n/a")</f>
        <v/>
      </c>
      <c r="D32" s="745">
        <f>IFERROR(D31/D28,"n/a")</f>
        <v/>
      </c>
      <c r="E32" s="745">
        <f>IFERROR(E31/E28,"n/a")</f>
        <v/>
      </c>
      <c r="F32" s="745">
        <f>IFERROR(F31/F28,"n/a")</f>
        <v/>
      </c>
      <c r="G32" s="745">
        <f>IFERROR(G31/G28,"n/a")</f>
        <v/>
      </c>
      <c r="H32" s="745">
        <f>IFERROR(H31/H28,"n/a")</f>
        <v/>
      </c>
      <c r="I32" s="786">
        <f>H32</f>
        <v/>
      </c>
      <c r="J32" s="786">
        <f>I32</f>
        <v/>
      </c>
      <c r="K32" s="786">
        <f>J32</f>
        <v/>
      </c>
    </row>
    <row r="33">
      <c r="B33" s="414" t="inlineStr">
        <is>
          <t>Overhead</t>
        </is>
      </c>
      <c r="C33" s="21">
        <f>SUM('BP - Annual'!F56:F60)</f>
        <v/>
      </c>
      <c r="D33" s="5">
        <f>SUM('BP - Annual'!G56:G60)</f>
        <v/>
      </c>
      <c r="E33" s="5">
        <f>SUM('BP - Annual'!H56:H60)</f>
        <v/>
      </c>
      <c r="F33" s="5">
        <f>SUM('BP - Annual'!I56:I60)</f>
        <v/>
      </c>
      <c r="G33" s="5">
        <f>SUM('BP - Annual'!J56:J60)</f>
        <v/>
      </c>
      <c r="H33" s="5">
        <f>SUM('BP - Annual'!K56:K60)</f>
        <v/>
      </c>
      <c r="I33" s="5">
        <f>I34-I31</f>
        <v/>
      </c>
      <c r="J33" s="5">
        <f>J34-J31</f>
        <v/>
      </c>
      <c r="K33" s="5">
        <f>K34-K31</f>
        <v/>
      </c>
    </row>
    <row r="34">
      <c r="B34" s="417" t="inlineStr">
        <is>
          <t>EBITDA</t>
        </is>
      </c>
      <c r="C34" s="22">
        <f>SUM(C31,C33)</f>
        <v/>
      </c>
      <c r="D34" s="7">
        <f>SUM(D31,D33)</f>
        <v/>
      </c>
      <c r="E34" s="7">
        <f>SUM(E31,E33)</f>
        <v/>
      </c>
      <c r="F34" s="7">
        <f>SUM(F31,F33)</f>
        <v/>
      </c>
      <c r="G34" s="7">
        <f>SUM(G31,G33)</f>
        <v/>
      </c>
      <c r="H34" s="7">
        <f>SUM(H31,H33)</f>
        <v/>
      </c>
      <c r="I34" s="7">
        <f>I35*I28</f>
        <v/>
      </c>
      <c r="J34" s="7">
        <f>J35*J28</f>
        <v/>
      </c>
      <c r="K34" s="7">
        <f>K35*K28</f>
        <v/>
      </c>
    </row>
    <row r="35">
      <c r="B35" s="744" t="inlineStr">
        <is>
          <t>EBITDA %</t>
        </is>
      </c>
      <c r="C35" s="746">
        <f>IFERROR(C34/C28,"n/a")</f>
        <v/>
      </c>
      <c r="D35" s="745">
        <f>IFERROR(D34/D28,"n/a")</f>
        <v/>
      </c>
      <c r="E35" s="745">
        <f>IFERROR(E34/E28,"n/a")</f>
        <v/>
      </c>
      <c r="F35" s="745">
        <f>IFERROR(F34/F28,"n/a")</f>
        <v/>
      </c>
      <c r="G35" s="745">
        <f>IFERROR(G34/G28,"n/a")</f>
        <v/>
      </c>
      <c r="H35" s="745">
        <f>IFERROR(H34/H28,"n/a")</f>
        <v/>
      </c>
      <c r="I35" s="786">
        <f>H35</f>
        <v/>
      </c>
      <c r="J35" s="786">
        <f>I35</f>
        <v/>
      </c>
      <c r="K35" s="786">
        <f>J35</f>
        <v/>
      </c>
    </row>
    <row r="36">
      <c r="B36" s="414" t="inlineStr">
        <is>
          <t>Afschrijvingen &amp; waardeverminderingen</t>
        </is>
      </c>
      <c r="C36" s="21">
        <f>'BP - Annual'!F63</f>
        <v/>
      </c>
      <c r="D36" s="5">
        <f>'BP - Annual'!G63</f>
        <v/>
      </c>
      <c r="E36" s="5">
        <f>'BP - Annual'!H63</f>
        <v/>
      </c>
      <c r="F36" s="5">
        <f>'BP - Annual'!I63</f>
        <v/>
      </c>
      <c r="G36" s="5">
        <f>'BP - Annual'!J63</f>
        <v/>
      </c>
      <c r="H36" s="5">
        <f>'BP - Annual'!K63</f>
        <v/>
      </c>
      <c r="I36" s="787" t="n"/>
      <c r="J36" s="787" t="n"/>
      <c r="K36" s="787" t="n"/>
    </row>
    <row r="37">
      <c r="B37" s="417" t="inlineStr">
        <is>
          <t>EBIT</t>
        </is>
      </c>
      <c r="C37" s="802">
        <f>SUM(C34,C36)</f>
        <v/>
      </c>
      <c r="D37" s="7">
        <f>SUM(D34,D36)</f>
        <v/>
      </c>
      <c r="E37" s="7">
        <f>SUM(E34,E36)</f>
        <v/>
      </c>
      <c r="F37" s="7">
        <f>SUM(F34,F36)</f>
        <v/>
      </c>
      <c r="G37" s="7">
        <f>SUM(G34,G36)</f>
        <v/>
      </c>
      <c r="H37" s="7">
        <f>SUM(H34,H36)</f>
        <v/>
      </c>
      <c r="I37" s="7">
        <f>SUM(I34,I36)</f>
        <v/>
      </c>
      <c r="J37" s="7">
        <f>SUM(J34,J36)</f>
        <v/>
      </c>
      <c r="K37" s="7">
        <f>SUM(K34,K36)</f>
        <v/>
      </c>
    </row>
    <row r="38">
      <c r="B38" s="744" t="inlineStr">
        <is>
          <t>EBIT %</t>
        </is>
      </c>
      <c r="C38" s="746">
        <f>IFERROR(C37/C28,"n/a")</f>
        <v/>
      </c>
      <c r="D38" s="745">
        <f>IFERROR(D37/D28,"n/a")</f>
        <v/>
      </c>
      <c r="E38" s="745">
        <f>IFERROR(E37/E28,"n/a")</f>
        <v/>
      </c>
      <c r="F38" s="745">
        <f>IFERROR(F37/F28,"n/a")</f>
        <v/>
      </c>
      <c r="G38" s="745">
        <f>IFERROR(G37/G28,"n/a")</f>
        <v/>
      </c>
      <c r="H38" s="745">
        <f>IFERROR(H37/H28,"n/a")</f>
        <v/>
      </c>
      <c r="I38" s="745">
        <f>IFERROR(I37/I28,"n/a")</f>
        <v/>
      </c>
      <c r="J38" s="745">
        <f>IFERROR(J37/J28,"n/a")</f>
        <v/>
      </c>
      <c r="K38" s="745">
        <f>IFERROR(K37/K28,"n/a")</f>
        <v/>
      </c>
    </row>
    <row r="39">
      <c r="B39" s="518" t="inlineStr">
        <is>
          <t>Interesten</t>
        </is>
      </c>
      <c r="D39" s="788">
        <f>D107</f>
        <v/>
      </c>
      <c r="E39" s="788">
        <f>E107</f>
        <v/>
      </c>
      <c r="F39" s="788">
        <f>F107</f>
        <v/>
      </c>
      <c r="G39" s="788">
        <f>G107</f>
        <v/>
      </c>
      <c r="H39" s="788">
        <f>H107</f>
        <v/>
      </c>
      <c r="I39" s="788">
        <f>I107</f>
        <v/>
      </c>
      <c r="J39" s="788">
        <f>J107</f>
        <v/>
      </c>
      <c r="K39" s="788">
        <f>K107</f>
        <v/>
      </c>
    </row>
    <row r="40">
      <c r="B40" s="417" t="inlineStr">
        <is>
          <t>EBT</t>
        </is>
      </c>
      <c r="C40" s="802">
        <f>SUM(C37,C39)</f>
        <v/>
      </c>
      <c r="D40" s="7">
        <f>SUM(D37,D39)</f>
        <v/>
      </c>
      <c r="E40" s="7">
        <f>SUM(E37,E39)</f>
        <v/>
      </c>
      <c r="F40" s="7">
        <f>SUM(F37,F39)</f>
        <v/>
      </c>
      <c r="G40" s="7">
        <f>SUM(G37,G39)</f>
        <v/>
      </c>
      <c r="H40" s="7">
        <f>SUM(H37,H39)</f>
        <v/>
      </c>
      <c r="I40" s="7">
        <f>SUM(I37,I39)</f>
        <v/>
      </c>
      <c r="J40" s="7">
        <f>SUM(J37,J39)</f>
        <v/>
      </c>
      <c r="K40" s="7">
        <f>SUM(K37,K39)</f>
        <v/>
      </c>
    </row>
    <row r="41">
      <c r="B41" s="744" t="inlineStr">
        <is>
          <t>EBT %</t>
        </is>
      </c>
      <c r="C41" s="746">
        <f>IFERROR(C40/C28,"n/a")</f>
        <v/>
      </c>
      <c r="D41" s="745">
        <f>IFERROR(D40/D28,"n/a")</f>
        <v/>
      </c>
      <c r="E41" s="745">
        <f>IFERROR(E40/E28,"n/a")</f>
        <v/>
      </c>
      <c r="F41" s="745">
        <f>IFERROR(F40/F28,"n/a")</f>
        <v/>
      </c>
      <c r="G41" s="745">
        <f>IFERROR(G40/G28,"n/a")</f>
        <v/>
      </c>
      <c r="H41" s="745">
        <f>IFERROR(H40/H28,"n/a")</f>
        <v/>
      </c>
      <c r="I41" s="745">
        <f>IFERROR(I40/I28,"n/a")</f>
        <v/>
      </c>
      <c r="J41" s="745">
        <f>IFERROR(J40/J28,"n/a")</f>
        <v/>
      </c>
      <c r="K41" s="745">
        <f>IFERROR(K40/K28,"n/a")</f>
        <v/>
      </c>
    </row>
    <row r="42">
      <c r="B42" s="518" t="inlineStr">
        <is>
          <t>Belastingen</t>
        </is>
      </c>
      <c r="D42" s="788">
        <f>IF(D40&gt;0,-D40*DCF!$D$30,0)</f>
        <v/>
      </c>
      <c r="E42" s="788">
        <f>IF(E40&gt;0,-E40*DCF!$D$30,0)</f>
        <v/>
      </c>
      <c r="F42" s="788">
        <f>IF(F40&gt;0,-F40*DCF!$D$30,0)</f>
        <v/>
      </c>
      <c r="G42" s="788">
        <f>IF(G40&gt;0,-G40*DCF!$D$30,0)</f>
        <v/>
      </c>
      <c r="H42" s="788">
        <f>IF(H40&gt;0,-H40*DCF!$D$30,0)</f>
        <v/>
      </c>
      <c r="I42" s="788">
        <f>IF(I40&gt;0,-I40*DCF!$D$30,0)</f>
        <v/>
      </c>
      <c r="J42" s="788">
        <f>IF(J40&gt;0,-J40*DCF!$D$30,0)</f>
        <v/>
      </c>
      <c r="K42" s="788">
        <f>IF(K40&gt;0,-K40*DCF!$D$30,0)</f>
        <v/>
      </c>
    </row>
    <row r="43">
      <c r="B43" s="417" t="inlineStr">
        <is>
          <t>Netto resultaat</t>
        </is>
      </c>
      <c r="C43" s="802">
        <f>SUM(C40,C42)</f>
        <v/>
      </c>
      <c r="D43" s="7">
        <f>SUM(D40,D42)</f>
        <v/>
      </c>
      <c r="E43" s="7">
        <f>SUM(E40,E42)</f>
        <v/>
      </c>
      <c r="F43" s="7">
        <f>SUM(F40,F42)</f>
        <v/>
      </c>
      <c r="G43" s="7">
        <f>SUM(G40,G42)</f>
        <v/>
      </c>
      <c r="H43" s="7">
        <f>SUM(H40,H42)</f>
        <v/>
      </c>
      <c r="I43" s="7">
        <f>SUM(I40,I42)</f>
        <v/>
      </c>
      <c r="J43" s="7">
        <f>SUM(J40,J42)</f>
        <v/>
      </c>
      <c r="K43" s="7">
        <f>SUM(K40,K42)</f>
        <v/>
      </c>
    </row>
    <row r="45" outlineLevel="1">
      <c r="A45" s="10">
        <f>SUM(C45:H45)</f>
        <v/>
      </c>
      <c r="B45" s="3" t="inlineStr">
        <is>
          <t>Check</t>
        </is>
      </c>
      <c r="C45" s="20">
        <f>C37-'BP - Annual'!F64</f>
        <v/>
      </c>
      <c r="D45" s="8">
        <f>D37-'BP - Annual'!G64</f>
        <v/>
      </c>
      <c r="E45" s="8">
        <f>E37-'BP - Annual'!H64</f>
        <v/>
      </c>
      <c r="F45" s="8">
        <f>F37-'BP - Annual'!I64</f>
        <v/>
      </c>
      <c r="G45" s="8">
        <f>G37-'BP - Annual'!J64</f>
        <v/>
      </c>
      <c r="H45" s="8">
        <f>H37-'BP - Annual'!K64</f>
        <v/>
      </c>
      <c r="I45" s="8" t="n"/>
      <c r="J45" s="8" t="n"/>
      <c r="K45" s="8" t="n"/>
    </row>
    <row r="47">
      <c r="B47" s="406">
        <f>"Balans - "&amp;Historiek!A2</f>
        <v/>
      </c>
      <c r="C47" s="13" t="n"/>
      <c r="D47" s="407" t="n"/>
      <c r="E47" s="407" t="n"/>
      <c r="F47" s="407" t="n"/>
      <c r="G47" s="407" t="n"/>
      <c r="H47" s="2" t="n"/>
      <c r="I47" s="2" t="n"/>
      <c r="J47" s="2" t="n"/>
      <c r="K47" s="2" t="n"/>
      <c r="L47" s="2" t="n"/>
      <c r="N47" s="2" t="n"/>
      <c r="O47" s="2" t="n"/>
      <c r="P47" s="12" t="n"/>
      <c r="Q47" s="2" t="n"/>
      <c r="R47" s="2" t="n"/>
      <c r="S47" s="526" t="n"/>
    </row>
    <row r="48">
      <c r="B48" s="738">
        <f>'BP - Annual'!C6</f>
        <v/>
      </c>
      <c r="C48" s="740">
        <f>'BP - Annual'!F6</f>
        <v/>
      </c>
      <c r="D48" s="742">
        <f>'BP - Annual'!G6</f>
        <v/>
      </c>
      <c r="E48" s="742">
        <f>'BP - Annual'!H6</f>
        <v/>
      </c>
      <c r="F48" s="742">
        <f>'BP - Annual'!I6</f>
        <v/>
      </c>
      <c r="G48" s="742">
        <f>'BP - Annual'!J6</f>
        <v/>
      </c>
      <c r="H48" s="742">
        <f>'BP - Annual'!K6</f>
        <v/>
      </c>
      <c r="I48" s="741">
        <f>"Dec'"&amp;RIGHT(H48,2)+1</f>
        <v/>
      </c>
      <c r="J48" s="742">
        <f>"Dec'"&amp;RIGHT(I48,2)+1</f>
        <v/>
      </c>
      <c r="K48" s="742">
        <f>"Dec'"&amp;RIGHT(J48,2)+1</f>
        <v/>
      </c>
      <c r="L48" s="409" t="n"/>
    </row>
    <row r="49">
      <c r="B49" s="413" t="inlineStr">
        <is>
          <t>Vast actief</t>
        </is>
      </c>
      <c r="C49" s="532" t="n"/>
      <c r="D49" s="8">
        <f>(D58-D50)</f>
        <v/>
      </c>
      <c r="E49" s="8">
        <f>(E58-E50)</f>
        <v/>
      </c>
      <c r="F49" s="8">
        <f>(F58-F50)</f>
        <v/>
      </c>
      <c r="G49" s="8">
        <f>(G58-G50)</f>
        <v/>
      </c>
      <c r="H49" s="8">
        <f>(H58-H50)</f>
        <v/>
      </c>
      <c r="I49" s="8">
        <f>(I58-I50)</f>
        <v/>
      </c>
      <c r="J49" s="8">
        <f>(J58-J50)</f>
        <v/>
      </c>
      <c r="K49" s="8">
        <f>(K58-K50)</f>
        <v/>
      </c>
      <c r="L49" s="2" t="n"/>
    </row>
    <row r="50">
      <c r="B50" s="4" t="inlineStr">
        <is>
          <t>Totaal NWK</t>
        </is>
      </c>
      <c r="C50" s="534">
        <f>'BP - Annual'!F127</f>
        <v/>
      </c>
      <c r="D50" s="4">
        <f>'BP - Annual'!G127</f>
        <v/>
      </c>
      <c r="E50" s="4">
        <f>'BP - Annual'!H127</f>
        <v/>
      </c>
      <c r="F50" s="4">
        <f>'BP - Annual'!I127</f>
        <v/>
      </c>
      <c r="G50" s="4">
        <f>'BP - Annual'!J127</f>
        <v/>
      </c>
      <c r="H50" s="4">
        <f>'BP - Annual'!K127</f>
        <v/>
      </c>
      <c r="I50" s="4">
        <f>$H$50/$H$27*I27</f>
        <v/>
      </c>
      <c r="J50" s="4">
        <f>$H$50/$H$27*J27</f>
        <v/>
      </c>
      <c r="K50" s="4">
        <f>$H$50/$H$27*K27</f>
        <v/>
      </c>
      <c r="L50" s="2" t="n"/>
    </row>
    <row r="51">
      <c r="B51" s="16" t="inlineStr">
        <is>
          <t>Capital employed</t>
        </is>
      </c>
      <c r="C51" s="533" t="n"/>
      <c r="D51" s="16">
        <f>SUM(D49:D50)</f>
        <v/>
      </c>
      <c r="E51" s="16">
        <f>SUM(E49:E50)</f>
        <v/>
      </c>
      <c r="F51" s="16">
        <f>SUM(F49:F50)</f>
        <v/>
      </c>
      <c r="G51" s="16">
        <f>SUM(G49:G50)</f>
        <v/>
      </c>
      <c r="H51" s="16">
        <f>SUM(H49:H50)</f>
        <v/>
      </c>
      <c r="I51" s="16">
        <f>SUM(I49:I50)</f>
        <v/>
      </c>
      <c r="J51" s="16">
        <f>SUM(J49:J50)</f>
        <v/>
      </c>
      <c r="K51" s="16">
        <f>SUM(K49:K50)</f>
        <v/>
      </c>
      <c r="L51" s="2" t="n"/>
    </row>
    <row r="52">
      <c r="B52" s="16" t="inlineStr">
        <is>
          <t>Eigen vermogen</t>
        </is>
      </c>
      <c r="C52" s="534" t="n"/>
      <c r="D52" s="4">
        <f>P16+R15</f>
        <v/>
      </c>
      <c r="E52" s="4">
        <f>D52+E43</f>
        <v/>
      </c>
      <c r="F52" s="4">
        <f>E52+F43</f>
        <v/>
      </c>
      <c r="G52" s="4">
        <f>F52+G43</f>
        <v/>
      </c>
      <c r="H52" s="4">
        <f>G52+H43</f>
        <v/>
      </c>
      <c r="I52" s="4">
        <f>H52+I43</f>
        <v/>
      </c>
      <c r="J52" s="4">
        <f>I52+J43</f>
        <v/>
      </c>
      <c r="K52" s="4">
        <f>J52+K43</f>
        <v/>
      </c>
      <c r="L52" s="2" t="n"/>
    </row>
    <row r="53">
      <c r="B53" s="4" t="inlineStr">
        <is>
          <t>Cash</t>
        </is>
      </c>
      <c r="C53" s="532" t="n"/>
      <c r="D53" s="4">
        <f>0+D73</f>
        <v/>
      </c>
      <c r="E53" s="4">
        <f>D53+E73</f>
        <v/>
      </c>
      <c r="F53" s="4">
        <f>E53+F73</f>
        <v/>
      </c>
      <c r="G53" s="4">
        <f>F53+G73</f>
        <v/>
      </c>
      <c r="H53" s="4">
        <f>G53+H73</f>
        <v/>
      </c>
      <c r="I53" s="4">
        <f>H53+I73</f>
        <v/>
      </c>
      <c r="J53" s="4">
        <f>I53+J73</f>
        <v/>
      </c>
      <c r="K53" s="4">
        <f>J53+K73</f>
        <v/>
      </c>
      <c r="L53" s="2" t="n"/>
    </row>
    <row r="54">
      <c r="B54" s="518" t="inlineStr">
        <is>
          <t>Amortizing bank debt</t>
        </is>
      </c>
      <c r="C54" s="534" t="n"/>
      <c r="D54" s="4">
        <f>D82</f>
        <v/>
      </c>
      <c r="E54" s="4">
        <f>E82</f>
        <v/>
      </c>
      <c r="F54" s="4">
        <f>F82</f>
        <v/>
      </c>
      <c r="G54" s="4">
        <f>G82</f>
        <v/>
      </c>
      <c r="H54" s="4">
        <f>H82</f>
        <v/>
      </c>
      <c r="I54" s="4">
        <f>I82</f>
        <v/>
      </c>
      <c r="J54" s="4">
        <f>J82</f>
        <v/>
      </c>
      <c r="K54" s="4">
        <f>K82</f>
        <v/>
      </c>
      <c r="L54" s="2" t="n"/>
    </row>
    <row r="55">
      <c r="B55" s="518" t="inlineStr">
        <is>
          <t>Bullet bank debt</t>
        </is>
      </c>
      <c r="C55" s="534" t="n"/>
      <c r="D55" s="4">
        <f>D88</f>
        <v/>
      </c>
      <c r="E55" s="4">
        <f>E88</f>
        <v/>
      </c>
      <c r="F55" s="4">
        <f>F88</f>
        <v/>
      </c>
      <c r="G55" s="4">
        <f>G88</f>
        <v/>
      </c>
      <c r="H55" s="4">
        <f>H88</f>
        <v/>
      </c>
      <c r="I55" s="4">
        <f>I88</f>
        <v/>
      </c>
      <c r="J55" s="4">
        <f>J88</f>
        <v/>
      </c>
      <c r="K55" s="4">
        <f>K88</f>
        <v/>
      </c>
      <c r="L55" s="2" t="n"/>
    </row>
    <row r="56">
      <c r="B56" s="518" t="inlineStr">
        <is>
          <t>Vendor loan</t>
        </is>
      </c>
      <c r="C56" s="534" t="n"/>
      <c r="D56" s="4">
        <f>D101</f>
        <v/>
      </c>
      <c r="E56" s="4">
        <f>E101</f>
        <v/>
      </c>
      <c r="F56" s="4">
        <f>F101</f>
        <v/>
      </c>
      <c r="G56" s="4">
        <f>G101</f>
        <v/>
      </c>
      <c r="H56" s="4">
        <f>H101</f>
        <v/>
      </c>
      <c r="I56" s="4">
        <f>I101</f>
        <v/>
      </c>
      <c r="J56" s="4">
        <f>J101</f>
        <v/>
      </c>
      <c r="K56" s="4">
        <f>K101</f>
        <v/>
      </c>
      <c r="L56" s="2" t="n"/>
    </row>
    <row r="57">
      <c r="B57" s="16" t="inlineStr">
        <is>
          <t>Totale NFD</t>
        </is>
      </c>
      <c r="C57" s="533" t="n"/>
      <c r="D57" s="16">
        <f>SUM(D53:D56)</f>
        <v/>
      </c>
      <c r="E57" s="16">
        <f>SUM(E53:E56)</f>
        <v/>
      </c>
      <c r="F57" s="16">
        <f>SUM(F53:F56)</f>
        <v/>
      </c>
      <c r="G57" s="16">
        <f>SUM(G53:G56)</f>
        <v/>
      </c>
      <c r="H57" s="16">
        <f>SUM(H53:H56)</f>
        <v/>
      </c>
      <c r="I57" s="16">
        <f>SUM(I53:I56)</f>
        <v/>
      </c>
      <c r="J57" s="16">
        <f>SUM(J53:J56)</f>
        <v/>
      </c>
      <c r="K57" s="16">
        <f>SUM(K53:K56)</f>
        <v/>
      </c>
      <c r="L57" s="2" t="n"/>
    </row>
    <row r="58">
      <c r="B58" s="16" t="inlineStr">
        <is>
          <t>Invested capital</t>
        </is>
      </c>
      <c r="C58" s="533" t="n"/>
      <c r="D58" s="16">
        <f>SUM(D52,D57)</f>
        <v/>
      </c>
      <c r="E58" s="16">
        <f>SUM(E52,E57)</f>
        <v/>
      </c>
      <c r="F58" s="16">
        <f>SUM(F52,F57)</f>
        <v/>
      </c>
      <c r="G58" s="16">
        <f>SUM(G52,G57)</f>
        <v/>
      </c>
      <c r="H58" s="16">
        <f>SUM(H52,H57)</f>
        <v/>
      </c>
      <c r="I58" s="16">
        <f>SUM(I52,I57)</f>
        <v/>
      </c>
      <c r="J58" s="16">
        <f>SUM(J52,J57)</f>
        <v/>
      </c>
      <c r="K58" s="16">
        <f>SUM(K52,K57)</f>
        <v/>
      </c>
      <c r="L58" s="2" t="n"/>
    </row>
    <row r="60" outlineLevel="1">
      <c r="A60" s="10">
        <f>SUM(C60:K60)</f>
        <v/>
      </c>
      <c r="B60" s="3" t="inlineStr">
        <is>
          <t>Check</t>
        </is>
      </c>
      <c r="C60" s="20" t="n"/>
      <c r="D60" s="8">
        <f>IFERROR(D58-D51,"n/a")</f>
        <v/>
      </c>
      <c r="E60" s="8">
        <f>IFERROR(E58-E51,"n/a")</f>
        <v/>
      </c>
      <c r="F60" s="8">
        <f>IFERROR(F58-F51,"n/a")</f>
        <v/>
      </c>
      <c r="G60" s="8">
        <f>IFERROR(G58-G51,"n/a")</f>
        <v/>
      </c>
      <c r="H60" s="8">
        <f>IFERROR(H58-H51,"n/a")</f>
        <v/>
      </c>
      <c r="I60" s="789">
        <f>IFERROR(I58-I51,"n/a")</f>
        <v/>
      </c>
      <c r="J60" s="789">
        <f>IFERROR(J58-J51,"n/a")</f>
        <v/>
      </c>
      <c r="K60" s="789">
        <f>IFERROR(K58-K51,"n/a")</f>
        <v/>
      </c>
    </row>
    <row r="62">
      <c r="B62" s="406">
        <f>"Cashflow statement - "&amp;Historiek!A2</f>
        <v/>
      </c>
      <c r="C62" s="13" t="n"/>
      <c r="D62" s="407" t="n"/>
      <c r="E62" s="407" t="n"/>
      <c r="F62" s="407" t="n"/>
      <c r="G62" s="407" t="n"/>
      <c r="H62" s="407" t="n"/>
      <c r="I62" s="407" t="n"/>
      <c r="J62" s="407" t="n"/>
      <c r="K62" s="407" t="n"/>
      <c r="L62" s="407" t="n"/>
    </row>
    <row r="63">
      <c r="B63" s="738">
        <f>'BP - Annual'!C4</f>
        <v/>
      </c>
      <c r="C63" s="743">
        <f>'BP - Annual'!F4</f>
        <v/>
      </c>
      <c r="D63" s="741">
        <f>'BP - Annual'!G4</f>
        <v/>
      </c>
      <c r="E63" s="741">
        <f>'BP - Annual'!H4</f>
        <v/>
      </c>
      <c r="F63" s="741">
        <f>'BP - Annual'!I4</f>
        <v/>
      </c>
      <c r="G63" s="741">
        <f>'BP - Annual'!J4</f>
        <v/>
      </c>
      <c r="H63" s="741">
        <f>'BP - Annual'!K4</f>
        <v/>
      </c>
      <c r="I63" s="741">
        <f>"FY"&amp;RIGHT(H63,2)+1</f>
        <v/>
      </c>
      <c r="J63" s="741">
        <f>"FY"&amp;RIGHT(I63,2)+1</f>
        <v/>
      </c>
      <c r="K63" s="741">
        <f>"FY"&amp;RIGHT(J63,2)+1</f>
        <v/>
      </c>
      <c r="L63" s="2" t="n"/>
    </row>
    <row r="64">
      <c r="B64" s="16" t="inlineStr">
        <is>
          <t>EBITDA</t>
        </is>
      </c>
      <c r="C64" s="533" t="n"/>
      <c r="D64" s="16">
        <f>D34</f>
        <v/>
      </c>
      <c r="E64" s="16">
        <f>E34</f>
        <v/>
      </c>
      <c r="F64" s="16">
        <f>F34</f>
        <v/>
      </c>
      <c r="G64" s="16">
        <f>G34</f>
        <v/>
      </c>
      <c r="H64" s="16">
        <f>H34</f>
        <v/>
      </c>
      <c r="I64" s="16">
        <f>I34</f>
        <v/>
      </c>
      <c r="J64" s="16">
        <f>J34</f>
        <v/>
      </c>
      <c r="K64" s="16">
        <f>K34</f>
        <v/>
      </c>
      <c r="L64" s="2" t="n"/>
    </row>
    <row r="65">
      <c r="B65" s="418" t="inlineStr">
        <is>
          <t>Belastingen</t>
        </is>
      </c>
      <c r="C65" s="534" t="n"/>
      <c r="D65" s="4">
        <f>D42</f>
        <v/>
      </c>
      <c r="E65" s="4">
        <f>E42</f>
        <v/>
      </c>
      <c r="F65" s="4">
        <f>F42</f>
        <v/>
      </c>
      <c r="G65" s="4">
        <f>G42</f>
        <v/>
      </c>
      <c r="H65" s="4">
        <f>H42</f>
        <v/>
      </c>
      <c r="I65" s="4">
        <f>I42</f>
        <v/>
      </c>
      <c r="J65" s="4">
        <f>J42</f>
        <v/>
      </c>
      <c r="K65" s="4">
        <f>K42</f>
        <v/>
      </c>
      <c r="L65" s="2" t="n"/>
    </row>
    <row r="66">
      <c r="B66" s="418" t="inlineStr">
        <is>
          <t>Andere non-cash items</t>
        </is>
      </c>
      <c r="C66" s="534" t="n"/>
      <c r="D66" s="790" t="n"/>
      <c r="E66" s="790" t="n"/>
      <c r="F66" s="790" t="n"/>
      <c r="G66" s="790" t="n"/>
      <c r="H66" s="790" t="n"/>
      <c r="I66" s="790" t="n"/>
      <c r="J66" s="790" t="n"/>
      <c r="K66" s="790" t="n"/>
      <c r="L66" s="2" t="n"/>
    </row>
    <row r="67">
      <c r="B67" s="419" t="inlineStr">
        <is>
          <t>Δ werkkapitaal</t>
        </is>
      </c>
      <c r="C67" s="534" t="n"/>
      <c r="D67" s="4">
        <f>C50-D50</f>
        <v/>
      </c>
      <c r="E67" s="4">
        <f>D50-E50</f>
        <v/>
      </c>
      <c r="F67" s="4">
        <f>E50-F50</f>
        <v/>
      </c>
      <c r="G67" s="4">
        <f>F50-G50</f>
        <v/>
      </c>
      <c r="H67" s="4">
        <f>G50-H50</f>
        <v/>
      </c>
      <c r="I67" s="4">
        <f>H50-I50</f>
        <v/>
      </c>
      <c r="J67" s="4">
        <f>I50-J50</f>
        <v/>
      </c>
      <c r="K67" s="4">
        <f>J50-K50</f>
        <v/>
      </c>
      <c r="L67" s="2" t="n"/>
    </row>
    <row r="68">
      <c r="B68" s="410" t="inlineStr">
        <is>
          <t>Cashflow uit operationele activiteiten</t>
        </is>
      </c>
      <c r="C68" s="803" t="n"/>
      <c r="D68" s="410">
        <f>SUM(D64:D67)</f>
        <v/>
      </c>
      <c r="E68" s="410">
        <f>SUM(E64:E67)</f>
        <v/>
      </c>
      <c r="F68" s="410">
        <f>SUM(F64:F67)</f>
        <v/>
      </c>
      <c r="G68" s="410">
        <f>SUM(G64:G67)</f>
        <v/>
      </c>
      <c r="H68" s="410">
        <f>SUM(H64:H67)</f>
        <v/>
      </c>
      <c r="I68" s="410">
        <f>SUM(I64:I67)</f>
        <v/>
      </c>
      <c r="J68" s="410">
        <f>SUM(J64:J67)</f>
        <v/>
      </c>
      <c r="K68" s="410">
        <f>SUM(K64:K67)</f>
        <v/>
      </c>
      <c r="L68" s="2" t="n"/>
    </row>
    <row r="69">
      <c r="B69" s="6" t="inlineStr">
        <is>
          <t>Capex</t>
        </is>
      </c>
      <c r="C69" s="534" t="n"/>
      <c r="D69" s="4">
        <f>'BP - Annual'!G86</f>
        <v/>
      </c>
      <c r="E69" s="4">
        <f>'BP - Annual'!H86</f>
        <v/>
      </c>
      <c r="F69" s="4">
        <f>'BP - Annual'!I86</f>
        <v/>
      </c>
      <c r="G69" s="4">
        <f>'BP - Annual'!J86</f>
        <v/>
      </c>
      <c r="H69" s="4">
        <f>'BP - Annual'!K86</f>
        <v/>
      </c>
      <c r="I69" s="788" t="n"/>
      <c r="J69" s="788" t="n"/>
      <c r="K69" s="788" t="n"/>
      <c r="L69" s="6" t="n"/>
    </row>
    <row r="70">
      <c r="B70" s="410" t="inlineStr">
        <is>
          <t>Cashflow uit investeringsactiviteiten</t>
        </is>
      </c>
      <c r="C70" s="803" t="n"/>
      <c r="D70" s="410">
        <f>D69</f>
        <v/>
      </c>
      <c r="E70" s="410">
        <f>E69</f>
        <v/>
      </c>
      <c r="F70" s="410">
        <f>F69</f>
        <v/>
      </c>
      <c r="G70" s="410">
        <f>G69</f>
        <v/>
      </c>
      <c r="H70" s="410">
        <f>H69</f>
        <v/>
      </c>
      <c r="I70" s="410">
        <f>I69</f>
        <v/>
      </c>
      <c r="J70" s="410">
        <f>J69</f>
        <v/>
      </c>
      <c r="K70" s="410">
        <f>K69</f>
        <v/>
      </c>
      <c r="L70" s="2" t="n"/>
    </row>
    <row r="71">
      <c r="B71" s="6" t="inlineStr">
        <is>
          <t>Total debt service</t>
        </is>
      </c>
      <c r="C71" s="534" t="n"/>
      <c r="D71" s="4">
        <f>D107+D105</f>
        <v/>
      </c>
      <c r="E71" s="4">
        <f>E107+E105</f>
        <v/>
      </c>
      <c r="F71" s="4">
        <f>F107+F105</f>
        <v/>
      </c>
      <c r="G71" s="4">
        <f>G107+G105</f>
        <v/>
      </c>
      <c r="H71" s="4">
        <f>H107+H105</f>
        <v/>
      </c>
      <c r="I71" s="4">
        <f>I107+I105</f>
        <v/>
      </c>
      <c r="J71" s="4">
        <f>J107+J105</f>
        <v/>
      </c>
      <c r="K71" s="4">
        <f>K107+K105</f>
        <v/>
      </c>
      <c r="L71" s="6" t="n"/>
    </row>
    <row r="72">
      <c r="B72" s="410" t="inlineStr">
        <is>
          <t>Cashflow uit financiering</t>
        </is>
      </c>
      <c r="C72" s="803" t="n"/>
      <c r="D72" s="410">
        <f>D71</f>
        <v/>
      </c>
      <c r="E72" s="410">
        <f>E71</f>
        <v/>
      </c>
      <c r="F72" s="410">
        <f>F71</f>
        <v/>
      </c>
      <c r="G72" s="410">
        <f>G71</f>
        <v/>
      </c>
      <c r="H72" s="410">
        <f>H71</f>
        <v/>
      </c>
      <c r="I72" s="410">
        <f>I71</f>
        <v/>
      </c>
      <c r="J72" s="410">
        <f>J71</f>
        <v/>
      </c>
      <c r="K72" s="410">
        <f>K71</f>
        <v/>
      </c>
      <c r="L72" s="2" t="n"/>
    </row>
    <row r="73">
      <c r="B73" s="750" t="inlineStr">
        <is>
          <t xml:space="preserve">Free cash flow </t>
        </is>
      </c>
      <c r="C73" s="804" t="n"/>
      <c r="D73" s="748">
        <f>SUM(D68,D70,D72)</f>
        <v/>
      </c>
      <c r="E73" s="748">
        <f>SUM(E68,E70,E72)</f>
        <v/>
      </c>
      <c r="F73" s="748">
        <f>SUM(F68,F70,F72)</f>
        <v/>
      </c>
      <c r="G73" s="748">
        <f>SUM(G68,G70,G72)</f>
        <v/>
      </c>
      <c r="H73" s="748">
        <f>SUM(H68,H70,H72)</f>
        <v/>
      </c>
      <c r="I73" s="748">
        <f>SUM(I68,I70,I72)</f>
        <v/>
      </c>
      <c r="J73" s="748">
        <f>SUM(J68,J70,J72)</f>
        <v/>
      </c>
      <c r="K73" s="748">
        <f>SUM(K68,K70,K72)</f>
        <v/>
      </c>
      <c r="L73" s="2" t="n"/>
    </row>
    <row r="75" outlineLevel="1">
      <c r="A75" s="10">
        <f>SUM(C75:N75)</f>
        <v/>
      </c>
      <c r="B75" s="3" t="inlineStr">
        <is>
          <t>Check</t>
        </is>
      </c>
      <c r="C75" s="20" t="n"/>
      <c r="D75" s="8" t="n"/>
      <c r="E75" s="8" t="n"/>
      <c r="F75" s="8" t="n"/>
      <c r="G75" s="8" t="n"/>
      <c r="H75" s="8" t="n"/>
      <c r="I75" s="8" t="n"/>
      <c r="J75" s="8" t="n"/>
      <c r="K75" s="8" t="n"/>
    </row>
    <row r="77">
      <c r="B77" s="406">
        <f>"Debt schedule - "&amp;Historiek!A2</f>
        <v/>
      </c>
      <c r="C77" s="13" t="n"/>
      <c r="D77" s="407" t="n"/>
      <c r="E77" s="407" t="n"/>
      <c r="F77" s="407" t="n"/>
      <c r="G77" s="407" t="n"/>
      <c r="H77" s="407" t="n"/>
      <c r="I77" s="407" t="n"/>
      <c r="J77" s="407" t="n"/>
      <c r="K77" s="407" t="n"/>
      <c r="L77" s="407" t="n"/>
      <c r="M77" s="407" t="n"/>
    </row>
    <row r="78">
      <c r="B78" s="738">
        <f>'BP - Annual'!C4</f>
        <v/>
      </c>
      <c r="C78" s="743">
        <f>'BP - Annual'!F4</f>
        <v/>
      </c>
      <c r="D78" s="741">
        <f>'BP - Annual'!G4</f>
        <v/>
      </c>
      <c r="E78" s="741">
        <f>'BP - Annual'!H4</f>
        <v/>
      </c>
      <c r="F78" s="741">
        <f>'BP - Annual'!I4</f>
        <v/>
      </c>
      <c r="G78" s="741">
        <f>'BP - Annual'!J4</f>
        <v/>
      </c>
      <c r="H78" s="741">
        <f>'BP - Annual'!K4</f>
        <v/>
      </c>
      <c r="I78" s="741">
        <f>"FY"&amp;RIGHT(H78,2)+1</f>
        <v/>
      </c>
      <c r="J78" s="741">
        <f>"FY"&amp;RIGHT(I78,2)+1</f>
        <v/>
      </c>
      <c r="K78" s="741">
        <f>"FY"&amp;RIGHT(J78,2)+1</f>
        <v/>
      </c>
      <c r="L78" s="2" t="n"/>
    </row>
    <row r="79">
      <c r="B79" s="406" t="inlineStr">
        <is>
          <t>Amortizing bank debt</t>
        </is>
      </c>
    </row>
    <row r="80">
      <c r="B80" s="518" t="inlineStr">
        <is>
          <t>BoP</t>
        </is>
      </c>
      <c r="E80" s="413">
        <f>D82</f>
        <v/>
      </c>
      <c r="F80" s="413">
        <f>E82</f>
        <v/>
      </c>
      <c r="G80" s="413">
        <f>F82</f>
        <v/>
      </c>
      <c r="H80" s="413">
        <f>G82</f>
        <v/>
      </c>
      <c r="I80" s="413">
        <f>H82</f>
        <v/>
      </c>
      <c r="J80" s="413">
        <f>I82</f>
        <v/>
      </c>
      <c r="K80" s="413">
        <f>J82</f>
        <v/>
      </c>
      <c r="O80" s="527" t="inlineStr">
        <is>
          <t>Amount:</t>
        </is>
      </c>
      <c r="P80" s="528">
        <f>P17</f>
        <v/>
      </c>
    </row>
    <row r="81">
      <c r="B81" s="518" t="inlineStr">
        <is>
          <t>Redemption</t>
        </is>
      </c>
      <c r="E81" s="413">
        <f>-E80/P81</f>
        <v/>
      </c>
      <c r="F81" s="413">
        <f>E81</f>
        <v/>
      </c>
      <c r="G81" s="413">
        <f>F81</f>
        <v/>
      </c>
      <c r="H81" s="413">
        <f>G81</f>
        <v/>
      </c>
      <c r="I81" s="413">
        <f>H81</f>
        <v/>
      </c>
      <c r="J81" s="413">
        <f>I81</f>
        <v/>
      </c>
      <c r="K81" s="413">
        <f>J81</f>
        <v/>
      </c>
      <c r="O81" s="529" t="inlineStr">
        <is>
          <t>Duration:</t>
        </is>
      </c>
      <c r="P81" s="535" t="n">
        <v>7</v>
      </c>
    </row>
    <row r="82">
      <c r="B82" s="518" t="inlineStr">
        <is>
          <t>EoP</t>
        </is>
      </c>
      <c r="D82" s="413">
        <f>P80</f>
        <v/>
      </c>
      <c r="E82" s="413">
        <f>SUM(E80:E81)</f>
        <v/>
      </c>
      <c r="F82" s="413">
        <f>SUM(F80:F81)</f>
        <v/>
      </c>
      <c r="G82" s="413">
        <f>SUM(G80:G81)</f>
        <v/>
      </c>
      <c r="H82" s="413">
        <f>SUM(H80:H81)</f>
        <v/>
      </c>
      <c r="I82" s="413">
        <f>SUM(I80:I81)</f>
        <v/>
      </c>
      <c r="J82" s="413">
        <f>SUM(J80:J81)</f>
        <v/>
      </c>
      <c r="K82" s="413">
        <f>SUM(K80:K81)</f>
        <v/>
      </c>
      <c r="O82" s="536" t="inlineStr">
        <is>
          <t>Interest%:</t>
        </is>
      </c>
      <c r="P82" s="537" t="n">
        <v>0.05</v>
      </c>
    </row>
    <row r="83">
      <c r="B83" s="518" t="inlineStr">
        <is>
          <t>Interest payments</t>
        </is>
      </c>
      <c r="D83" s="413">
        <f>-D82*$P$82/2</f>
        <v/>
      </c>
      <c r="E83" s="413">
        <f>AVERAGE(E80,E82)*-$P$82</f>
        <v/>
      </c>
      <c r="F83" s="413">
        <f>AVERAGE(F80,F82)*-$P$82</f>
        <v/>
      </c>
      <c r="G83" s="413">
        <f>AVERAGE(G80,G82)*-$P$82</f>
        <v/>
      </c>
      <c r="H83" s="413">
        <f>AVERAGE(H80,H82)*-$P$82</f>
        <v/>
      </c>
      <c r="I83" s="413">
        <f>AVERAGE(I80,I82)*-$P$82</f>
        <v/>
      </c>
      <c r="J83" s="413">
        <f>AVERAGE(J80,J82)*-$P$82</f>
        <v/>
      </c>
      <c r="K83" s="413">
        <f>AVERAGE(K80,K82)*-$P$82</f>
        <v/>
      </c>
    </row>
    <row r="85">
      <c r="B85" s="406" t="inlineStr">
        <is>
          <t>Bullet bank debt</t>
        </is>
      </c>
    </row>
    <row r="86">
      <c r="B86" s="518" t="inlineStr">
        <is>
          <t>BoP</t>
        </is>
      </c>
      <c r="E86" s="413">
        <f>D88</f>
        <v/>
      </c>
      <c r="F86" s="413">
        <f>E88</f>
        <v/>
      </c>
      <c r="G86" s="413">
        <f>F88</f>
        <v/>
      </c>
      <c r="H86" s="413">
        <f>G88</f>
        <v/>
      </c>
      <c r="I86" s="413">
        <f>H88</f>
        <v/>
      </c>
      <c r="J86" s="413">
        <f>I88</f>
        <v/>
      </c>
      <c r="K86" s="413">
        <f>J88</f>
        <v/>
      </c>
      <c r="O86" s="527" t="inlineStr">
        <is>
          <t>Amount:</t>
        </is>
      </c>
      <c r="P86" s="528">
        <f>P18</f>
        <v/>
      </c>
    </row>
    <row r="87">
      <c r="B87" s="518" t="inlineStr">
        <is>
          <t>Redemption</t>
        </is>
      </c>
      <c r="E87" s="518" t="n">
        <v>0</v>
      </c>
      <c r="F87" s="518" t="n">
        <v>0</v>
      </c>
      <c r="G87" s="518" t="n">
        <v>0</v>
      </c>
      <c r="H87" s="518" t="n">
        <v>0</v>
      </c>
      <c r="I87" s="518" t="n">
        <v>0</v>
      </c>
      <c r="J87" s="518" t="n">
        <v>0</v>
      </c>
      <c r="K87" s="413">
        <f>-K86</f>
        <v/>
      </c>
      <c r="O87" s="529" t="inlineStr">
        <is>
          <t>Duration:</t>
        </is>
      </c>
      <c r="P87" s="535" t="n">
        <v>7</v>
      </c>
    </row>
    <row r="88">
      <c r="B88" s="518" t="inlineStr">
        <is>
          <t>EoP</t>
        </is>
      </c>
      <c r="D88" s="413">
        <f>P86</f>
        <v/>
      </c>
      <c r="E88" s="413">
        <f>SUM(E86:E87)</f>
        <v/>
      </c>
      <c r="F88" s="413">
        <f>SUM(F86:F87)</f>
        <v/>
      </c>
      <c r="G88" s="413">
        <f>SUM(G86:G87)</f>
        <v/>
      </c>
      <c r="H88" s="413">
        <f>SUM(H86:H87)</f>
        <v/>
      </c>
      <c r="I88" s="413">
        <f>SUM(I86:I87)</f>
        <v/>
      </c>
      <c r="J88" s="413">
        <f>SUM(J86:J87)</f>
        <v/>
      </c>
      <c r="K88" s="413">
        <f>SUM(K86:K87)</f>
        <v/>
      </c>
      <c r="O88" s="536" t="inlineStr">
        <is>
          <t>Interest%:</t>
        </is>
      </c>
      <c r="P88" s="537" t="n">
        <v>0.055</v>
      </c>
    </row>
    <row r="89">
      <c r="B89" s="518" t="inlineStr">
        <is>
          <t>Interest payments</t>
        </is>
      </c>
      <c r="D89" s="413">
        <f>-D88*$P$88/2</f>
        <v/>
      </c>
      <c r="E89" s="413">
        <f>AVERAGE(E86,E88)*-$P$88</f>
        <v/>
      </c>
      <c r="F89" s="413">
        <f>AVERAGE(F86,F88)*-$P$88</f>
        <v/>
      </c>
      <c r="G89" s="413">
        <f>AVERAGE(G86,G88)*-$P$88</f>
        <v/>
      </c>
      <c r="H89" s="413">
        <f>AVERAGE(H86,H88)*-$P$88</f>
        <v/>
      </c>
      <c r="I89" s="413">
        <f>AVERAGE(I86,I88)*-$P$88</f>
        <v/>
      </c>
      <c r="J89" s="413">
        <f>AVERAGE(J86,J88)*-$P$88</f>
        <v/>
      </c>
      <c r="K89" s="413">
        <f>AVERAGE(K86,K88)*-$P$88</f>
        <v/>
      </c>
    </row>
    <row r="91">
      <c r="B91" s="518" t="inlineStr">
        <is>
          <t>Total outstanding bank debt BoP</t>
        </is>
      </c>
      <c r="E91" s="413">
        <f>D93</f>
        <v/>
      </c>
      <c r="F91" s="413">
        <f>E93</f>
        <v/>
      </c>
      <c r="G91" s="413">
        <f>F93</f>
        <v/>
      </c>
      <c r="H91" s="413">
        <f>G93</f>
        <v/>
      </c>
      <c r="I91" s="413">
        <f>H93</f>
        <v/>
      </c>
      <c r="J91" s="413">
        <f>I93</f>
        <v/>
      </c>
      <c r="K91" s="413">
        <f>J93</f>
        <v/>
      </c>
    </row>
    <row r="92">
      <c r="B92" s="518" t="inlineStr">
        <is>
          <t>Total redemptions</t>
        </is>
      </c>
      <c r="E92" s="413">
        <f>E81+E87</f>
        <v/>
      </c>
      <c r="F92" s="413">
        <f>F81+F87</f>
        <v/>
      </c>
      <c r="G92" s="413">
        <f>G81+G87</f>
        <v/>
      </c>
      <c r="H92" s="413">
        <f>H81+H87</f>
        <v/>
      </c>
      <c r="I92" s="413">
        <f>I81+I87</f>
        <v/>
      </c>
      <c r="J92" s="413">
        <f>J81+J87</f>
        <v/>
      </c>
      <c r="K92" s="413">
        <f>K81+K87</f>
        <v/>
      </c>
    </row>
    <row r="93">
      <c r="B93" s="406" t="inlineStr">
        <is>
          <t>Total outstanding bank debt EoP</t>
        </is>
      </c>
      <c r="C93" s="805" t="n"/>
      <c r="D93" s="410">
        <f>SUM(D82,D88)</f>
        <v/>
      </c>
      <c r="E93" s="410">
        <f>E91+E92</f>
        <v/>
      </c>
      <c r="F93" s="410">
        <f>F91+F92</f>
        <v/>
      </c>
      <c r="G93" s="410">
        <f>G91+G92</f>
        <v/>
      </c>
      <c r="H93" s="410">
        <f>H91+H92</f>
        <v/>
      </c>
      <c r="I93" s="410">
        <f>I91+I92</f>
        <v/>
      </c>
      <c r="J93" s="410">
        <f>J91+J92</f>
        <v/>
      </c>
      <c r="K93" s="410">
        <f>K91+K92</f>
        <v/>
      </c>
    </row>
    <row r="94">
      <c r="B94" s="518" t="inlineStr">
        <is>
          <t>Total bank interest payments</t>
        </is>
      </c>
      <c r="D94" s="413">
        <f>SUM(D83,D89)</f>
        <v/>
      </c>
      <c r="E94" s="413">
        <f>SUM(E83,E89)</f>
        <v/>
      </c>
      <c r="F94" s="413">
        <f>SUM(F83,F89)</f>
        <v/>
      </c>
      <c r="G94" s="413">
        <f>SUM(G83,G89)</f>
        <v/>
      </c>
      <c r="H94" s="413">
        <f>SUM(H83,H89)</f>
        <v/>
      </c>
      <c r="I94" s="413">
        <f>SUM(I83,I89)</f>
        <v/>
      </c>
      <c r="J94" s="413">
        <f>SUM(J83,J89)</f>
        <v/>
      </c>
      <c r="K94" s="413">
        <f>SUM(K83,K89)</f>
        <v/>
      </c>
    </row>
    <row r="95">
      <c r="B95" s="796" t="inlineStr">
        <is>
          <t>Bank debt / EBITDA</t>
        </is>
      </c>
      <c r="D95" s="931">
        <f>(D93)/D34</f>
        <v/>
      </c>
      <c r="E95" s="931">
        <f>(E93)/E34</f>
        <v/>
      </c>
      <c r="F95" s="931">
        <f>(F93)/F34</f>
        <v/>
      </c>
      <c r="G95" s="931">
        <f>(G93)/G34</f>
        <v/>
      </c>
      <c r="H95" s="931">
        <f>(H93)/H34</f>
        <v/>
      </c>
      <c r="I95" s="931">
        <f>(I93)/I34</f>
        <v/>
      </c>
      <c r="J95" s="931">
        <f>(J93)/J34</f>
        <v/>
      </c>
      <c r="K95" s="931">
        <f>(K93)/K34</f>
        <v/>
      </c>
    </row>
    <row r="96">
      <c r="B96" s="796" t="inlineStr">
        <is>
          <t>Interest coverage ratio</t>
        </is>
      </c>
      <c r="D96" s="931">
        <f>D34/-D94</f>
        <v/>
      </c>
      <c r="E96" s="931">
        <f>E34/-E94</f>
        <v/>
      </c>
      <c r="F96" s="931">
        <f>F34/-F94</f>
        <v/>
      </c>
      <c r="G96" s="931">
        <f>G34/-G94</f>
        <v/>
      </c>
      <c r="H96" s="931">
        <f>H34/-H94</f>
        <v/>
      </c>
      <c r="I96" s="931">
        <f>I34/-I94</f>
        <v/>
      </c>
      <c r="J96" s="931">
        <f>J34/-J94</f>
        <v/>
      </c>
      <c r="K96" s="931">
        <f>K34/-K94</f>
        <v/>
      </c>
    </row>
    <row r="98">
      <c r="B98" s="406" t="inlineStr">
        <is>
          <t>Vendor loan</t>
        </is>
      </c>
    </row>
    <row r="99">
      <c r="B99" s="518" t="inlineStr">
        <is>
          <t>BoP</t>
        </is>
      </c>
      <c r="E99" s="413">
        <f>D101</f>
        <v/>
      </c>
      <c r="F99" s="413">
        <f>E101</f>
        <v/>
      </c>
      <c r="G99" s="413">
        <f>F101</f>
        <v/>
      </c>
      <c r="H99" s="413">
        <f>G101</f>
        <v/>
      </c>
      <c r="I99" s="413">
        <f>H101</f>
        <v/>
      </c>
      <c r="J99" s="413">
        <f>I101</f>
        <v/>
      </c>
      <c r="K99" s="413">
        <f>J101</f>
        <v/>
      </c>
      <c r="O99" s="527" t="inlineStr">
        <is>
          <t>Amount:</t>
        </is>
      </c>
      <c r="P99" s="528">
        <f>P19</f>
        <v/>
      </c>
    </row>
    <row r="100">
      <c r="B100" s="518" t="inlineStr">
        <is>
          <t>Redemption</t>
        </is>
      </c>
      <c r="E100" s="518" t="n">
        <v>0</v>
      </c>
      <c r="F100" s="518" t="n">
        <v>0</v>
      </c>
      <c r="G100" s="518" t="n">
        <v>0</v>
      </c>
      <c r="H100" s="518" t="n">
        <v>0</v>
      </c>
      <c r="I100" s="518" t="n">
        <v>0</v>
      </c>
      <c r="J100" s="518" t="n">
        <v>0</v>
      </c>
      <c r="K100" s="413">
        <f>-K99</f>
        <v/>
      </c>
      <c r="O100" s="529" t="inlineStr">
        <is>
          <t>Duration:</t>
        </is>
      </c>
      <c r="P100" s="535" t="n">
        <v>7</v>
      </c>
    </row>
    <row r="101">
      <c r="B101" s="518" t="inlineStr">
        <is>
          <t>EoP</t>
        </is>
      </c>
      <c r="D101" s="413">
        <f>P99</f>
        <v/>
      </c>
      <c r="E101" s="413">
        <f>SUM(E99:E100)</f>
        <v/>
      </c>
      <c r="F101" s="413">
        <f>SUM(F99:F100)</f>
        <v/>
      </c>
      <c r="G101" s="413">
        <f>SUM(G99:G100)</f>
        <v/>
      </c>
      <c r="H101" s="413">
        <f>SUM(H99:H100)</f>
        <v/>
      </c>
      <c r="I101" s="413">
        <f>SUM(I99:I100)</f>
        <v/>
      </c>
      <c r="J101" s="413">
        <f>SUM(J99:J100)</f>
        <v/>
      </c>
      <c r="K101" s="413">
        <f>SUM(K99:K100)</f>
        <v/>
      </c>
      <c r="O101" s="536" t="inlineStr">
        <is>
          <t>Interest%:</t>
        </is>
      </c>
      <c r="P101" s="537" t="n">
        <v>0.075</v>
      </c>
    </row>
    <row r="102">
      <c r="B102" s="518" t="inlineStr">
        <is>
          <t>Interest payments</t>
        </is>
      </c>
      <c r="D102" s="413">
        <f>-D101*$P$101/2</f>
        <v/>
      </c>
      <c r="E102" s="413">
        <f>AVERAGE(E99,E101)*-$P$101</f>
        <v/>
      </c>
      <c r="F102" s="413">
        <f>AVERAGE(F99,F101)*-$P$101</f>
        <v/>
      </c>
      <c r="G102" s="413">
        <f>AVERAGE(G99,G101)*-$P$101</f>
        <v/>
      </c>
      <c r="H102" s="413">
        <f>AVERAGE(H99,H101)*-$P$101</f>
        <v/>
      </c>
      <c r="I102" s="413">
        <f>AVERAGE(I99,I101)*-$P$101</f>
        <v/>
      </c>
      <c r="J102" s="413">
        <f>AVERAGE(J99,J101)*-$P$101</f>
        <v/>
      </c>
      <c r="K102" s="413">
        <f>AVERAGE(K99,K101)*-$P$101</f>
        <v/>
      </c>
    </row>
    <row r="104">
      <c r="B104" s="518" t="inlineStr">
        <is>
          <t>Total outstanding external debt BoP</t>
        </is>
      </c>
      <c r="E104" s="413">
        <f>D106</f>
        <v/>
      </c>
      <c r="F104" s="413">
        <f>E106</f>
        <v/>
      </c>
      <c r="G104" s="413">
        <f>F106</f>
        <v/>
      </c>
      <c r="H104" s="413">
        <f>G106</f>
        <v/>
      </c>
      <c r="I104" s="413">
        <f>H106</f>
        <v/>
      </c>
      <c r="J104" s="413">
        <f>I106</f>
        <v/>
      </c>
      <c r="K104" s="413">
        <f>J106</f>
        <v/>
      </c>
    </row>
    <row r="105">
      <c r="B105" s="518" t="inlineStr">
        <is>
          <t>Total redemptions</t>
        </is>
      </c>
      <c r="E105" s="413">
        <f>SUM(E92,E100)</f>
        <v/>
      </c>
      <c r="F105" s="413">
        <f>SUM(F92,F100)</f>
        <v/>
      </c>
      <c r="G105" s="413">
        <f>SUM(G92,G100)</f>
        <v/>
      </c>
      <c r="H105" s="413">
        <f>SUM(H92,H100)</f>
        <v/>
      </c>
      <c r="I105" s="413">
        <f>SUM(I92,I100)</f>
        <v/>
      </c>
      <c r="J105" s="413">
        <f>SUM(J92,J100)</f>
        <v/>
      </c>
      <c r="K105" s="413">
        <f>SUM(K92,K100)</f>
        <v/>
      </c>
    </row>
    <row r="106">
      <c r="B106" s="406" t="inlineStr">
        <is>
          <t>Total outstanding debt EoP</t>
        </is>
      </c>
      <c r="C106" s="805" t="n"/>
      <c r="D106" s="410">
        <f>SUM(D93,D101)</f>
        <v/>
      </c>
      <c r="E106" s="410">
        <f>E104+E105</f>
        <v/>
      </c>
      <c r="F106" s="410">
        <f>F104+F105</f>
        <v/>
      </c>
      <c r="G106" s="410">
        <f>G104+G105</f>
        <v/>
      </c>
      <c r="H106" s="410">
        <f>H104+H105</f>
        <v/>
      </c>
      <c r="I106" s="410">
        <f>I104+I105</f>
        <v/>
      </c>
      <c r="J106" s="410">
        <f>J104+J105</f>
        <v/>
      </c>
      <c r="K106" s="410">
        <f>K104+K105</f>
        <v/>
      </c>
    </row>
    <row r="107">
      <c r="B107" s="518" t="inlineStr">
        <is>
          <t>Total interest payments</t>
        </is>
      </c>
      <c r="D107" s="413">
        <f>SUM(D94,D102)</f>
        <v/>
      </c>
      <c r="E107" s="413">
        <f>SUM(E94,E102)</f>
        <v/>
      </c>
      <c r="F107" s="413">
        <f>SUM(F94,F102)</f>
        <v/>
      </c>
      <c r="G107" s="413">
        <f>SUM(G94,G102)</f>
        <v/>
      </c>
      <c r="H107" s="413">
        <f>SUM(H94,H102)</f>
        <v/>
      </c>
      <c r="I107" s="413">
        <f>SUM(I94,I102)</f>
        <v/>
      </c>
      <c r="J107" s="413">
        <f>SUM(J94,J102)</f>
        <v/>
      </c>
      <c r="K107" s="413">
        <f>SUM(K94,K102)</f>
        <v/>
      </c>
    </row>
    <row r="108">
      <c r="B108" s="796" t="inlineStr">
        <is>
          <t>Total debt / EBITDA</t>
        </is>
      </c>
      <c r="D108" s="931">
        <f>(D106)/D34</f>
        <v/>
      </c>
      <c r="E108" s="931">
        <f>(E106)/E34</f>
        <v/>
      </c>
      <c r="F108" s="931">
        <f>(F106)/F34</f>
        <v/>
      </c>
      <c r="G108" s="931">
        <f>(G106)/G34</f>
        <v/>
      </c>
      <c r="H108" s="931">
        <f>(H106)/H34</f>
        <v/>
      </c>
      <c r="I108" s="931">
        <f>(I106)/I34</f>
        <v/>
      </c>
      <c r="J108" s="931">
        <f>(J106)/J34</f>
        <v/>
      </c>
      <c r="K108" s="931">
        <f>(K106)/K34</f>
        <v/>
      </c>
    </row>
    <row r="109">
      <c r="B109" s="796" t="inlineStr">
        <is>
          <t>NFD / EBITDA</t>
        </is>
      </c>
      <c r="D109" s="931">
        <f>(D106-D53)/D34</f>
        <v/>
      </c>
      <c r="E109" s="931">
        <f>(E106-E53)/E34</f>
        <v/>
      </c>
      <c r="F109" s="931">
        <f>(F106-F53)/F34</f>
        <v/>
      </c>
      <c r="G109" s="931">
        <f>(G106-G53)/G34</f>
        <v/>
      </c>
      <c r="H109" s="931">
        <f>(H106-H53)/H34</f>
        <v/>
      </c>
      <c r="I109" s="931">
        <f>(I106-I53)/I34</f>
        <v/>
      </c>
      <c r="J109" s="931">
        <f>(J106-J53)/J34</f>
        <v/>
      </c>
      <c r="K109" s="931">
        <f>(K106-K53)/K34</f>
        <v/>
      </c>
    </row>
    <row r="110">
      <c r="B110" s="796" t="inlineStr">
        <is>
          <t>Interest coverage ratio</t>
        </is>
      </c>
      <c r="D110" s="931">
        <f>D34/-D107</f>
        <v/>
      </c>
      <c r="E110" s="931">
        <f>E34/-E107</f>
        <v/>
      </c>
      <c r="F110" s="931">
        <f>F34/-F107</f>
        <v/>
      </c>
      <c r="G110" s="931">
        <f>G34/-G107</f>
        <v/>
      </c>
      <c r="H110" s="931">
        <f>H34/-H107</f>
        <v/>
      </c>
      <c r="I110" s="931">
        <f>I34/-I107</f>
        <v/>
      </c>
      <c r="J110" s="931">
        <f>J34/-J107</f>
        <v/>
      </c>
      <c r="K110" s="931">
        <f>K34/-K107</f>
        <v/>
      </c>
    </row>
    <row r="111">
      <c r="B111" s="796" t="inlineStr">
        <is>
          <t>DSCR</t>
        </is>
      </c>
      <c r="D111" s="931">
        <f>D34/-SUM(D105,D107)</f>
        <v/>
      </c>
      <c r="E111" s="931">
        <f>E34/-SUM(E105,E107)</f>
        <v/>
      </c>
      <c r="F111" s="931">
        <f>F34/-SUM(F105,F107)</f>
        <v/>
      </c>
      <c r="G111" s="931">
        <f>G34/-SUM(G105,G107)</f>
        <v/>
      </c>
      <c r="H111" s="931">
        <f>H34/-SUM(H105,H107)</f>
        <v/>
      </c>
      <c r="I111" s="931">
        <f>I34/-SUM(I105,I107)</f>
        <v/>
      </c>
      <c r="J111" s="931">
        <f>J34/-SUM(J105,J107)</f>
        <v/>
      </c>
      <c r="K111" s="931">
        <f>K34/-SUM(K105,K107)</f>
        <v/>
      </c>
    </row>
    <row r="114">
      <c r="B114" s="406">
        <f>"Exit &amp; returns - "&amp;Historiek!A2</f>
        <v/>
      </c>
      <c r="C114" s="13" t="n"/>
      <c r="D114" s="407" t="n"/>
      <c r="E114" s="407" t="n"/>
      <c r="F114" s="407" t="n"/>
      <c r="G114" s="407" t="n"/>
      <c r="H114" s="407" t="n"/>
      <c r="I114" s="407" t="n"/>
      <c r="J114" s="407" t="n"/>
      <c r="K114" s="407" t="n"/>
    </row>
    <row r="115">
      <c r="B115" s="738">
        <f>'BP - Annual'!C4</f>
        <v/>
      </c>
      <c r="C115" s="743">
        <f>'BP - Annual'!F4</f>
        <v/>
      </c>
      <c r="D115" s="741">
        <f>'BP - Annual'!G4</f>
        <v/>
      </c>
      <c r="E115" s="741">
        <f>'BP - Annual'!H4</f>
        <v/>
      </c>
      <c r="F115" s="741">
        <f>'BP - Annual'!I4</f>
        <v/>
      </c>
      <c r="G115" s="741">
        <f>'BP - Annual'!J4</f>
        <v/>
      </c>
      <c r="H115" s="741">
        <f>'BP - Annual'!K4</f>
        <v/>
      </c>
      <c r="I115" s="741">
        <f>"FY"&amp;RIGHT(H115,2)+1</f>
        <v/>
      </c>
      <c r="J115" s="741">
        <f>"FY"&amp;RIGHT(I115,2)+1</f>
        <v/>
      </c>
      <c r="K115" s="741">
        <f>"FY"&amp;RIGHT(J115,2)+1</f>
        <v/>
      </c>
    </row>
    <row r="116">
      <c r="B116" s="16" t="inlineStr">
        <is>
          <t>EBITDA</t>
        </is>
      </c>
      <c r="C116" s="533" t="n"/>
      <c r="D116" s="16">
        <f>D64</f>
        <v/>
      </c>
      <c r="E116" s="16">
        <f>E64</f>
        <v/>
      </c>
      <c r="F116" s="16">
        <f>F64</f>
        <v/>
      </c>
      <c r="G116" s="16">
        <f>G64</f>
        <v/>
      </c>
      <c r="H116" s="16">
        <f>H64</f>
        <v/>
      </c>
      <c r="I116" s="16">
        <f>I64</f>
        <v/>
      </c>
      <c r="J116" s="16">
        <f>J64</f>
        <v/>
      </c>
      <c r="K116" s="16">
        <f>K64</f>
        <v/>
      </c>
    </row>
    <row r="117">
      <c r="B117" s="518" t="inlineStr">
        <is>
          <t>Exit EBITDA multiple</t>
        </is>
      </c>
      <c r="D117" s="932">
        <f>C5</f>
        <v/>
      </c>
      <c r="E117" s="933">
        <f>D117</f>
        <v/>
      </c>
      <c r="F117" s="933">
        <f>E117</f>
        <v/>
      </c>
      <c r="G117" s="933">
        <f>F117</f>
        <v/>
      </c>
      <c r="H117" s="933">
        <f>G117</f>
        <v/>
      </c>
      <c r="I117" s="933">
        <f>H117</f>
        <v/>
      </c>
      <c r="J117" s="933">
        <f>I117</f>
        <v/>
      </c>
      <c r="K117" s="933">
        <f>J117</f>
        <v/>
      </c>
    </row>
    <row r="118">
      <c r="B118" s="406" t="inlineStr">
        <is>
          <t>Enterprise value</t>
        </is>
      </c>
      <c r="D118" s="16">
        <f>D116*D117</f>
        <v/>
      </c>
      <c r="E118" s="16">
        <f>E116*E117</f>
        <v/>
      </c>
      <c r="F118" s="16">
        <f>F116*F117</f>
        <v/>
      </c>
      <c r="G118" s="16">
        <f>G116*G117</f>
        <v/>
      </c>
      <c r="H118" s="16">
        <f>H116*H117</f>
        <v/>
      </c>
      <c r="I118" s="16">
        <f>I116*I117</f>
        <v/>
      </c>
      <c r="J118" s="16">
        <f>J116*J117</f>
        <v/>
      </c>
      <c r="K118" s="16">
        <f>K116*K117</f>
        <v/>
      </c>
    </row>
    <row r="119">
      <c r="B119" s="518" t="inlineStr">
        <is>
          <t>Total outstanding debt</t>
        </is>
      </c>
      <c r="D119" s="413">
        <f>-D106</f>
        <v/>
      </c>
      <c r="E119" s="413">
        <f>-E106</f>
        <v/>
      </c>
      <c r="F119" s="413">
        <f>-F106</f>
        <v/>
      </c>
      <c r="G119" s="413">
        <f>-G106</f>
        <v/>
      </c>
      <c r="H119" s="413">
        <f>-H106</f>
        <v/>
      </c>
      <c r="I119" s="413">
        <f>-I106</f>
        <v/>
      </c>
      <c r="J119" s="413">
        <f>-J106</f>
        <v/>
      </c>
      <c r="K119" s="413">
        <f>-K106</f>
        <v/>
      </c>
    </row>
    <row r="120">
      <c r="B120" s="518" t="inlineStr">
        <is>
          <t>Cash</t>
        </is>
      </c>
      <c r="D120" s="413">
        <f>D53</f>
        <v/>
      </c>
      <c r="E120" s="413">
        <f>E53</f>
        <v/>
      </c>
      <c r="F120" s="413">
        <f>F53</f>
        <v/>
      </c>
      <c r="G120" s="413">
        <f>G53</f>
        <v/>
      </c>
      <c r="H120" s="413">
        <f>H53</f>
        <v/>
      </c>
      <c r="I120" s="413">
        <f>I53</f>
        <v/>
      </c>
      <c r="J120" s="413">
        <f>J53</f>
        <v/>
      </c>
      <c r="K120" s="413">
        <f>K53</f>
        <v/>
      </c>
    </row>
    <row r="121">
      <c r="B121" s="406" t="inlineStr">
        <is>
          <t>Equity value</t>
        </is>
      </c>
      <c r="D121" s="410">
        <f>SUM(D118:D120)</f>
        <v/>
      </c>
      <c r="E121" s="410">
        <f>SUM(E118:E120)</f>
        <v/>
      </c>
      <c r="F121" s="410">
        <f>SUM(F118:F120)</f>
        <v/>
      </c>
      <c r="G121" s="410">
        <f>SUM(G118:G120)</f>
        <v/>
      </c>
      <c r="H121" s="410">
        <f>SUM(H118:H120)</f>
        <v/>
      </c>
      <c r="I121" s="410">
        <f>SUM(I118:I120)</f>
        <v/>
      </c>
      <c r="J121" s="410">
        <f>SUM(J118:J120)</f>
        <v/>
      </c>
      <c r="K121" s="410">
        <f>SUM(K118:K120)</f>
        <v/>
      </c>
    </row>
    <row r="123">
      <c r="B123" s="2" t="inlineStr">
        <is>
          <t>Equity LRM</t>
        </is>
      </c>
      <c r="C123" s="806">
        <f>N13</f>
        <v/>
      </c>
      <c r="D123" s="413">
        <f>$C123*D$121</f>
        <v/>
      </c>
      <c r="E123" s="413">
        <f>$C123*E$121</f>
        <v/>
      </c>
      <c r="F123" s="413">
        <f>$C123*F$121</f>
        <v/>
      </c>
      <c r="G123" s="413">
        <f>$C123*G$121</f>
        <v/>
      </c>
      <c r="H123" s="413">
        <f>$C123*H$121</f>
        <v/>
      </c>
      <c r="I123" s="413">
        <f>$C123*I$121</f>
        <v/>
      </c>
      <c r="J123" s="413">
        <f>$C123*J$121</f>
        <v/>
      </c>
      <c r="K123" s="413">
        <f>$C123*K$121</f>
        <v/>
      </c>
    </row>
    <row r="124">
      <c r="B124" s="2" t="inlineStr">
        <is>
          <t>Equity co-investor</t>
        </is>
      </c>
      <c r="C124" s="806">
        <f>N14</f>
        <v/>
      </c>
      <c r="D124" s="413">
        <f>$C124*D$121</f>
        <v/>
      </c>
      <c r="E124" s="413">
        <f>$C124*E$121</f>
        <v/>
      </c>
      <c r="F124" s="413">
        <f>$C124*F$121</f>
        <v/>
      </c>
      <c r="G124" s="413">
        <f>$C124*G$121</f>
        <v/>
      </c>
      <c r="H124" s="413">
        <f>$C124*H$121</f>
        <v/>
      </c>
      <c r="I124" s="413">
        <f>$C124*I$121</f>
        <v/>
      </c>
      <c r="J124" s="413">
        <f>$C124*J$121</f>
        <v/>
      </c>
      <c r="K124" s="413">
        <f>$C124*K$121</f>
        <v/>
      </c>
    </row>
    <row r="125">
      <c r="B125" s="2" t="inlineStr">
        <is>
          <t>Equity Mngt</t>
        </is>
      </c>
      <c r="C125" s="806">
        <f>N15</f>
        <v/>
      </c>
      <c r="D125" s="413">
        <f>$C125*D$121</f>
        <v/>
      </c>
      <c r="E125" s="413">
        <f>$C125*E$121</f>
        <v/>
      </c>
      <c r="F125" s="413">
        <f>$C125*F$121</f>
        <v/>
      </c>
      <c r="G125" s="413">
        <f>$C125*G$121</f>
        <v/>
      </c>
      <c r="H125" s="413">
        <f>$C125*H$121</f>
        <v/>
      </c>
      <c r="I125" s="413">
        <f>$C125*I$121</f>
        <v/>
      </c>
      <c r="J125" s="413">
        <f>$C125*J$121</f>
        <v/>
      </c>
      <c r="K125" s="413">
        <f>$C125*K$121</f>
        <v/>
      </c>
    </row>
    <row r="127">
      <c r="B127" s="518" t="inlineStr">
        <is>
          <t>Money multiple LRM</t>
        </is>
      </c>
      <c r="D127" s="933">
        <f>D123/$P$13</f>
        <v/>
      </c>
      <c r="E127" s="933">
        <f>E123/$P$13</f>
        <v/>
      </c>
      <c r="F127" s="933">
        <f>F123/$P$13</f>
        <v/>
      </c>
      <c r="G127" s="933">
        <f>G123/$P$13</f>
        <v/>
      </c>
      <c r="H127" s="933">
        <f>H123/$P$13</f>
        <v/>
      </c>
      <c r="I127" s="933">
        <f>I123/$P$13</f>
        <v/>
      </c>
      <c r="J127" s="933">
        <f>J123/$P$13</f>
        <v/>
      </c>
      <c r="K127" s="933">
        <f>K123/$P$13</f>
        <v/>
      </c>
    </row>
    <row r="128">
      <c r="B128" s="518" t="inlineStr">
        <is>
          <t>IRR LRM</t>
        </is>
      </c>
      <c r="D128" s="798" t="n"/>
      <c r="E128" s="792">
        <f>IFERROR(XIRR($D$131:E$131,$D$130:E$130),"n/a")</f>
        <v/>
      </c>
      <c r="F128" s="792">
        <f>IFERROR(XIRR($D$132:F$132,$D$130:F$130),"n/a")</f>
        <v/>
      </c>
      <c r="G128" s="792">
        <f>IFERROR(XIRR($D$133:G$133,$D$130:G$130),"n/a")</f>
        <v/>
      </c>
      <c r="H128" s="792">
        <f>IFERROR(XIRR($D$134:H$134,$D$130:H$130),"n/a")</f>
        <v/>
      </c>
      <c r="I128" s="792">
        <f>IFERROR(XIRR($D$135:I$135,$D$130:I$130),"n/a")</f>
        <v/>
      </c>
      <c r="J128" s="792">
        <f>IFERROR(XIRR($D$136:J$136,$D$130:J$130),"n/a")</f>
        <v/>
      </c>
      <c r="K128" s="792">
        <f>IFERROR(XIRR($D$137:K$137,$D$130:K$130),"n/a")</f>
        <v/>
      </c>
    </row>
    <row r="130">
      <c r="B130" s="518" t="inlineStr">
        <is>
          <t>IRR datums</t>
        </is>
      </c>
      <c r="D130" s="799" t="n">
        <v>45291</v>
      </c>
      <c r="E130" s="793">
        <f>D130+365</f>
        <v/>
      </c>
      <c r="F130" s="793">
        <f>E130+365</f>
        <v/>
      </c>
      <c r="G130" s="793">
        <f>F130+365</f>
        <v/>
      </c>
      <c r="H130" s="793">
        <f>G130+365</f>
        <v/>
      </c>
      <c r="I130" s="793">
        <f>H130+365</f>
        <v/>
      </c>
      <c r="J130" s="793">
        <f>I130+365</f>
        <v/>
      </c>
      <c r="K130" s="793">
        <f>J130+365</f>
        <v/>
      </c>
    </row>
    <row r="131">
      <c r="B131" s="518" t="inlineStr">
        <is>
          <t>IRR waarden</t>
        </is>
      </c>
      <c r="D131" s="413">
        <f>-P13</f>
        <v/>
      </c>
      <c r="E131" s="413">
        <f>E123</f>
        <v/>
      </c>
    </row>
    <row r="132">
      <c r="D132" s="413">
        <f>D131</f>
        <v/>
      </c>
      <c r="F132" s="413">
        <f>F123</f>
        <v/>
      </c>
    </row>
    <row r="133">
      <c r="D133" s="413">
        <f>D132</f>
        <v/>
      </c>
      <c r="G133" s="413">
        <f>G123</f>
        <v/>
      </c>
    </row>
    <row r="134">
      <c r="D134" s="413">
        <f>D133</f>
        <v/>
      </c>
      <c r="H134" s="413">
        <f>H123</f>
        <v/>
      </c>
    </row>
    <row r="135">
      <c r="D135" s="413">
        <f>D134</f>
        <v/>
      </c>
      <c r="I135" s="413">
        <f>I123</f>
        <v/>
      </c>
    </row>
    <row r="136">
      <c r="D136" s="413">
        <f>D135</f>
        <v/>
      </c>
      <c r="J136" s="413">
        <f>J123</f>
        <v/>
      </c>
    </row>
    <row r="137">
      <c r="D137" s="413">
        <f>D136</f>
        <v/>
      </c>
      <c r="K137" s="413">
        <f>K123</f>
        <v/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4" tint="0.5999938962981048"/>
    <outlinePr summaryBelow="1" summaryRight="1"/>
    <pageSetUpPr/>
  </sheetPr>
  <dimension ref="C2:R27"/>
  <sheetViews>
    <sheetView showGridLines="0" zoomScaleNormal="100" workbookViewId="0">
      <selection activeCell="L39" sqref="L39"/>
    </sheetView>
  </sheetViews>
  <sheetFormatPr baseColWidth="8" defaultColWidth="9.109375" defaultRowHeight="13.2"/>
  <cols>
    <col width="4.6640625" customWidth="1" style="6" min="1" max="1"/>
    <col width="4.44140625" customWidth="1" style="6" min="2" max="2"/>
    <col width="33.5546875" customWidth="1" style="6" min="3" max="3"/>
    <col width="11.5546875" customWidth="1" style="6" min="4" max="4"/>
    <col width="11.5546875" customWidth="1" style="32" min="5" max="6"/>
    <col width="13" customWidth="1" style="6" min="7" max="7"/>
    <col width="7.33203125" customWidth="1" style="6" min="8" max="8"/>
    <col width="22.5546875" customWidth="1" style="6" min="9" max="9"/>
    <col width="8.88671875" customWidth="1" style="6" min="10" max="17"/>
    <col width="9.109375" customWidth="1" style="6" min="18" max="18"/>
    <col width="11" customWidth="1" style="6" min="19" max="19"/>
    <col width="8.44140625" customWidth="1" style="6" min="20" max="27"/>
    <col width="9.109375" customWidth="1" style="6" min="28" max="16384"/>
  </cols>
  <sheetData>
    <row r="2" ht="12.75" customHeight="1">
      <c r="C2" s="538" t="n"/>
    </row>
    <row r="3" ht="12.75" customHeight="1">
      <c r="C3" s="406">
        <f>"Historiek investeringen - "&amp;Historiek!A2</f>
        <v/>
      </c>
      <c r="D3" s="407" t="n"/>
      <c r="E3" s="6" t="n"/>
      <c r="I3" s="406">
        <f>"High level rendementsberekening - "&amp;Historiek!A2</f>
        <v/>
      </c>
      <c r="J3" s="407" t="n"/>
      <c r="K3" s="407" t="n"/>
      <c r="L3" s="407" t="n"/>
      <c r="M3" s="407" t="n"/>
      <c r="N3" s="407" t="n"/>
      <c r="O3" s="524" t="n"/>
      <c r="P3" s="524" t="n"/>
      <c r="Q3" s="524" t="n"/>
      <c r="R3" s="407" t="n"/>
    </row>
    <row r="4">
      <c r="C4" s="738" t="inlineStr">
        <is>
          <t>€</t>
        </is>
      </c>
      <c r="D4" s="741" t="inlineStr">
        <is>
          <t>Oprichting</t>
        </is>
      </c>
      <c r="E4" s="741" t="inlineStr">
        <is>
          <t>Ronde 1</t>
        </is>
      </c>
      <c r="F4" s="743" t="inlineStr">
        <is>
          <t>Ronde 2</t>
        </is>
      </c>
      <c r="G4" s="807" t="inlineStr">
        <is>
          <t>Huidige ronde</t>
        </is>
      </c>
      <c r="I4" s="738" t="n"/>
      <c r="J4" s="741" t="inlineStr">
        <is>
          <t>Mngt</t>
        </is>
      </c>
      <c r="K4" s="741" t="inlineStr">
        <is>
          <t>Mngt</t>
        </is>
      </c>
      <c r="L4" s="741" t="inlineStr">
        <is>
          <t>Mngt</t>
        </is>
      </c>
      <c r="M4" s="741" t="inlineStr">
        <is>
          <t>Mngt</t>
        </is>
      </c>
      <c r="N4" s="741" t="inlineStr">
        <is>
          <t>Mngt</t>
        </is>
      </c>
      <c r="O4" s="741" t="inlineStr">
        <is>
          <t>Added</t>
        </is>
      </c>
      <c r="P4" s="741" t="inlineStr">
        <is>
          <t>Added</t>
        </is>
      </c>
      <c r="Q4" s="741" t="inlineStr">
        <is>
          <t>Added</t>
        </is>
      </c>
    </row>
    <row r="5">
      <c r="C5" s="738" t="n"/>
      <c r="D5" s="808" t="inlineStr">
        <is>
          <t>Datum</t>
        </is>
      </c>
      <c r="E5" s="808" t="inlineStr">
        <is>
          <t>Datum</t>
        </is>
      </c>
      <c r="F5" s="809" t="inlineStr">
        <is>
          <t>Datum</t>
        </is>
      </c>
      <c r="G5" s="810" t="inlineStr">
        <is>
          <t>Datum</t>
        </is>
      </c>
      <c r="I5" s="738">
        <f>'BP - Annual'!C4</f>
        <v/>
      </c>
      <c r="J5" s="741">
        <f>'BP - Annual'!G4</f>
        <v/>
      </c>
      <c r="K5" s="741">
        <f>'BP - Annual'!H4</f>
        <v/>
      </c>
      <c r="L5" s="741">
        <f>'BP - Annual'!I4</f>
        <v/>
      </c>
      <c r="M5" s="741">
        <f>'BP - Annual'!J4</f>
        <v/>
      </c>
      <c r="N5" s="741">
        <f>'BP - Annual'!K4</f>
        <v/>
      </c>
      <c r="O5" s="741">
        <f>"FY"&amp;RIGHT(N5,2)+1</f>
        <v/>
      </c>
      <c r="P5" s="741">
        <f>"FY"&amp;RIGHT(O5,2)+1</f>
        <v/>
      </c>
      <c r="Q5" s="741">
        <f>"FY"&amp;RIGHT(P5,2)+1</f>
        <v/>
      </c>
    </row>
    <row r="6" ht="12.75" customHeight="1">
      <c r="C6" s="6" t="inlineStr">
        <is>
          <t>Cash investering</t>
        </is>
      </c>
      <c r="D6" s="4" t="n"/>
      <c r="E6" s="4" t="n"/>
      <c r="F6" s="4" t="n"/>
      <c r="G6" s="4" t="n"/>
      <c r="H6" s="4" t="n"/>
      <c r="I6" s="16" t="inlineStr">
        <is>
          <t>EBITDA</t>
        </is>
      </c>
      <c r="J6" s="16">
        <f>'BP - Annual'!G61</f>
        <v/>
      </c>
      <c r="K6" s="16">
        <f>'BP - Annual'!H61</f>
        <v/>
      </c>
      <c r="L6" s="16">
        <f>'BP - Annual'!I61</f>
        <v/>
      </c>
      <c r="M6" s="16">
        <f>'BP - Annual'!J61</f>
        <v/>
      </c>
      <c r="N6" s="16">
        <f>'BP - Annual'!K61</f>
        <v/>
      </c>
      <c r="O6" s="16" t="n"/>
      <c r="P6" s="16" t="n"/>
      <c r="Q6" s="16" t="n"/>
    </row>
    <row r="7" ht="12.75" customHeight="1">
      <c r="C7" s="6" t="inlineStr">
        <is>
          <t>Aandelen</t>
        </is>
      </c>
      <c r="D7" s="4" t="n"/>
      <c r="E7" s="4" t="n"/>
      <c r="F7" s="4" t="n"/>
      <c r="G7" s="4" t="n"/>
      <c r="H7" s="4" t="n"/>
      <c r="I7" s="518" t="inlineStr">
        <is>
          <t>Exit EBITDA multiple</t>
        </is>
      </c>
      <c r="J7" s="934">
        <f>LBO!C5</f>
        <v/>
      </c>
      <c r="K7" s="933">
        <f>J7</f>
        <v/>
      </c>
      <c r="L7" s="933">
        <f>K7</f>
        <v/>
      </c>
      <c r="M7" s="933">
        <f>L7</f>
        <v/>
      </c>
      <c r="N7" s="933">
        <f>M7</f>
        <v/>
      </c>
      <c r="O7" s="933">
        <f>N7</f>
        <v/>
      </c>
      <c r="P7" s="933">
        <f>O7</f>
        <v/>
      </c>
      <c r="Q7" s="933">
        <f>P7</f>
        <v/>
      </c>
    </row>
    <row r="8" ht="12.75" customHeight="1">
      <c r="C8" s="6" t="inlineStr">
        <is>
          <t>Cumul Aandelen</t>
        </is>
      </c>
      <c r="D8" s="4">
        <f>D7</f>
        <v/>
      </c>
      <c r="E8" s="4">
        <f>D8+E7</f>
        <v/>
      </c>
      <c r="F8" s="4">
        <f>E8+F7</f>
        <v/>
      </c>
      <c r="G8" s="4">
        <f>F8+G7</f>
        <v/>
      </c>
      <c r="H8" s="4" t="n"/>
      <c r="I8" s="406" t="inlineStr">
        <is>
          <t>Enterprise value</t>
        </is>
      </c>
      <c r="J8" s="16">
        <f>J6*J7</f>
        <v/>
      </c>
      <c r="K8" s="16">
        <f>K6*K7</f>
        <v/>
      </c>
      <c r="L8" s="16">
        <f>L6*L7</f>
        <v/>
      </c>
      <c r="M8" s="16">
        <f>M6*M7</f>
        <v/>
      </c>
      <c r="N8" s="16">
        <f>N6*N7</f>
        <v/>
      </c>
      <c r="O8" s="16">
        <f>O6*O7</f>
        <v/>
      </c>
      <c r="P8" s="16">
        <f>P6*P7</f>
        <v/>
      </c>
      <c r="Q8" s="16">
        <f>Q6*Q7</f>
        <v/>
      </c>
    </row>
    <row r="9" ht="12.75" customHeight="1">
      <c r="C9" s="6" t="inlineStr">
        <is>
          <t>P/a</t>
        </is>
      </c>
      <c r="D9" s="541">
        <f>IFERROR(D6/D7,"n/a")</f>
        <v/>
      </c>
      <c r="E9" s="541">
        <f>IFERROR(E6/E7,"n/a")</f>
        <v/>
      </c>
      <c r="F9" s="541">
        <f>IFERROR(F6/F7,"n/a")</f>
        <v/>
      </c>
      <c r="G9" s="541">
        <f>IFERROR(G6/G7,"n/a")</f>
        <v/>
      </c>
      <c r="H9" s="4" t="n"/>
      <c r="I9" s="518" t="inlineStr">
        <is>
          <t>Total external debt</t>
        </is>
      </c>
      <c r="J9" s="539" t="n"/>
      <c r="K9" s="539" t="n"/>
      <c r="L9" s="539" t="n"/>
      <c r="M9" s="539" t="n"/>
      <c r="N9" s="539" t="n"/>
      <c r="O9" s="539" t="n"/>
      <c r="P9" s="539" t="n"/>
      <c r="Q9" s="539" t="n"/>
    </row>
    <row r="10" ht="12.75" customHeight="1">
      <c r="C10" s="6" t="inlineStr">
        <is>
          <t>Cumul Cash</t>
        </is>
      </c>
      <c r="D10" s="4">
        <f>D6</f>
        <v/>
      </c>
      <c r="E10" s="4">
        <f>D10+E6</f>
        <v/>
      </c>
      <c r="F10" s="4">
        <f>E10+F6</f>
        <v/>
      </c>
      <c r="G10" s="4">
        <f>F10+G6</f>
        <v/>
      </c>
      <c r="H10" s="4" t="n"/>
      <c r="I10" s="518" t="inlineStr">
        <is>
          <t>Cash</t>
        </is>
      </c>
      <c r="J10" s="539" t="n"/>
      <c r="K10" s="539" t="n"/>
      <c r="L10" s="539" t="n"/>
      <c r="M10" s="539" t="n"/>
      <c r="N10" s="539" t="n"/>
      <c r="O10" s="539" t="n"/>
      <c r="P10" s="539" t="n"/>
      <c r="Q10" s="539" t="n"/>
    </row>
    <row r="11" ht="12.75" customHeight="1">
      <c r="C11" s="6" t="inlineStr">
        <is>
          <t>Kapitalisatie</t>
        </is>
      </c>
      <c r="D11" s="93">
        <f>IFERROR(D8*D9,"n/a")</f>
        <v/>
      </c>
      <c r="E11" s="93">
        <f>IFERROR(E8*E9,"n/a")</f>
        <v/>
      </c>
      <c r="F11" s="93">
        <f>IFERROR(F8*F9,"n/a")</f>
        <v/>
      </c>
      <c r="G11" s="93">
        <f>IFERROR(G8*G9,"n/a")</f>
        <v/>
      </c>
      <c r="H11" s="4" t="n"/>
      <c r="I11" s="406" t="inlineStr">
        <is>
          <t>Equity value</t>
        </is>
      </c>
      <c r="J11" s="410">
        <f>SUM(J8:J10)</f>
        <v/>
      </c>
      <c r="K11" s="410">
        <f>SUM(K8:K10)</f>
        <v/>
      </c>
      <c r="L11" s="410">
        <f>SUM(L8:L10)</f>
        <v/>
      </c>
      <c r="M11" s="410">
        <f>SUM(M8:M10)</f>
        <v/>
      </c>
      <c r="N11" s="410">
        <f>SUM(N8:N10)</f>
        <v/>
      </c>
      <c r="O11" s="410">
        <f>SUM(O8:O10)</f>
        <v/>
      </c>
      <c r="P11" s="410">
        <f>SUM(P8:P10)</f>
        <v/>
      </c>
      <c r="Q11" s="410">
        <f>SUM(Q8:Q10)</f>
        <v/>
      </c>
    </row>
    <row r="12" ht="12.75" customHeight="1">
      <c r="D12" s="4" t="n"/>
      <c r="E12" s="4" t="n"/>
      <c r="F12" s="14" t="n"/>
      <c r="G12" s="4" t="n"/>
      <c r="H12" s="4" t="n"/>
      <c r="N12" s="8" t="n"/>
      <c r="O12" s="8" t="n"/>
      <c r="P12" s="8" t="n"/>
      <c r="Q12" s="8" t="n"/>
    </row>
    <row r="13" ht="12.75" customHeight="1">
      <c r="C13" s="6" t="inlineStr">
        <is>
          <t>LRM Inleg</t>
        </is>
      </c>
      <c r="D13" s="4" t="n"/>
      <c r="E13" s="4" t="n"/>
      <c r="F13" s="4" t="n"/>
      <c r="G13" s="4" t="n"/>
      <c r="H13" s="4" t="n"/>
      <c r="I13" s="2" t="inlineStr">
        <is>
          <t>Equity LRM</t>
        </is>
      </c>
      <c r="J13" s="544" t="n">
        <v>0.2</v>
      </c>
      <c r="K13" s="419" t="n"/>
      <c r="L13" s="413" t="n"/>
      <c r="M13" s="413" t="n"/>
      <c r="N13" s="413">
        <f>$J13*N$11</f>
        <v/>
      </c>
      <c r="O13" s="413">
        <f>$J13*O$11</f>
        <v/>
      </c>
      <c r="P13" s="413">
        <f>$J13*P$11</f>
        <v/>
      </c>
      <c r="Q13" s="413">
        <f>$J13*Q$11</f>
        <v/>
      </c>
    </row>
    <row r="14" ht="12.75" customHeight="1">
      <c r="C14" s="6" t="inlineStr">
        <is>
          <t>LRM aandelen</t>
        </is>
      </c>
      <c r="D14" s="93">
        <f>IFERROR(D13/D9,"n/a")</f>
        <v/>
      </c>
      <c r="E14" s="93">
        <f>IFERROR(E13/E9,"n/a")</f>
        <v/>
      </c>
      <c r="F14" s="93">
        <f>IFERROR(F13/F9,"n/a")</f>
        <v/>
      </c>
      <c r="G14" s="93">
        <f>IFERROR(G13/G9,"n/a")</f>
        <v/>
      </c>
      <c r="H14" s="4" t="n"/>
      <c r="I14" s="2" t="inlineStr">
        <is>
          <t>Equity co-investor</t>
        </is>
      </c>
      <c r="J14" s="545" t="n">
        <v>0.2</v>
      </c>
      <c r="K14" s="413" t="n"/>
      <c r="L14" s="413" t="n"/>
      <c r="M14" s="413" t="n"/>
      <c r="N14" s="413">
        <f>$J14*N$11</f>
        <v/>
      </c>
      <c r="O14" s="413">
        <f>$J14*O$11</f>
        <v/>
      </c>
      <c r="P14" s="413">
        <f>$J14*P$11</f>
        <v/>
      </c>
      <c r="Q14" s="413">
        <f>$J14*Q$11</f>
        <v/>
      </c>
    </row>
    <row r="15" ht="12.75" customHeight="1">
      <c r="C15" s="6" t="inlineStr">
        <is>
          <t>LRM aandelen cum</t>
        </is>
      </c>
      <c r="D15" s="93">
        <f>D14</f>
        <v/>
      </c>
      <c r="E15" s="93">
        <f>IFERROR(D15+E14,"n/a")</f>
        <v/>
      </c>
      <c r="F15" s="93">
        <f>IFERROR(E15+F14,"n/a")</f>
        <v/>
      </c>
      <c r="G15" s="93">
        <f>IFERROR(F15+G14,"n/a")</f>
        <v/>
      </c>
      <c r="H15" s="4" t="n"/>
      <c r="I15" s="2" t="inlineStr">
        <is>
          <t>Equity bestaande AH</t>
        </is>
      </c>
      <c r="J15" s="546" t="n">
        <v>0.6</v>
      </c>
      <c r="K15" s="413" t="n"/>
      <c r="L15" s="413" t="n"/>
      <c r="M15" s="413" t="n"/>
      <c r="N15" s="413">
        <f>$J15*N$11</f>
        <v/>
      </c>
      <c r="O15" s="413">
        <f>$J15*O$11</f>
        <v/>
      </c>
      <c r="P15" s="413">
        <f>$J15*P$11</f>
        <v/>
      </c>
      <c r="Q15" s="413">
        <f>$J15*Q$11</f>
        <v/>
      </c>
    </row>
    <row r="16" ht="12.75" customHeight="1">
      <c r="C16" s="6" t="inlineStr">
        <is>
          <t>LRM Inleg cumul</t>
        </is>
      </c>
      <c r="D16" s="4">
        <f>D13</f>
        <v/>
      </c>
      <c r="E16" s="4">
        <f>D16+E13</f>
        <v/>
      </c>
      <c r="F16" s="4">
        <f>E16+F13</f>
        <v/>
      </c>
      <c r="G16" s="4">
        <f>F16+G13</f>
        <v/>
      </c>
      <c r="H16" s="4" t="n"/>
      <c r="I16" s="518" t="n"/>
      <c r="J16" s="518" t="n"/>
      <c r="K16" s="518" t="n"/>
      <c r="L16" s="518" t="n"/>
      <c r="M16" s="518" t="n"/>
      <c r="N16" s="518" t="n"/>
      <c r="O16" s="518" t="n"/>
      <c r="P16" s="518" t="n"/>
      <c r="Q16" s="518" t="n"/>
    </row>
    <row r="17" ht="12.75" customHeight="1">
      <c r="C17" s="6" t="inlineStr">
        <is>
          <t>LRM kapitalisatie</t>
        </is>
      </c>
      <c r="D17" s="93">
        <f>IFERROR(D9*D15,"n/a")</f>
        <v/>
      </c>
      <c r="E17" s="93">
        <f>IFERROR(E9*E15,"n/a")</f>
        <v/>
      </c>
      <c r="F17" s="93">
        <f>IFERROR(F9*F15,"n/a")</f>
        <v/>
      </c>
      <c r="G17" s="93">
        <f>IFERROR(G9*G15,"n/a")</f>
        <v/>
      </c>
      <c r="I17" s="518" t="inlineStr">
        <is>
          <t>Money multiple LRM</t>
        </is>
      </c>
      <c r="J17" s="933" t="n"/>
      <c r="K17" s="933" t="n"/>
      <c r="L17" s="933" t="n"/>
      <c r="M17" s="933" t="n"/>
      <c r="N17" s="935">
        <f>IFERROR(N13/(SUM($D$13:$G$13)/1000),"n/a")</f>
        <v/>
      </c>
      <c r="O17" s="935">
        <f>IFERROR(O13/(SUM($D$13:$G$13)/1000),"n/a")</f>
        <v/>
      </c>
      <c r="P17" s="935">
        <f>IFERROR(P13/(SUM($D$13:$G$13)/1000),"n/a")</f>
        <v/>
      </c>
      <c r="Q17" s="935">
        <f>IFERROR(Q13/(SUM($D$13:$G$13)/1000),"n/a")</f>
        <v/>
      </c>
    </row>
    <row r="18">
      <c r="C18" s="6" t="inlineStr">
        <is>
          <t>LRM AH %</t>
        </is>
      </c>
      <c r="D18" s="34">
        <f>IFERROR(D15/D8,"n/a")</f>
        <v/>
      </c>
      <c r="E18" s="34">
        <f>IFERROR(E15/E8,"n/a")</f>
        <v/>
      </c>
      <c r="F18" s="34">
        <f>IFERROR(F15/F8,"n/a")</f>
        <v/>
      </c>
      <c r="G18" s="34">
        <f>IFERROR(G15/G8,"n/a")</f>
        <v/>
      </c>
      <c r="I18" s="406" t="inlineStr">
        <is>
          <t>IRR LRM</t>
        </is>
      </c>
      <c r="J18" s="540" t="n"/>
      <c r="K18" s="540" t="n"/>
      <c r="L18" s="540" t="n"/>
      <c r="M18" s="540" t="n"/>
      <c r="N18" s="559">
        <f>IFERROR(XIRR(J24:N24,J20:N20),"n/a")</f>
        <v/>
      </c>
      <c r="O18" s="559">
        <f>IFERROR(XIRR(J25:O25,J20:O20),"n/a")</f>
        <v/>
      </c>
      <c r="P18" s="559">
        <f>IFERROR(XIRR(J26:P26,J20:P20),"n/a")</f>
        <v/>
      </c>
      <c r="Q18" s="559">
        <f>IFERROR(XIRR(J27:Q27,J20:Q20),"n/a")</f>
        <v/>
      </c>
    </row>
    <row r="20">
      <c r="C20" s="46" t="inlineStr">
        <is>
          <t>Pre-money waardering</t>
        </is>
      </c>
      <c r="D20" s="46" t="n">
        <v>0</v>
      </c>
      <c r="E20" s="542">
        <f>IFERROR(D21+E6,"n/a")</f>
        <v/>
      </c>
      <c r="F20" s="542">
        <f>IFERROR(E21+F6,"n/a")</f>
        <v/>
      </c>
      <c r="G20" s="542">
        <f>IFERROR(F21+G6,"n/a")</f>
        <v/>
      </c>
      <c r="I20" s="547" t="inlineStr">
        <is>
          <t>IRR datums</t>
        </is>
      </c>
      <c r="J20" s="548" t="n">
        <v>45291</v>
      </c>
      <c r="K20" s="548">
        <f>J20+365</f>
        <v/>
      </c>
      <c r="L20" s="548">
        <f>K20+365</f>
        <v/>
      </c>
      <c r="M20" s="548">
        <f>L20+365</f>
        <v/>
      </c>
      <c r="N20" s="548">
        <f>M20+365</f>
        <v/>
      </c>
      <c r="O20" s="548">
        <f>N20+365</f>
        <v/>
      </c>
      <c r="P20" s="548">
        <f>O20+365</f>
        <v/>
      </c>
      <c r="Q20" s="549">
        <f>P20+365</f>
        <v/>
      </c>
    </row>
    <row r="21">
      <c r="C21" s="46" t="inlineStr">
        <is>
          <t>Post-money waardering</t>
        </is>
      </c>
      <c r="D21" s="542">
        <f>D11</f>
        <v/>
      </c>
      <c r="E21" s="542">
        <f>E11</f>
        <v/>
      </c>
      <c r="F21" s="542">
        <f>F11</f>
        <v/>
      </c>
      <c r="G21" s="542">
        <f>G11</f>
        <v/>
      </c>
      <c r="I21" s="550" t="inlineStr">
        <is>
          <t>IRR waarden</t>
        </is>
      </c>
      <c r="J21" s="551">
        <f>SUM(-G13)</f>
        <v/>
      </c>
      <c r="K21" s="551">
        <f>K13</f>
        <v/>
      </c>
      <c r="L21" s="552" t="n"/>
      <c r="M21" s="552" t="n"/>
      <c r="N21" s="552" t="n"/>
      <c r="O21" s="552" t="n"/>
      <c r="P21" s="552" t="n"/>
      <c r="Q21" s="553" t="n"/>
    </row>
    <row r="22">
      <c r="E22" s="6" t="n"/>
      <c r="I22" s="550" t="n"/>
      <c r="J22" s="551">
        <f>J21</f>
        <v/>
      </c>
      <c r="K22" s="552" t="n"/>
      <c r="L22" s="551">
        <f>L13</f>
        <v/>
      </c>
      <c r="M22" s="552" t="n"/>
      <c r="N22" s="552" t="n"/>
      <c r="O22" s="552" t="n"/>
      <c r="P22" s="552" t="n"/>
      <c r="Q22" s="553" t="n"/>
    </row>
    <row r="23">
      <c r="I23" s="550" t="n"/>
      <c r="J23" s="551">
        <f>J22</f>
        <v/>
      </c>
      <c r="K23" s="552" t="n"/>
      <c r="L23" s="552" t="n"/>
      <c r="M23" s="551">
        <f>M13</f>
        <v/>
      </c>
      <c r="N23" s="552" t="n"/>
      <c r="O23" s="552" t="n"/>
      <c r="P23" s="552" t="n"/>
      <c r="Q23" s="553" t="n"/>
    </row>
    <row r="24">
      <c r="I24" s="550" t="n"/>
      <c r="J24" s="551">
        <f>J23</f>
        <v/>
      </c>
      <c r="K24" s="552" t="n"/>
      <c r="L24" s="552" t="n"/>
      <c r="M24" s="552" t="n"/>
      <c r="N24" s="551">
        <f>N13</f>
        <v/>
      </c>
      <c r="O24" s="552" t="n"/>
      <c r="P24" s="552" t="n"/>
      <c r="Q24" s="553" t="n"/>
    </row>
    <row r="25">
      <c r="I25" s="550" t="n"/>
      <c r="J25" s="551">
        <f>J24</f>
        <v/>
      </c>
      <c r="K25" s="552" t="n"/>
      <c r="L25" s="552" t="n"/>
      <c r="M25" s="552" t="n"/>
      <c r="N25" s="552" t="n"/>
      <c r="O25" s="551">
        <f>O13</f>
        <v/>
      </c>
      <c r="P25" s="552" t="n"/>
      <c r="Q25" s="553" t="n"/>
    </row>
    <row r="26">
      <c r="I26" s="550" t="n"/>
      <c r="J26" s="551">
        <f>J25</f>
        <v/>
      </c>
      <c r="K26" s="552" t="n"/>
      <c r="L26" s="552" t="n"/>
      <c r="M26" s="552" t="n"/>
      <c r="N26" s="552" t="n"/>
      <c r="O26" s="552" t="n"/>
      <c r="P26" s="551">
        <f>P13</f>
        <v/>
      </c>
      <c r="Q26" s="553" t="n"/>
    </row>
    <row r="27">
      <c r="I27" s="554" t="n"/>
      <c r="J27" s="555">
        <f>J26</f>
        <v/>
      </c>
      <c r="K27" s="556" t="n"/>
      <c r="L27" s="556" t="n"/>
      <c r="M27" s="556" t="n"/>
      <c r="N27" s="556" t="n"/>
      <c r="O27" s="556" t="n"/>
      <c r="P27" s="556" t="n"/>
      <c r="Q27" s="557">
        <f>Q13</f>
        <v/>
      </c>
    </row>
  </sheetData>
  <pageMargins left="0.7" right="0.7" top="0.75" bottom="0.75" header="0.3" footer="0.3"/>
  <pageSetup orientation="portrait" paperSize="9" verticalDpi="0"/>
</worksheet>
</file>

<file path=xl/worksheets/sheet26.xml><?xml version="1.0" encoding="utf-8"?>
<worksheet xmlns="http://schemas.openxmlformats.org/spreadsheetml/2006/main">
  <sheetPr>
    <tabColor theme="1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61" customWidth="1" min="3" max="3"/>
    <col width="8" customWidth="1" min="4" max="4"/>
    <col width="7" customWidth="1" min="5" max="5"/>
    <col width="12" customWidth="1" min="6" max="6"/>
  </cols>
  <sheetData>
    <row r="1">
      <c r="A1" s="936" t="inlineStr">
        <is>
          <t>Prefix</t>
        </is>
      </c>
      <c r="B1" s="936" t="inlineStr">
        <is>
          <t>Rekeningcode</t>
        </is>
      </c>
      <c r="C1" s="936" t="inlineStr">
        <is>
          <t>Omschrijving</t>
        </is>
      </c>
      <c r="D1" s="936" t="inlineStr">
        <is>
          <t>Type</t>
        </is>
      </c>
      <c r="E1" s="936" t="inlineStr">
        <is>
          <t>Level</t>
        </is>
      </c>
      <c r="F1" s="936" t="inlineStr">
        <is>
          <t>31-12-2023</t>
        </is>
      </c>
    </row>
    <row r="2">
      <c r="A2" t="inlineStr">
        <is>
          <t>10</t>
        </is>
      </c>
      <c r="B2" t="inlineStr">
        <is>
          <t>100000</t>
        </is>
      </c>
      <c r="C2" t="inlineStr">
        <is>
          <t>Kosten van transport</t>
        </is>
      </c>
      <c r="D2" t="inlineStr">
        <is>
          <t>Detail</t>
        </is>
      </c>
      <c r="E2" t="n">
        <v>3</v>
      </c>
      <c r="F2" t="n">
        <v>3.27</v>
      </c>
    </row>
    <row r="3">
      <c r="A3" t="inlineStr">
        <is>
          <t>11</t>
        </is>
      </c>
      <c r="B3" t="inlineStr">
        <is>
          <t>110900</t>
        </is>
      </c>
      <c r="C3" t="inlineStr">
        <is>
          <t>Andere beschikbare inbreng</t>
        </is>
      </c>
      <c r="D3" t="inlineStr">
        <is>
          <t>Detail</t>
        </is>
      </c>
      <c r="E3" t="n">
        <v>3</v>
      </c>
      <c r="F3" t="n">
        <v>977435.45</v>
      </c>
    </row>
    <row r="4">
      <c r="A4" t="inlineStr">
        <is>
          <t>12</t>
        </is>
      </c>
      <c r="B4" t="inlineStr">
        <is>
          <t>120000</t>
        </is>
      </c>
      <c r="C4" t="inlineStr">
        <is>
          <t>Installaties en machines</t>
        </is>
      </c>
      <c r="D4" t="inlineStr">
        <is>
          <t>Detail</t>
        </is>
      </c>
      <c r="E4" t="n">
        <v>3</v>
      </c>
      <c r="F4" t="n">
        <v>4.91</v>
      </c>
    </row>
    <row r="5">
      <c r="A5" t="inlineStr">
        <is>
          <t>14</t>
        </is>
      </c>
      <c r="B5" t="inlineStr">
        <is>
          <t>140000</t>
        </is>
      </c>
      <c r="C5" t="inlineStr">
        <is>
          <t>Commerciële kosten</t>
        </is>
      </c>
      <c r="D5" t="inlineStr">
        <is>
          <t>Detail</t>
        </is>
      </c>
      <c r="E5" t="n">
        <v>3</v>
      </c>
      <c r="F5" t="n">
        <v>8.9</v>
      </c>
    </row>
    <row r="6">
      <c r="A6" t="inlineStr">
        <is>
          <t>14</t>
        </is>
      </c>
      <c r="B6" t="inlineStr">
        <is>
          <t>141000</t>
        </is>
      </c>
      <c r="C6" t="inlineStr">
        <is>
          <t>Overgedragen verlies</t>
        </is>
      </c>
      <c r="D6" t="inlineStr">
        <is>
          <t>Detail</t>
        </is>
      </c>
      <c r="E6" t="n">
        <v>3</v>
      </c>
      <c r="F6" t="n">
        <v>0</v>
      </c>
    </row>
    <row r="7">
      <c r="A7" t="inlineStr">
        <is>
          <t>17</t>
        </is>
      </c>
      <c r="B7" t="inlineStr">
        <is>
          <t>170000</t>
        </is>
      </c>
      <c r="C7" t="inlineStr">
        <is>
          <t>Achterg.lening Fryns Holding</t>
        </is>
      </c>
      <c r="D7" t="inlineStr">
        <is>
          <t>Detail</t>
        </is>
      </c>
      <c r="E7" t="n">
        <v>3</v>
      </c>
      <c r="F7" t="n">
        <v>0</v>
      </c>
    </row>
    <row r="8">
      <c r="A8" t="inlineStr">
        <is>
          <t>17</t>
        </is>
      </c>
      <c r="B8" t="inlineStr">
        <is>
          <t>170100</t>
        </is>
      </c>
      <c r="C8" t="inlineStr">
        <is>
          <t>Lening Fryns Holding</t>
        </is>
      </c>
      <c r="D8" t="inlineStr">
        <is>
          <t>Detail</t>
        </is>
      </c>
      <c r="E8" t="n">
        <v>3</v>
      </c>
      <c r="F8" t="n">
        <v>0</v>
      </c>
    </row>
    <row r="9">
      <c r="A9" t="inlineStr">
        <is>
          <t>17</t>
        </is>
      </c>
      <c r="B9" t="inlineStr">
        <is>
          <t>170200</t>
        </is>
      </c>
      <c r="C9" t="inlineStr">
        <is>
          <t>Lening Fryns Holding</t>
        </is>
      </c>
      <c r="D9" t="inlineStr">
        <is>
          <t>Detail</t>
        </is>
      </c>
      <c r="E9" t="n">
        <v>3</v>
      </c>
      <c r="F9" t="n">
        <v>53000</v>
      </c>
    </row>
    <row r="10">
      <c r="A10" t="inlineStr">
        <is>
          <t>17</t>
        </is>
      </c>
      <c r="B10" t="inlineStr">
        <is>
          <t>173200</t>
        </is>
      </c>
      <c r="C10" t="inlineStr">
        <is>
          <t>Investeringskrediet 245-8277724-31</t>
        </is>
      </c>
      <c r="D10" t="inlineStr">
        <is>
          <t>Detail</t>
        </is>
      </c>
      <c r="E10" t="n">
        <v>3</v>
      </c>
      <c r="F10" t="n">
        <v>108024.26</v>
      </c>
    </row>
    <row r="11">
      <c r="A11" t="inlineStr">
        <is>
          <t>17</t>
        </is>
      </c>
      <c r="B11" t="inlineStr">
        <is>
          <t>173300</t>
        </is>
      </c>
      <c r="C11" t="inlineStr">
        <is>
          <t>Investeringskrediet245-82777</t>
        </is>
      </c>
      <c r="D11" t="inlineStr">
        <is>
          <t>Detail</t>
        </is>
      </c>
      <c r="E11" t="n">
        <v>3</v>
      </c>
      <c r="F11" t="n">
        <v>0</v>
      </c>
    </row>
    <row r="12">
      <c r="A12" t="inlineStr">
        <is>
          <t>17</t>
        </is>
      </c>
      <c r="B12" t="inlineStr">
        <is>
          <t>173400</t>
        </is>
      </c>
      <c r="C12" t="inlineStr">
        <is>
          <t>Investeringskrediet245-8550426-66</t>
        </is>
      </c>
      <c r="D12" t="inlineStr">
        <is>
          <t>Detail</t>
        </is>
      </c>
      <c r="E12" t="n">
        <v>3</v>
      </c>
      <c r="F12" t="n">
        <v>46049.92</v>
      </c>
    </row>
    <row r="13">
      <c r="A13" t="inlineStr">
        <is>
          <t>17</t>
        </is>
      </c>
      <c r="B13" t="inlineStr">
        <is>
          <t>174300</t>
        </is>
      </c>
      <c r="C13" t="inlineStr">
        <is>
          <t>Lening Wim Verwerft</t>
        </is>
      </c>
      <c r="D13" t="inlineStr">
        <is>
          <t>Detail</t>
        </is>
      </c>
      <c r="E13" t="n">
        <v>3</v>
      </c>
      <c r="F13" t="n">
        <v>9000</v>
      </c>
    </row>
    <row r="14">
      <c r="A14" t="inlineStr">
        <is>
          <t>20</t>
        </is>
      </c>
      <c r="B14" t="inlineStr">
        <is>
          <t>200000</t>
        </is>
      </c>
      <c r="C14" t="inlineStr">
        <is>
          <t>Oprichtingskosten</t>
        </is>
      </c>
      <c r="D14" t="inlineStr">
        <is>
          <t>Detail</t>
        </is>
      </c>
      <c r="E14" t="n">
        <v>3</v>
      </c>
      <c r="F14" t="n">
        <v>3106.65</v>
      </c>
    </row>
    <row r="15">
      <c r="A15" t="inlineStr">
        <is>
          <t>20</t>
        </is>
      </c>
      <c r="B15" t="inlineStr">
        <is>
          <t>200009</t>
        </is>
      </c>
      <c r="C15" t="inlineStr">
        <is>
          <t>Afschrijving oprichtingskosten</t>
        </is>
      </c>
      <c r="D15" t="inlineStr">
        <is>
          <t>Detail</t>
        </is>
      </c>
      <c r="E15" t="n">
        <v>3</v>
      </c>
      <c r="F15" t="n">
        <v>-2694.12</v>
      </c>
    </row>
    <row r="16">
      <c r="A16" t="inlineStr">
        <is>
          <t>21</t>
        </is>
      </c>
      <c r="B16" t="inlineStr">
        <is>
          <t>210000</t>
        </is>
      </c>
      <c r="C16" t="inlineStr">
        <is>
          <t>Kosten van ontwikkeling</t>
        </is>
      </c>
      <c r="D16" t="inlineStr">
        <is>
          <t>Detail</t>
        </is>
      </c>
      <c r="E16" t="n">
        <v>3</v>
      </c>
      <c r="F16" t="n">
        <v>461670.38</v>
      </c>
    </row>
    <row r="17">
      <c r="A17" t="inlineStr">
        <is>
          <t>21</t>
        </is>
      </c>
      <c r="B17" t="inlineStr">
        <is>
          <t>211000</t>
        </is>
      </c>
      <c r="C17" t="inlineStr">
        <is>
          <t>Logo en visuals</t>
        </is>
      </c>
      <c r="D17" t="inlineStr">
        <is>
          <t>Detail</t>
        </is>
      </c>
      <c r="E17" t="n">
        <v>3</v>
      </c>
      <c r="F17" t="n">
        <v>35539.77</v>
      </c>
    </row>
    <row r="18">
      <c r="A18" t="inlineStr">
        <is>
          <t>21</t>
        </is>
      </c>
      <c r="B18" t="inlineStr">
        <is>
          <t>211009</t>
        </is>
      </c>
      <c r="C18" t="inlineStr">
        <is>
          <t>Afschrijving logo en visuals</t>
        </is>
      </c>
      <c r="D18" t="inlineStr">
        <is>
          <t>Detail</t>
        </is>
      </c>
      <c r="E18" t="n">
        <v>3</v>
      </c>
      <c r="F18" t="n">
        <v>-16919.33</v>
      </c>
    </row>
    <row r="19">
      <c r="A19" t="inlineStr">
        <is>
          <t>21</t>
        </is>
      </c>
      <c r="B19" t="inlineStr">
        <is>
          <t>211100</t>
        </is>
      </c>
      <c r="C19" t="inlineStr">
        <is>
          <t>Website en webshop</t>
        </is>
      </c>
      <c r="D19" t="inlineStr">
        <is>
          <t>Detail</t>
        </is>
      </c>
      <c r="E19" t="n">
        <v>3</v>
      </c>
      <c r="F19" t="n">
        <v>58008.19</v>
      </c>
    </row>
    <row r="20">
      <c r="A20" t="inlineStr">
        <is>
          <t>21</t>
        </is>
      </c>
      <c r="B20" t="inlineStr">
        <is>
          <t>211109</t>
        </is>
      </c>
      <c r="C20" t="inlineStr">
        <is>
          <t>Afschrijving website en webshop</t>
        </is>
      </c>
      <c r="D20" t="inlineStr">
        <is>
          <t>Detail</t>
        </is>
      </c>
      <c r="E20" t="n">
        <v>3</v>
      </c>
      <c r="F20" t="n">
        <v>-39149.41</v>
      </c>
    </row>
    <row r="21">
      <c r="A21" t="inlineStr">
        <is>
          <t>21</t>
        </is>
      </c>
      <c r="B21" t="inlineStr">
        <is>
          <t>211209</t>
        </is>
      </c>
      <c r="C21" t="inlineStr">
        <is>
          <t>Afschrijving kosten van ontwikkeling</t>
        </is>
      </c>
      <c r="D21" t="inlineStr">
        <is>
          <t>Detail</t>
        </is>
      </c>
      <c r="E21" t="n">
        <v>3</v>
      </c>
      <c r="F21" t="n">
        <v>-294781.86</v>
      </c>
    </row>
    <row r="22">
      <c r="A22" t="inlineStr">
        <is>
          <t>21</t>
        </is>
      </c>
      <c r="B22" t="inlineStr">
        <is>
          <t>211300</t>
        </is>
      </c>
      <c r="C22" t="inlineStr">
        <is>
          <t>Promotie, naamsbekendheid</t>
        </is>
      </c>
      <c r="D22" t="inlineStr">
        <is>
          <t>Detail</t>
        </is>
      </c>
      <c r="E22" t="n">
        <v>3</v>
      </c>
      <c r="F22" t="n">
        <v>241472.82</v>
      </c>
    </row>
    <row r="23">
      <c r="A23" t="inlineStr">
        <is>
          <t>21</t>
        </is>
      </c>
      <c r="B23" t="inlineStr">
        <is>
          <t>211309</t>
        </is>
      </c>
      <c r="C23" t="inlineStr">
        <is>
          <t>Afschrijving promotie en naamsbekendheid</t>
        </is>
      </c>
      <c r="D23" t="inlineStr">
        <is>
          <t>Detail</t>
        </is>
      </c>
      <c r="E23" t="n">
        <v>3</v>
      </c>
      <c r="F23" t="n">
        <v>-150751.37</v>
      </c>
    </row>
    <row r="24">
      <c r="A24" t="inlineStr">
        <is>
          <t>21</t>
        </is>
      </c>
      <c r="B24" t="inlineStr">
        <is>
          <t>212100</t>
        </is>
      </c>
      <c r="C24" t="inlineStr">
        <is>
          <t>Software</t>
        </is>
      </c>
      <c r="D24" t="inlineStr">
        <is>
          <t>Detail</t>
        </is>
      </c>
      <c r="E24" t="n">
        <v>3</v>
      </c>
      <c r="F24" t="n">
        <v>17568.1</v>
      </c>
    </row>
    <row r="25">
      <c r="A25" t="inlineStr">
        <is>
          <t>21</t>
        </is>
      </c>
      <c r="B25" t="inlineStr">
        <is>
          <t>212109</t>
        </is>
      </c>
      <c r="C25" t="inlineStr">
        <is>
          <t>Afschrijving software</t>
        </is>
      </c>
      <c r="D25" t="inlineStr">
        <is>
          <t>Detail</t>
        </is>
      </c>
      <c r="E25" t="n">
        <v>3</v>
      </c>
      <c r="F25" t="n">
        <v>-17568.1</v>
      </c>
    </row>
    <row r="26">
      <c r="A26" t="inlineStr">
        <is>
          <t>23</t>
        </is>
      </c>
      <c r="B26" t="inlineStr">
        <is>
          <t>230000</t>
        </is>
      </c>
      <c r="C26" t="inlineStr">
        <is>
          <t>Installaties</t>
        </is>
      </c>
      <c r="D26" t="inlineStr">
        <is>
          <t>Detail</t>
        </is>
      </c>
      <c r="E26" t="n">
        <v>3</v>
      </c>
      <c r="F26" t="n">
        <v>250777.78</v>
      </c>
    </row>
    <row r="27">
      <c r="A27" t="inlineStr">
        <is>
          <t>23</t>
        </is>
      </c>
      <c r="B27" t="inlineStr">
        <is>
          <t>230009</t>
        </is>
      </c>
      <c r="C27" t="inlineStr">
        <is>
          <t>Afschrijving installaties</t>
        </is>
      </c>
      <c r="D27" t="inlineStr">
        <is>
          <t>Detail</t>
        </is>
      </c>
      <c r="E27" t="n">
        <v>3</v>
      </c>
      <c r="F27" t="n">
        <v>-104041.06</v>
      </c>
    </row>
    <row r="28">
      <c r="A28" t="inlineStr">
        <is>
          <t>23</t>
        </is>
      </c>
      <c r="B28" t="inlineStr">
        <is>
          <t>231000</t>
        </is>
      </c>
      <c r="C28" t="inlineStr">
        <is>
          <t>Machines</t>
        </is>
      </c>
      <c r="D28" t="inlineStr">
        <is>
          <t>Detail</t>
        </is>
      </c>
      <c r="E28" t="n">
        <v>3</v>
      </c>
      <c r="F28" t="n">
        <v>37995.1</v>
      </c>
    </row>
    <row r="29">
      <c r="A29" t="inlineStr">
        <is>
          <t>23</t>
        </is>
      </c>
      <c r="B29" t="inlineStr">
        <is>
          <t>231009</t>
        </is>
      </c>
      <c r="C29" t="inlineStr">
        <is>
          <t>Afschrijving machines</t>
        </is>
      </c>
      <c r="D29" t="inlineStr">
        <is>
          <t>Detail</t>
        </is>
      </c>
      <c r="E29" t="n">
        <v>3</v>
      </c>
      <c r="F29" t="n">
        <v>-26165.52</v>
      </c>
    </row>
    <row r="30">
      <c r="A30" t="inlineStr">
        <is>
          <t>23</t>
        </is>
      </c>
      <c r="B30" t="inlineStr">
        <is>
          <t>232000</t>
        </is>
      </c>
      <c r="C30" t="inlineStr">
        <is>
          <t>Uitrusting</t>
        </is>
      </c>
      <c r="D30" t="inlineStr">
        <is>
          <t>Detail</t>
        </is>
      </c>
      <c r="E30" t="n">
        <v>3</v>
      </c>
      <c r="F30" t="n">
        <v>21605.85</v>
      </c>
    </row>
    <row r="31">
      <c r="A31" t="inlineStr">
        <is>
          <t>23</t>
        </is>
      </c>
      <c r="B31" t="inlineStr">
        <is>
          <t>232009</t>
        </is>
      </c>
      <c r="C31" t="inlineStr">
        <is>
          <t>Afschrijving uitrusting</t>
        </is>
      </c>
      <c r="D31" t="inlineStr">
        <is>
          <t>Detail</t>
        </is>
      </c>
      <c r="E31" t="n">
        <v>3</v>
      </c>
      <c r="F31" t="n">
        <v>-5604.37</v>
      </c>
    </row>
    <row r="32">
      <c r="A32" t="inlineStr">
        <is>
          <t>24</t>
        </is>
      </c>
      <c r="B32" t="inlineStr">
        <is>
          <t>240010</t>
        </is>
      </c>
      <c r="C32" t="inlineStr">
        <is>
          <t>Meubilair</t>
        </is>
      </c>
      <c r="D32" t="inlineStr">
        <is>
          <t>Detail</t>
        </is>
      </c>
      <c r="E32" t="n">
        <v>3</v>
      </c>
      <c r="F32" t="n">
        <v>6757.48</v>
      </c>
    </row>
    <row r="33">
      <c r="A33" t="inlineStr">
        <is>
          <t>24</t>
        </is>
      </c>
      <c r="B33" t="inlineStr">
        <is>
          <t>240019</t>
        </is>
      </c>
      <c r="C33" t="inlineStr">
        <is>
          <t>Afschrijving meubilair</t>
        </is>
      </c>
      <c r="D33" t="inlineStr">
        <is>
          <t>Detail</t>
        </is>
      </c>
      <c r="E33" t="n">
        <v>3</v>
      </c>
      <c r="F33" t="n">
        <v>-2525.36</v>
      </c>
    </row>
    <row r="34">
      <c r="A34" t="inlineStr">
        <is>
          <t>24</t>
        </is>
      </c>
      <c r="B34" t="inlineStr">
        <is>
          <t>240210</t>
        </is>
      </c>
      <c r="C34" t="inlineStr">
        <is>
          <t>Kantoormachines en-materieel</t>
        </is>
      </c>
      <c r="D34" t="inlineStr">
        <is>
          <t>Detail</t>
        </is>
      </c>
      <c r="E34" t="n">
        <v>3</v>
      </c>
      <c r="F34" t="n">
        <v>21004.86</v>
      </c>
    </row>
    <row r="35">
      <c r="A35" t="inlineStr">
        <is>
          <t>24</t>
        </is>
      </c>
      <c r="B35" t="inlineStr">
        <is>
          <t>240219</t>
        </is>
      </c>
      <c r="C35" t="inlineStr">
        <is>
          <t>Afschrijving kantoormachines</t>
        </is>
      </c>
      <c r="D35" t="inlineStr">
        <is>
          <t>Detail</t>
        </is>
      </c>
      <c r="E35" t="n">
        <v>3</v>
      </c>
      <c r="F35" t="n">
        <v>-14639.83</v>
      </c>
    </row>
    <row r="36">
      <c r="A36" t="inlineStr">
        <is>
          <t>24</t>
        </is>
      </c>
      <c r="B36" t="inlineStr">
        <is>
          <t>241210</t>
        </is>
      </c>
      <c r="C36" t="inlineStr">
        <is>
          <t>Intern transportmaterieel</t>
        </is>
      </c>
      <c r="D36" t="inlineStr">
        <is>
          <t>Detail</t>
        </is>
      </c>
      <c r="E36" t="n">
        <v>3</v>
      </c>
      <c r="F36" t="n">
        <v>12500</v>
      </c>
    </row>
    <row r="37">
      <c r="A37" t="inlineStr">
        <is>
          <t>24</t>
        </is>
      </c>
      <c r="B37" t="inlineStr">
        <is>
          <t>241219</t>
        </is>
      </c>
      <c r="C37" t="inlineStr">
        <is>
          <t>Afschrijving intern transport</t>
        </is>
      </c>
      <c r="D37" t="inlineStr">
        <is>
          <t>Detail</t>
        </is>
      </c>
      <c r="E37" t="n">
        <v>3</v>
      </c>
      <c r="F37" t="n">
        <v>-8456.280000000001</v>
      </c>
    </row>
    <row r="38">
      <c r="A38" t="inlineStr">
        <is>
          <t>26</t>
        </is>
      </c>
      <c r="B38" t="inlineStr">
        <is>
          <t>260100</t>
        </is>
      </c>
      <c r="C38" t="inlineStr">
        <is>
          <t>Inrichting gehuurde gebouwen</t>
        </is>
      </c>
      <c r="D38" t="inlineStr">
        <is>
          <t>Detail</t>
        </is>
      </c>
      <c r="E38" t="n">
        <v>3</v>
      </c>
      <c r="F38" t="n">
        <v>275609.53</v>
      </c>
    </row>
    <row r="39">
      <c r="A39" t="inlineStr">
        <is>
          <t>26</t>
        </is>
      </c>
      <c r="B39" t="inlineStr">
        <is>
          <t>260109</t>
        </is>
      </c>
      <c r="C39" t="inlineStr">
        <is>
          <t>Afschrijving inrichting gehuurde gebouwen</t>
        </is>
      </c>
      <c r="D39" t="inlineStr">
        <is>
          <t>Detail</t>
        </is>
      </c>
      <c r="E39" t="n">
        <v>3</v>
      </c>
      <c r="F39" t="n">
        <v>-79036.07000000001</v>
      </c>
    </row>
    <row r="40">
      <c r="A40" t="inlineStr">
        <is>
          <t>26</t>
        </is>
      </c>
      <c r="B40" t="inlineStr">
        <is>
          <t>260200</t>
        </is>
      </c>
      <c r="C40" t="inlineStr">
        <is>
          <t>Aanpassingswerken machines</t>
        </is>
      </c>
      <c r="D40" t="inlineStr">
        <is>
          <t>Detail</t>
        </is>
      </c>
      <c r="E40" t="n">
        <v>3</v>
      </c>
      <c r="F40" t="n">
        <v>14085.31</v>
      </c>
    </row>
    <row r="41">
      <c r="A41" t="inlineStr">
        <is>
          <t>26</t>
        </is>
      </c>
      <c r="B41" t="inlineStr">
        <is>
          <t>260209</t>
        </is>
      </c>
      <c r="C41" t="inlineStr">
        <is>
          <t>Afschrijving aanpassingswerken machines</t>
        </is>
      </c>
      <c r="D41" t="inlineStr">
        <is>
          <t>Detail</t>
        </is>
      </c>
      <c r="E41" t="n">
        <v>3</v>
      </c>
      <c r="F41" t="n">
        <v>-9413.559999999999</v>
      </c>
    </row>
    <row r="42">
      <c r="A42" t="inlineStr">
        <is>
          <t>28</t>
        </is>
      </c>
      <c r="B42" t="inlineStr">
        <is>
          <t>288200</t>
        </is>
      </c>
      <c r="C42" t="inlineStr">
        <is>
          <t>Betaalde borgen</t>
        </is>
      </c>
      <c r="D42" t="inlineStr">
        <is>
          <t>Detail</t>
        </is>
      </c>
      <c r="E42" t="n">
        <v>3</v>
      </c>
      <c r="F42" t="n">
        <v>180</v>
      </c>
    </row>
    <row r="43">
      <c r="A43" t="inlineStr">
        <is>
          <t>30</t>
        </is>
      </c>
      <c r="B43" t="inlineStr">
        <is>
          <t>300000</t>
        </is>
      </c>
      <c r="C43" t="inlineStr">
        <is>
          <t>Aanschafwaarde grondstoffen</t>
        </is>
      </c>
      <c r="D43" t="inlineStr">
        <is>
          <t>Detail</t>
        </is>
      </c>
      <c r="E43" t="n">
        <v>3</v>
      </c>
      <c r="F43" t="n">
        <v>185977.73</v>
      </c>
    </row>
    <row r="44">
      <c r="A44" t="inlineStr">
        <is>
          <t>33</t>
        </is>
      </c>
      <c r="B44" t="inlineStr">
        <is>
          <t>330000</t>
        </is>
      </c>
      <c r="C44" t="inlineStr">
        <is>
          <t>Aanschafwaarde gereed product</t>
        </is>
      </c>
      <c r="D44" t="inlineStr">
        <is>
          <t>Detail</t>
        </is>
      </c>
      <c r="E44" t="n">
        <v>3</v>
      </c>
      <c r="F44" t="n">
        <v>83669.36</v>
      </c>
    </row>
    <row r="45">
      <c r="A45" t="inlineStr">
        <is>
          <t>40</t>
        </is>
      </c>
      <c r="B45" t="inlineStr">
        <is>
          <t>400110</t>
        </is>
      </c>
      <c r="C45" t="inlineStr">
        <is>
          <t>Klanten</t>
        </is>
      </c>
      <c r="D45" t="inlineStr">
        <is>
          <t>Detail</t>
        </is>
      </c>
      <c r="E45" t="n">
        <v>3</v>
      </c>
      <c r="F45" t="n">
        <v>125150.11</v>
      </c>
    </row>
    <row r="46">
      <c r="A46" t="inlineStr">
        <is>
          <t>40</t>
        </is>
      </c>
      <c r="B46" t="inlineStr">
        <is>
          <t>404000</t>
        </is>
      </c>
      <c r="C46" t="inlineStr">
        <is>
          <t>Op te stellen facturen</t>
        </is>
      </c>
      <c r="D46" t="inlineStr">
        <is>
          <t>Detail</t>
        </is>
      </c>
      <c r="E46" t="n">
        <v>3</v>
      </c>
      <c r="F46" t="n">
        <v>114157.18</v>
      </c>
    </row>
    <row r="47">
      <c r="A47" t="inlineStr">
        <is>
          <t>40</t>
        </is>
      </c>
      <c r="B47" t="inlineStr">
        <is>
          <t>408000</t>
        </is>
      </c>
      <c r="C47" t="inlineStr">
        <is>
          <t>Te ontvangen creditnota's leveranciers</t>
        </is>
      </c>
      <c r="D47" t="inlineStr">
        <is>
          <t>Detail</t>
        </is>
      </c>
      <c r="E47" t="n">
        <v>3</v>
      </c>
      <c r="F47" t="n">
        <v>0</v>
      </c>
    </row>
    <row r="48">
      <c r="A48" t="inlineStr">
        <is>
          <t>41</t>
        </is>
      </c>
      <c r="B48" t="inlineStr">
        <is>
          <t>411000</t>
        </is>
      </c>
      <c r="C48" t="inlineStr">
        <is>
          <t>Terug te vorderen BTW</t>
        </is>
      </c>
      <c r="D48" t="inlineStr">
        <is>
          <t>Detail</t>
        </is>
      </c>
      <c r="E48" t="n">
        <v>3</v>
      </c>
      <c r="F48" t="n">
        <v>21588.42</v>
      </c>
    </row>
    <row r="49">
      <c r="A49" t="inlineStr">
        <is>
          <t>41</t>
        </is>
      </c>
      <c r="B49" t="inlineStr">
        <is>
          <t>412000</t>
        </is>
      </c>
      <c r="C49" t="inlineStr">
        <is>
          <t>Terug te vorderen belastingen</t>
        </is>
      </c>
      <c r="D49" t="inlineStr">
        <is>
          <t>Detail</t>
        </is>
      </c>
      <c r="E49" t="n">
        <v>3</v>
      </c>
      <c r="F49" t="n">
        <v>12934.16</v>
      </c>
    </row>
    <row r="50">
      <c r="A50" t="inlineStr">
        <is>
          <t>41</t>
        </is>
      </c>
      <c r="B50" t="inlineStr">
        <is>
          <t>416200</t>
        </is>
      </c>
      <c r="C50" t="inlineStr">
        <is>
          <t>R/CFrynsDistilleryHolding</t>
        </is>
      </c>
      <c r="D50" t="inlineStr">
        <is>
          <t>Detail</t>
        </is>
      </c>
      <c r="E50" t="n">
        <v>3</v>
      </c>
      <c r="F50" t="n">
        <v>10146.77</v>
      </c>
    </row>
    <row r="51">
      <c r="A51" t="inlineStr">
        <is>
          <t>41</t>
        </is>
      </c>
      <c r="B51" t="inlineStr">
        <is>
          <t>416400</t>
        </is>
      </c>
      <c r="C51" t="inlineStr">
        <is>
          <t>R/CUnitedHasseltDistillers</t>
        </is>
      </c>
      <c r="D51" t="inlineStr">
        <is>
          <t>Detail</t>
        </is>
      </c>
      <c r="E51" t="n">
        <v>3</v>
      </c>
      <c r="F51" t="n">
        <v>0</v>
      </c>
    </row>
    <row r="52">
      <c r="A52" t="inlineStr">
        <is>
          <t>42</t>
        </is>
      </c>
      <c r="B52" t="inlineStr">
        <is>
          <t>423200</t>
        </is>
      </c>
      <c r="C52" t="inlineStr">
        <is>
          <t>Investeringskrediet 245-82777</t>
        </is>
      </c>
      <c r="D52" t="inlineStr">
        <is>
          <t>Detail</t>
        </is>
      </c>
      <c r="E52" t="n">
        <v>3</v>
      </c>
      <c r="F52" t="n">
        <v>43295.62</v>
      </c>
    </row>
    <row r="53">
      <c r="A53" t="inlineStr">
        <is>
          <t>42</t>
        </is>
      </c>
      <c r="B53" t="inlineStr">
        <is>
          <t>423300</t>
        </is>
      </c>
      <c r="C53" t="inlineStr">
        <is>
          <t>Investeringskrediet 245-82777</t>
        </is>
      </c>
      <c r="D53" t="inlineStr">
        <is>
          <t>Detail</t>
        </is>
      </c>
      <c r="E53" t="n">
        <v>3</v>
      </c>
      <c r="F53" t="n">
        <v>10691.07</v>
      </c>
    </row>
    <row r="54">
      <c r="A54" t="inlineStr">
        <is>
          <t>42</t>
        </is>
      </c>
      <c r="B54" t="inlineStr">
        <is>
          <t>423400</t>
        </is>
      </c>
      <c r="C54" t="inlineStr">
        <is>
          <t>Investeringskrediet 245-8550426-6</t>
        </is>
      </c>
      <c r="D54" t="inlineStr">
        <is>
          <t>Detail</t>
        </is>
      </c>
      <c r="E54" t="n">
        <v>3</v>
      </c>
      <c r="F54" t="n">
        <v>30194.46</v>
      </c>
    </row>
    <row r="55">
      <c r="A55" t="inlineStr">
        <is>
          <t>43</t>
        </is>
      </c>
      <c r="B55" t="inlineStr">
        <is>
          <t>430100</t>
        </is>
      </c>
      <c r="C55" t="inlineStr">
        <is>
          <t>Straight loan</t>
        </is>
      </c>
      <c r="D55" t="inlineStr">
        <is>
          <t>Detail</t>
        </is>
      </c>
      <c r="E55" t="n">
        <v>3</v>
      </c>
      <c r="F55" t="n">
        <v>150000</v>
      </c>
    </row>
    <row r="56">
      <c r="A56" t="inlineStr">
        <is>
          <t>44</t>
        </is>
      </c>
      <c r="B56" t="inlineStr">
        <is>
          <t>440110</t>
        </is>
      </c>
      <c r="C56" t="inlineStr">
        <is>
          <t>Leveranciers</t>
        </is>
      </c>
      <c r="D56" t="inlineStr">
        <is>
          <t>Detail</t>
        </is>
      </c>
      <c r="E56" t="n">
        <v>3</v>
      </c>
      <c r="F56" t="n">
        <v>228379.18</v>
      </c>
    </row>
    <row r="57">
      <c r="A57" t="inlineStr">
        <is>
          <t>44</t>
        </is>
      </c>
      <c r="B57" t="inlineStr">
        <is>
          <t>444000</t>
        </is>
      </c>
      <c r="C57" t="inlineStr">
        <is>
          <t>Te ontvangen facturen</t>
        </is>
      </c>
      <c r="D57" t="inlineStr">
        <is>
          <t>Detail</t>
        </is>
      </c>
      <c r="E57" t="n">
        <v>3</v>
      </c>
      <c r="F57" t="n">
        <v>132795.14</v>
      </c>
    </row>
    <row r="58">
      <c r="A58" t="inlineStr">
        <is>
          <t>44</t>
        </is>
      </c>
      <c r="B58" t="inlineStr">
        <is>
          <t>444100</t>
        </is>
      </c>
      <c r="C58" t="inlineStr">
        <is>
          <t>Op te maken creditnota's</t>
        </is>
      </c>
      <c r="D58" t="inlineStr">
        <is>
          <t>Detail</t>
        </is>
      </c>
      <c r="E58" t="n">
        <v>3</v>
      </c>
      <c r="F58" t="n">
        <v>0</v>
      </c>
    </row>
    <row r="59">
      <c r="A59" t="inlineStr">
        <is>
          <t>45</t>
        </is>
      </c>
      <c r="B59" t="inlineStr">
        <is>
          <t>451000</t>
        </is>
      </c>
      <c r="C59" t="inlineStr">
        <is>
          <t>Te betalen BTW</t>
        </is>
      </c>
      <c r="D59" t="inlineStr">
        <is>
          <t>Detail</t>
        </is>
      </c>
      <c r="E59" t="n">
        <v>3</v>
      </c>
      <c r="F59" t="n">
        <v>18389.33</v>
      </c>
    </row>
    <row r="60">
      <c r="A60" t="inlineStr">
        <is>
          <t>45</t>
        </is>
      </c>
      <c r="B60" t="inlineStr">
        <is>
          <t>453000</t>
        </is>
      </c>
      <c r="C60" t="inlineStr">
        <is>
          <t>Te betalen bedrijfsvoorheffing</t>
        </is>
      </c>
      <c r="D60" t="inlineStr">
        <is>
          <t>Detail</t>
        </is>
      </c>
      <c r="E60" t="n">
        <v>3</v>
      </c>
      <c r="F60" t="n">
        <v>5443.69</v>
      </c>
    </row>
    <row r="61">
      <c r="A61" t="inlineStr">
        <is>
          <t>45</t>
        </is>
      </c>
      <c r="B61" t="inlineStr">
        <is>
          <t>454000</t>
        </is>
      </c>
      <c r="C61" t="inlineStr">
        <is>
          <t>Te betalen RSZ</t>
        </is>
      </c>
      <c r="D61" t="inlineStr">
        <is>
          <t>Detail</t>
        </is>
      </c>
      <c r="E61" t="n">
        <v>3</v>
      </c>
      <c r="F61" t="n">
        <v>-9369.93</v>
      </c>
    </row>
    <row r="62">
      <c r="A62" t="inlineStr">
        <is>
          <t>45</t>
        </is>
      </c>
      <c r="B62" t="inlineStr">
        <is>
          <t>455100</t>
        </is>
      </c>
      <c r="C62" t="inlineStr">
        <is>
          <t>Te betalen nettowedden</t>
        </is>
      </c>
      <c r="D62" t="inlineStr">
        <is>
          <t>Detail</t>
        </is>
      </c>
      <c r="E62" t="n">
        <v>3</v>
      </c>
      <c r="F62" t="n">
        <v>3828.77</v>
      </c>
    </row>
    <row r="63">
      <c r="A63" t="inlineStr">
        <is>
          <t>45</t>
        </is>
      </c>
      <c r="B63" t="inlineStr">
        <is>
          <t>455200</t>
        </is>
      </c>
      <c r="C63" t="inlineStr">
        <is>
          <t>Te betalen nettolonen bedienden</t>
        </is>
      </c>
      <c r="D63" t="inlineStr">
        <is>
          <t>Detail</t>
        </is>
      </c>
      <c r="E63" t="n">
        <v>3</v>
      </c>
      <c r="F63" t="n">
        <v>4970.65</v>
      </c>
    </row>
    <row r="64">
      <c r="A64" t="inlineStr">
        <is>
          <t>45</t>
        </is>
      </c>
      <c r="B64" t="inlineStr">
        <is>
          <t>456000</t>
        </is>
      </c>
      <c r="C64" t="inlineStr">
        <is>
          <t>Voorziening voor vakantiegeld</t>
        </is>
      </c>
      <c r="D64" t="inlineStr">
        <is>
          <t>Detail</t>
        </is>
      </c>
      <c r="E64" t="n">
        <v>3</v>
      </c>
      <c r="F64" t="n">
        <v>22276.43</v>
      </c>
    </row>
    <row r="65">
      <c r="A65" t="inlineStr">
        <is>
          <t>45</t>
        </is>
      </c>
      <c r="B65" t="inlineStr">
        <is>
          <t>456020</t>
        </is>
      </c>
      <c r="C65" t="inlineStr">
        <is>
          <t>Provisie vakantiegeld bedienden</t>
        </is>
      </c>
      <c r="D65" t="inlineStr">
        <is>
          <t>Detail</t>
        </is>
      </c>
      <c r="E65" t="n">
        <v>3</v>
      </c>
      <c r="F65" t="n">
        <v>1268.39</v>
      </c>
    </row>
    <row r="66">
      <c r="A66" t="inlineStr">
        <is>
          <t>45</t>
        </is>
      </c>
      <c r="B66" t="inlineStr">
        <is>
          <t>456130</t>
        </is>
      </c>
      <c r="C66" t="inlineStr">
        <is>
          <t>Provisie vakantiegeld arbeiders</t>
        </is>
      </c>
      <c r="D66" t="inlineStr">
        <is>
          <t>Detail</t>
        </is>
      </c>
      <c r="E66" t="n">
        <v>3</v>
      </c>
      <c r="F66" t="n">
        <v>1086.33</v>
      </c>
    </row>
    <row r="67">
      <c r="A67" t="inlineStr">
        <is>
          <t>47</t>
        </is>
      </c>
      <c r="B67" t="inlineStr">
        <is>
          <t>470100</t>
        </is>
      </c>
      <c r="C67" t="inlineStr">
        <is>
          <t>Diverse schulden</t>
        </is>
      </c>
      <c r="D67" t="inlineStr">
        <is>
          <t>Detail</t>
        </is>
      </c>
      <c r="E67" t="n">
        <v>3</v>
      </c>
      <c r="F67" t="n">
        <v>47.99</v>
      </c>
    </row>
    <row r="68">
      <c r="A68" t="inlineStr">
        <is>
          <t>48</t>
        </is>
      </c>
      <c r="B68" t="inlineStr">
        <is>
          <t>489000</t>
        </is>
      </c>
      <c r="C68" t="inlineStr">
        <is>
          <t>R/C vennoten</t>
        </is>
      </c>
      <c r="D68" t="inlineStr">
        <is>
          <t>Detail</t>
        </is>
      </c>
      <c r="E68" t="n">
        <v>3</v>
      </c>
      <c r="F68" t="n">
        <v>4.35</v>
      </c>
    </row>
    <row r="69">
      <c r="A69" t="inlineStr">
        <is>
          <t>48</t>
        </is>
      </c>
      <c r="B69" t="inlineStr">
        <is>
          <t>489200</t>
        </is>
      </c>
      <c r="C69" t="inlineStr">
        <is>
          <t>R/CFrynsDistilleryHolding</t>
        </is>
      </c>
      <c r="D69" t="inlineStr">
        <is>
          <t>Detail</t>
        </is>
      </c>
      <c r="E69" t="n">
        <v>3</v>
      </c>
      <c r="F69" t="n">
        <v>0</v>
      </c>
    </row>
    <row r="70">
      <c r="A70" t="inlineStr">
        <is>
          <t>48</t>
        </is>
      </c>
      <c r="B70" t="inlineStr">
        <is>
          <t>489400</t>
        </is>
      </c>
      <c r="C70" t="inlineStr">
        <is>
          <t>R/C Epicurus invest nv</t>
        </is>
      </c>
      <c r="D70" t="inlineStr">
        <is>
          <t>Detail</t>
        </is>
      </c>
      <c r="E70" t="n">
        <v>3</v>
      </c>
      <c r="F70" t="n">
        <v>47013.66</v>
      </c>
    </row>
    <row r="71">
      <c r="A71" t="inlineStr">
        <is>
          <t>49</t>
        </is>
      </c>
      <c r="B71" t="inlineStr">
        <is>
          <t>490000</t>
        </is>
      </c>
      <c r="C71" t="inlineStr">
        <is>
          <t>Over te dragen kosten</t>
        </is>
      </c>
      <c r="D71" t="inlineStr">
        <is>
          <t>Detail</t>
        </is>
      </c>
      <c r="E71" t="n">
        <v>3</v>
      </c>
      <c r="F71" t="n">
        <v>4681.31</v>
      </c>
    </row>
    <row r="72">
      <c r="A72" t="inlineStr">
        <is>
          <t>49</t>
        </is>
      </c>
      <c r="B72" t="inlineStr">
        <is>
          <t>491000</t>
        </is>
      </c>
      <c r="C72" t="inlineStr">
        <is>
          <t>Verkregen opbrengsten</t>
        </is>
      </c>
      <c r="D72" t="inlineStr">
        <is>
          <t>Detail</t>
        </is>
      </c>
      <c r="E72" t="n">
        <v>3</v>
      </c>
      <c r="F72" t="n">
        <v>2298.72</v>
      </c>
    </row>
    <row r="73">
      <c r="A73" t="inlineStr">
        <is>
          <t>49</t>
        </is>
      </c>
      <c r="B73" t="inlineStr">
        <is>
          <t>492000</t>
        </is>
      </c>
      <c r="C73" t="inlineStr">
        <is>
          <t>Te betalen kosten</t>
        </is>
      </c>
      <c r="D73" t="inlineStr">
        <is>
          <t>Detail</t>
        </is>
      </c>
      <c r="E73" t="n">
        <v>3</v>
      </c>
      <c r="F73" t="n">
        <v>53511.42</v>
      </c>
    </row>
    <row r="74">
      <c r="A74" t="inlineStr">
        <is>
          <t>49</t>
        </is>
      </c>
      <c r="B74" t="inlineStr">
        <is>
          <t>498400</t>
        </is>
      </c>
      <c r="C74" t="inlineStr">
        <is>
          <t>Verschuldigde BTW medecontract</t>
        </is>
      </c>
      <c r="D74" t="inlineStr">
        <is>
          <t>Detail</t>
        </is>
      </c>
      <c r="E74" t="n">
        <v>3</v>
      </c>
      <c r="F74" t="n">
        <v>255.14</v>
      </c>
    </row>
    <row r="75">
      <c r="A75" t="inlineStr">
        <is>
          <t>49</t>
        </is>
      </c>
      <c r="B75" t="inlineStr">
        <is>
          <t>493000.000</t>
        </is>
      </c>
      <c r="C75" t="inlineStr">
        <is>
          <t>Over te dragen opbrengsten</t>
        </is>
      </c>
      <c r="D75" t="inlineStr">
        <is>
          <t>Detail</t>
        </is>
      </c>
      <c r="E75" t="n">
        <v>3</v>
      </c>
      <c r="F75" t="n">
        <v>9000</v>
      </c>
    </row>
    <row r="76">
      <c r="A76" t="inlineStr">
        <is>
          <t>55</t>
        </is>
      </c>
      <c r="B76" t="inlineStr">
        <is>
          <t>550000</t>
        </is>
      </c>
      <c r="C76" t="inlineStr">
        <is>
          <t>FORTIS BE46001831189036</t>
        </is>
      </c>
      <c r="D76" t="inlineStr">
        <is>
          <t>Detail</t>
        </is>
      </c>
      <c r="E76" t="n">
        <v>3</v>
      </c>
      <c r="F76" t="n">
        <v>17154.64</v>
      </c>
    </row>
    <row r="77">
      <c r="A77" t="inlineStr">
        <is>
          <t>55</t>
        </is>
      </c>
      <c r="B77" t="inlineStr">
        <is>
          <t>550200</t>
        </is>
      </c>
      <c r="C77" t="inlineStr">
        <is>
          <t>BNP Paribas Fortis BE03035988754484 (geblokkeerde rekening)</t>
        </is>
      </c>
      <c r="D77" t="inlineStr">
        <is>
          <t>Detail</t>
        </is>
      </c>
      <c r="E77" t="n">
        <v>3</v>
      </c>
      <c r="F77" t="n">
        <v>15100</v>
      </c>
    </row>
    <row r="78">
      <c r="A78" t="inlineStr">
        <is>
          <t>57</t>
        </is>
      </c>
      <c r="B78" t="inlineStr">
        <is>
          <t>570000</t>
        </is>
      </c>
      <c r="C78" t="inlineStr">
        <is>
          <t>Kassen-contanten</t>
        </is>
      </c>
      <c r="D78" t="inlineStr">
        <is>
          <t>Detail</t>
        </is>
      </c>
      <c r="E78" t="n">
        <v>3</v>
      </c>
      <c r="F78" t="n">
        <v>2360.69</v>
      </c>
    </row>
    <row r="79">
      <c r="A79" t="inlineStr">
        <is>
          <t>60</t>
        </is>
      </c>
      <c r="B79" t="inlineStr">
        <is>
          <t>600000</t>
        </is>
      </c>
      <c r="C79" t="inlineStr">
        <is>
          <t>Aankopen afgewerkte producten</t>
        </is>
      </c>
      <c r="D79" t="inlineStr">
        <is>
          <t>Detail</t>
        </is>
      </c>
      <c r="E79" t="n">
        <v>3</v>
      </c>
      <c r="F79" t="n">
        <v>103.2</v>
      </c>
    </row>
    <row r="80">
      <c r="A80" t="inlineStr">
        <is>
          <t>60</t>
        </is>
      </c>
      <c r="B80" t="inlineStr">
        <is>
          <t>600002</t>
        </is>
      </c>
      <c r="C80" t="inlineStr">
        <is>
          <t>Aankoop moutwijn</t>
        </is>
      </c>
      <c r="D80" t="inlineStr">
        <is>
          <t>Detail</t>
        </is>
      </c>
      <c r="E80" t="n">
        <v>3</v>
      </c>
      <c r="F80" t="n">
        <v>0</v>
      </c>
    </row>
    <row r="81">
      <c r="A81" t="inlineStr">
        <is>
          <t>60</t>
        </is>
      </c>
      <c r="B81" t="inlineStr">
        <is>
          <t>600003</t>
        </is>
      </c>
      <c r="C81" t="inlineStr">
        <is>
          <t>Aankoop wijnen</t>
        </is>
      </c>
      <c r="D81" t="inlineStr">
        <is>
          <t>Detail</t>
        </is>
      </c>
      <c r="E81" t="n">
        <v>3</v>
      </c>
      <c r="F81" t="n">
        <v>11996.55</v>
      </c>
    </row>
    <row r="82">
      <c r="A82" t="inlineStr">
        <is>
          <t>60</t>
        </is>
      </c>
      <c r="B82" t="inlineStr">
        <is>
          <t>600005</t>
        </is>
      </c>
      <c r="C82" t="inlineStr">
        <is>
          <t>Aankoop grondstoffen</t>
        </is>
      </c>
      <c r="D82" t="inlineStr">
        <is>
          <t>Detail</t>
        </is>
      </c>
      <c r="E82" t="n">
        <v>3</v>
      </c>
      <c r="F82" t="n">
        <v>74301.88</v>
      </c>
    </row>
    <row r="83">
      <c r="A83" t="inlineStr">
        <is>
          <t>60</t>
        </is>
      </c>
      <c r="B83" t="inlineStr">
        <is>
          <t>600007</t>
        </is>
      </c>
      <c r="C83" t="inlineStr">
        <is>
          <t>Aankoop mousserende dranken</t>
        </is>
      </c>
      <c r="D83" t="inlineStr">
        <is>
          <t>Detail</t>
        </is>
      </c>
      <c r="E83" t="n">
        <v>3</v>
      </c>
      <c r="F83" t="n">
        <v>0</v>
      </c>
    </row>
    <row r="84">
      <c r="A84" t="inlineStr">
        <is>
          <t>60</t>
        </is>
      </c>
      <c r="B84" t="inlineStr">
        <is>
          <t>600008</t>
        </is>
      </c>
      <c r="C84" t="inlineStr">
        <is>
          <t>Aankoop siropen</t>
        </is>
      </c>
      <c r="D84" t="inlineStr">
        <is>
          <t>Detail</t>
        </is>
      </c>
      <c r="E84" t="n">
        <v>3</v>
      </c>
      <c r="F84" t="n">
        <v>189</v>
      </c>
    </row>
    <row r="85">
      <c r="A85" t="inlineStr">
        <is>
          <t>60</t>
        </is>
      </c>
      <c r="B85" t="inlineStr">
        <is>
          <t>602100</t>
        </is>
      </c>
      <c r="C85" t="inlineStr">
        <is>
          <t>Flessen en toebehoren</t>
        </is>
      </c>
      <c r="D85" t="inlineStr">
        <is>
          <t>Detail</t>
        </is>
      </c>
      <c r="E85" t="n">
        <v>3</v>
      </c>
      <c r="F85" t="n">
        <v>89592.14</v>
      </c>
    </row>
    <row r="86">
      <c r="A86" t="inlineStr">
        <is>
          <t>60</t>
        </is>
      </c>
      <c r="B86" t="inlineStr">
        <is>
          <t>602101</t>
        </is>
      </c>
      <c r="C86" t="inlineStr">
        <is>
          <t>Etiketten</t>
        </is>
      </c>
      <c r="D86" t="inlineStr">
        <is>
          <t>Detail</t>
        </is>
      </c>
      <c r="E86" t="n">
        <v>3</v>
      </c>
      <c r="F86" t="n">
        <v>2927.63</v>
      </c>
    </row>
    <row r="87">
      <c r="A87" t="inlineStr">
        <is>
          <t>60</t>
        </is>
      </c>
      <c r="B87" t="inlineStr">
        <is>
          <t>602200</t>
        </is>
      </c>
      <c r="C87" t="inlineStr">
        <is>
          <t>Filter modules</t>
        </is>
      </c>
      <c r="D87" t="inlineStr">
        <is>
          <t>Detail</t>
        </is>
      </c>
      <c r="E87" t="n">
        <v>3</v>
      </c>
      <c r="F87" t="n">
        <v>3117.4</v>
      </c>
    </row>
    <row r="88">
      <c r="A88" t="inlineStr">
        <is>
          <t>60</t>
        </is>
      </c>
      <c r="B88" t="inlineStr">
        <is>
          <t>603000</t>
        </is>
      </c>
      <c r="C88" t="inlineStr">
        <is>
          <t>Algemene onderaannemingen</t>
        </is>
      </c>
      <c r="D88" t="inlineStr">
        <is>
          <t>Detail</t>
        </is>
      </c>
      <c r="E88" t="n">
        <v>3</v>
      </c>
      <c r="F88" t="n">
        <v>6809.46</v>
      </c>
    </row>
    <row r="89">
      <c r="A89" t="inlineStr">
        <is>
          <t>60</t>
        </is>
      </c>
      <c r="B89" t="inlineStr">
        <is>
          <t>608000</t>
        </is>
      </c>
      <c r="C89" t="inlineStr">
        <is>
          <t>Ontvangen kortingen, ristorno's</t>
        </is>
      </c>
      <c r="D89" t="inlineStr">
        <is>
          <t>Detail</t>
        </is>
      </c>
      <c r="E89" t="n">
        <v>3</v>
      </c>
      <c r="F89" t="n">
        <v>-36.36</v>
      </c>
    </row>
    <row r="90">
      <c r="A90" t="inlineStr">
        <is>
          <t>60</t>
        </is>
      </c>
      <c r="B90" t="inlineStr">
        <is>
          <t>609000</t>
        </is>
      </c>
      <c r="C90" t="inlineStr">
        <is>
          <t>Voorraadwijziginggrondstoffe</t>
        </is>
      </c>
      <c r="D90" t="inlineStr">
        <is>
          <t>Detail</t>
        </is>
      </c>
      <c r="E90" t="n">
        <v>3</v>
      </c>
      <c r="F90" t="n">
        <v>-39013.93</v>
      </c>
    </row>
    <row r="91">
      <c r="A91" t="inlineStr">
        <is>
          <t>60</t>
        </is>
      </c>
      <c r="B91" t="inlineStr">
        <is>
          <t>609400</t>
        </is>
      </c>
      <c r="C91" t="inlineStr">
        <is>
          <t>Voorraadwijziginghandelsgoed</t>
        </is>
      </c>
      <c r="D91" t="inlineStr">
        <is>
          <t>Detail</t>
        </is>
      </c>
      <c r="E91" t="n">
        <v>3</v>
      </c>
      <c r="F91" t="n">
        <v>0</v>
      </c>
    </row>
    <row r="92">
      <c r="A92" t="inlineStr">
        <is>
          <t>61</t>
        </is>
      </c>
      <c r="B92" t="inlineStr">
        <is>
          <t>610100</t>
        </is>
      </c>
      <c r="C92" t="inlineStr">
        <is>
          <t>Postzegels</t>
        </is>
      </c>
      <c r="D92" t="inlineStr">
        <is>
          <t>Detail</t>
        </is>
      </c>
      <c r="E92" t="n">
        <v>3</v>
      </c>
      <c r="F92" t="n">
        <v>43.28</v>
      </c>
    </row>
    <row r="93">
      <c r="A93" t="inlineStr">
        <is>
          <t>61</t>
        </is>
      </c>
      <c r="B93" t="inlineStr">
        <is>
          <t>610101</t>
        </is>
      </c>
      <c r="C93" t="inlineStr">
        <is>
          <t>Telefoon</t>
        </is>
      </c>
      <c r="D93" t="inlineStr">
        <is>
          <t>Detail</t>
        </is>
      </c>
      <c r="E93" t="n">
        <v>3</v>
      </c>
      <c r="F93" t="n">
        <v>532.47</v>
      </c>
    </row>
    <row r="94">
      <c r="A94" t="inlineStr">
        <is>
          <t>61</t>
        </is>
      </c>
      <c r="B94" t="inlineStr">
        <is>
          <t>610102</t>
        </is>
      </c>
      <c r="C94" t="inlineStr">
        <is>
          <t>GSM</t>
        </is>
      </c>
      <c r="D94" t="inlineStr">
        <is>
          <t>Detail</t>
        </is>
      </c>
      <c r="E94" t="n">
        <v>3</v>
      </c>
      <c r="F94" t="n">
        <v>2836.11</v>
      </c>
    </row>
    <row r="95">
      <c r="A95" t="inlineStr">
        <is>
          <t>61</t>
        </is>
      </c>
      <c r="B95" t="inlineStr">
        <is>
          <t>610103</t>
        </is>
      </c>
      <c r="C95" t="inlineStr">
        <is>
          <t>Internetkosten</t>
        </is>
      </c>
      <c r="D95" t="inlineStr">
        <is>
          <t>Detail</t>
        </is>
      </c>
      <c r="E95" t="n">
        <v>3</v>
      </c>
      <c r="F95" t="n">
        <v>884.77</v>
      </c>
    </row>
    <row r="96">
      <c r="A96" t="inlineStr">
        <is>
          <t>61</t>
        </is>
      </c>
      <c r="B96" t="inlineStr">
        <is>
          <t>610104</t>
        </is>
      </c>
      <c r="C96" t="inlineStr">
        <is>
          <t>Bijdrage Mollie Payments</t>
        </is>
      </c>
      <c r="D96" t="inlineStr">
        <is>
          <t>Detail</t>
        </is>
      </c>
      <c r="E96" t="n">
        <v>3</v>
      </c>
      <c r="F96" t="n">
        <v>144.97</v>
      </c>
    </row>
    <row r="97">
      <c r="A97" t="inlineStr">
        <is>
          <t>61</t>
        </is>
      </c>
      <c r="B97" t="inlineStr">
        <is>
          <t>610105</t>
        </is>
      </c>
      <c r="C97" t="inlineStr">
        <is>
          <t>Bijdrage Sumup</t>
        </is>
      </c>
      <c r="D97" t="inlineStr">
        <is>
          <t>Detail</t>
        </is>
      </c>
      <c r="E97" t="n">
        <v>3</v>
      </c>
      <c r="F97" t="n">
        <v>290.91</v>
      </c>
    </row>
    <row r="98">
      <c r="A98" t="inlineStr">
        <is>
          <t>61</t>
        </is>
      </c>
      <c r="B98" t="inlineStr">
        <is>
          <t>610110</t>
        </is>
      </c>
      <c r="C98" t="inlineStr">
        <is>
          <t>Abonnementen en beroepstijdschrift</t>
        </is>
      </c>
      <c r="D98" t="inlineStr">
        <is>
          <t>Detail</t>
        </is>
      </c>
      <c r="E98" t="n">
        <v>3</v>
      </c>
      <c r="F98" t="n">
        <v>-248</v>
      </c>
    </row>
    <row r="99">
      <c r="A99" t="inlineStr">
        <is>
          <t>61</t>
        </is>
      </c>
      <c r="B99" t="inlineStr">
        <is>
          <t>610120</t>
        </is>
      </c>
      <c r="C99" t="inlineStr">
        <is>
          <t>Bijdragen en lidgelden beroep</t>
        </is>
      </c>
      <c r="D99" t="inlineStr">
        <is>
          <t>Detail</t>
        </is>
      </c>
      <c r="E99" t="n">
        <v>3</v>
      </c>
      <c r="F99" t="n">
        <v>5455.72</v>
      </c>
    </row>
    <row r="100">
      <c r="A100" t="inlineStr">
        <is>
          <t>61</t>
        </is>
      </c>
      <c r="B100" t="inlineStr">
        <is>
          <t>610121</t>
        </is>
      </c>
      <c r="C100" t="inlineStr">
        <is>
          <t>Diverse bijdragen en lidgelden</t>
        </is>
      </c>
      <c r="D100" t="inlineStr">
        <is>
          <t>Detail</t>
        </is>
      </c>
      <c r="E100" t="n">
        <v>3</v>
      </c>
      <c r="F100" t="n">
        <v>592</v>
      </c>
    </row>
    <row r="101">
      <c r="A101" t="inlineStr">
        <is>
          <t>61</t>
        </is>
      </c>
      <c r="B101" t="inlineStr">
        <is>
          <t>610123</t>
        </is>
      </c>
      <c r="C101" t="inlineStr">
        <is>
          <t>Bijdrage FostPlus</t>
        </is>
      </c>
      <c r="D101" t="inlineStr">
        <is>
          <t>Detail</t>
        </is>
      </c>
      <c r="E101" t="n">
        <v>3</v>
      </c>
      <c r="F101" t="n">
        <v>3299.85</v>
      </c>
    </row>
    <row r="102">
      <c r="A102" t="inlineStr">
        <is>
          <t>61</t>
        </is>
      </c>
      <c r="B102" t="inlineStr">
        <is>
          <t>610130</t>
        </is>
      </c>
      <c r="C102" t="inlineStr">
        <is>
          <t>Erelonen advocaten</t>
        </is>
      </c>
      <c r="D102" t="inlineStr">
        <is>
          <t>Detail</t>
        </is>
      </c>
      <c r="E102" t="n">
        <v>3</v>
      </c>
      <c r="F102" t="n">
        <v>17189.22</v>
      </c>
    </row>
    <row r="103">
      <c r="A103" t="inlineStr">
        <is>
          <t>61</t>
        </is>
      </c>
      <c r="B103" t="inlineStr">
        <is>
          <t>610131</t>
        </is>
      </c>
      <c r="C103" t="inlineStr">
        <is>
          <t>Erelonen accountants</t>
        </is>
      </c>
      <c r="D103" t="inlineStr">
        <is>
          <t>Detail</t>
        </is>
      </c>
      <c r="E103" t="n">
        <v>3</v>
      </c>
      <c r="F103" t="n">
        <v>30812.91</v>
      </c>
    </row>
    <row r="104">
      <c r="A104" t="inlineStr">
        <is>
          <t>61</t>
        </is>
      </c>
      <c r="B104" t="inlineStr">
        <is>
          <t>610132</t>
        </is>
      </c>
      <c r="C104" t="inlineStr">
        <is>
          <t>Erelonen notarissen</t>
        </is>
      </c>
      <c r="D104" t="inlineStr">
        <is>
          <t>Detail</t>
        </is>
      </c>
      <c r="E104" t="n">
        <v>3</v>
      </c>
      <c r="F104" t="n">
        <v>3290.81</v>
      </c>
    </row>
    <row r="105">
      <c r="A105" t="inlineStr">
        <is>
          <t>61</t>
        </is>
      </c>
      <c r="B105" t="inlineStr">
        <is>
          <t>610133</t>
        </is>
      </c>
      <c r="C105" t="inlineStr">
        <is>
          <t>Kosten sociaal secretariaat</t>
        </is>
      </c>
      <c r="D105" t="inlineStr">
        <is>
          <t>Detail</t>
        </is>
      </c>
      <c r="E105" t="n">
        <v>3</v>
      </c>
      <c r="F105" t="n">
        <v>2711</v>
      </c>
    </row>
    <row r="106">
      <c r="A106" t="inlineStr">
        <is>
          <t>61</t>
        </is>
      </c>
      <c r="B106" t="inlineStr">
        <is>
          <t>610135</t>
        </is>
      </c>
      <c r="C106" t="inlineStr">
        <is>
          <t>Erelonen bedrijfsrevisoren</t>
        </is>
      </c>
      <c r="D106" t="inlineStr">
        <is>
          <t>Detail</t>
        </is>
      </c>
      <c r="E106" t="n">
        <v>3</v>
      </c>
      <c r="F106" t="n">
        <v>1750</v>
      </c>
    </row>
    <row r="107">
      <c r="A107" t="inlineStr">
        <is>
          <t>61</t>
        </is>
      </c>
      <c r="B107" t="inlineStr">
        <is>
          <t>610136</t>
        </is>
      </c>
      <c r="C107" t="inlineStr">
        <is>
          <t>Diverse dienstprestaties</t>
        </is>
      </c>
      <c r="D107" t="inlineStr">
        <is>
          <t>Detail</t>
        </is>
      </c>
      <c r="E107" t="n">
        <v>3</v>
      </c>
      <c r="F107" t="n">
        <v>73659.62</v>
      </c>
    </row>
    <row r="108">
      <c r="A108" t="inlineStr">
        <is>
          <t>61</t>
        </is>
      </c>
      <c r="B108" t="inlineStr">
        <is>
          <t>610138</t>
        </is>
      </c>
      <c r="C108" t="inlineStr">
        <is>
          <t>Soft-en hardware</t>
        </is>
      </c>
      <c r="D108" t="inlineStr">
        <is>
          <t>Detail</t>
        </is>
      </c>
      <c r="E108" t="n">
        <v>3</v>
      </c>
      <c r="F108" t="n">
        <v>3656.48</v>
      </c>
    </row>
    <row r="109">
      <c r="A109" t="inlineStr">
        <is>
          <t>61</t>
        </is>
      </c>
      <c r="B109" t="inlineStr">
        <is>
          <t>610139</t>
        </is>
      </c>
      <c r="C109" t="inlineStr">
        <is>
          <t>Social media</t>
        </is>
      </c>
      <c r="D109" t="inlineStr">
        <is>
          <t>Detail</t>
        </is>
      </c>
      <c r="E109" t="n">
        <v>3</v>
      </c>
      <c r="F109" t="n">
        <v>19216.01</v>
      </c>
    </row>
    <row r="110">
      <c r="A110" t="inlineStr">
        <is>
          <t>61</t>
        </is>
      </c>
      <c r="B110" t="inlineStr">
        <is>
          <t>610142</t>
        </is>
      </c>
      <c r="C110" t="inlineStr">
        <is>
          <t>Administratiekosten</t>
        </is>
      </c>
      <c r="D110" t="inlineStr">
        <is>
          <t>Detail</t>
        </is>
      </c>
      <c r="E110" t="n">
        <v>3</v>
      </c>
      <c r="F110" t="n">
        <v>125</v>
      </c>
    </row>
    <row r="111">
      <c r="A111" t="inlineStr">
        <is>
          <t>61</t>
        </is>
      </c>
      <c r="B111" t="inlineStr">
        <is>
          <t>610163</t>
        </is>
      </c>
      <c r="C111" t="inlineStr">
        <is>
          <t>BA verzekering uitbating</t>
        </is>
      </c>
      <c r="D111" t="inlineStr">
        <is>
          <t>Detail</t>
        </is>
      </c>
      <c r="E111" t="n">
        <v>3</v>
      </c>
      <c r="F111" t="n">
        <v>1194.18</v>
      </c>
    </row>
    <row r="112">
      <c r="A112" t="inlineStr">
        <is>
          <t>61</t>
        </is>
      </c>
      <c r="B112" t="inlineStr">
        <is>
          <t>610164</t>
        </is>
      </c>
      <c r="C112" t="inlineStr">
        <is>
          <t>Verzekering rechtsbijstand</t>
        </is>
      </c>
      <c r="D112" t="inlineStr">
        <is>
          <t>Detail</t>
        </is>
      </c>
      <c r="E112" t="n">
        <v>3</v>
      </c>
      <c r="F112" t="n">
        <v>1298.23</v>
      </c>
    </row>
    <row r="113">
      <c r="A113" t="inlineStr">
        <is>
          <t>61</t>
        </is>
      </c>
      <c r="B113" t="inlineStr">
        <is>
          <t>610170</t>
        </is>
      </c>
      <c r="C113" t="inlineStr">
        <is>
          <t>Vervolmakingscursussen</t>
        </is>
      </c>
      <c r="D113" t="inlineStr">
        <is>
          <t>Detail</t>
        </is>
      </c>
      <c r="E113" t="n">
        <v>3</v>
      </c>
      <c r="F113" t="n">
        <v>2813.44</v>
      </c>
    </row>
    <row r="114">
      <c r="A114" t="inlineStr">
        <is>
          <t>61</t>
        </is>
      </c>
      <c r="B114" t="inlineStr">
        <is>
          <t>610190</t>
        </is>
      </c>
      <c r="C114" t="inlineStr">
        <is>
          <t>Diverse bureelbenodigdheden</t>
        </is>
      </c>
      <c r="D114" t="inlineStr">
        <is>
          <t>Detail</t>
        </is>
      </c>
      <c r="E114" t="n">
        <v>3</v>
      </c>
      <c r="F114" t="n">
        <v>1722.87</v>
      </c>
    </row>
    <row r="115">
      <c r="A115" t="inlineStr">
        <is>
          <t>61</t>
        </is>
      </c>
      <c r="B115" t="inlineStr">
        <is>
          <t>610191</t>
        </is>
      </c>
      <c r="C115" t="inlineStr">
        <is>
          <t>Drukwerken</t>
        </is>
      </c>
      <c r="D115" t="inlineStr">
        <is>
          <t>Detail</t>
        </is>
      </c>
      <c r="E115" t="n">
        <v>3</v>
      </c>
      <c r="F115" t="n">
        <v>11014.81</v>
      </c>
    </row>
    <row r="116">
      <c r="A116" t="inlineStr">
        <is>
          <t>61</t>
        </is>
      </c>
      <c r="B116" t="inlineStr">
        <is>
          <t>610300</t>
        </is>
      </c>
      <c r="C116" t="inlineStr">
        <is>
          <t>Terbeschikkingstelling en huur</t>
        </is>
      </c>
      <c r="D116" t="inlineStr">
        <is>
          <t>Detail</t>
        </is>
      </c>
      <c r="E116" t="n">
        <v>3</v>
      </c>
      <c r="F116" t="n">
        <v>43741.68</v>
      </c>
    </row>
    <row r="117">
      <c r="A117" t="inlineStr">
        <is>
          <t>61</t>
        </is>
      </c>
      <c r="B117" t="inlineStr">
        <is>
          <t>610302</t>
        </is>
      </c>
      <c r="C117" t="inlineStr">
        <is>
          <t>Huur opslagplaatsen</t>
        </is>
      </c>
      <c r="D117" t="inlineStr">
        <is>
          <t>Detail</t>
        </is>
      </c>
      <c r="E117" t="n">
        <v>3</v>
      </c>
      <c r="F117" t="n">
        <v>2445</v>
      </c>
    </row>
    <row r="118">
      <c r="A118" t="inlineStr">
        <is>
          <t>61</t>
        </is>
      </c>
      <c r="B118" t="inlineStr">
        <is>
          <t>610310</t>
        </is>
      </c>
      <c r="C118" t="inlineStr">
        <is>
          <t>Onderhoud gebouwen</t>
        </is>
      </c>
      <c r="D118" t="inlineStr">
        <is>
          <t>Detail</t>
        </is>
      </c>
      <c r="E118" t="n">
        <v>3</v>
      </c>
      <c r="F118" t="n">
        <v>1049</v>
      </c>
    </row>
    <row r="119">
      <c r="A119" t="inlineStr">
        <is>
          <t>61</t>
        </is>
      </c>
      <c r="B119" t="inlineStr">
        <is>
          <t>610311</t>
        </is>
      </c>
      <c r="C119" t="inlineStr">
        <is>
          <t>Onderhoud terreinen</t>
        </is>
      </c>
      <c r="D119" t="inlineStr">
        <is>
          <t>Detail</t>
        </is>
      </c>
      <c r="E119" t="n">
        <v>3</v>
      </c>
      <c r="F119" t="n">
        <v>1800</v>
      </c>
    </row>
    <row r="120">
      <c r="A120" t="inlineStr">
        <is>
          <t>61</t>
        </is>
      </c>
      <c r="B120" t="inlineStr">
        <is>
          <t>610330</t>
        </is>
      </c>
      <c r="C120" t="inlineStr">
        <is>
          <t>Elektriciteit</t>
        </is>
      </c>
      <c r="D120" t="inlineStr">
        <is>
          <t>Detail</t>
        </is>
      </c>
      <c r="E120" t="n">
        <v>3</v>
      </c>
      <c r="F120" t="n">
        <v>10542.48</v>
      </c>
    </row>
    <row r="121">
      <c r="A121" t="inlineStr">
        <is>
          <t>61</t>
        </is>
      </c>
      <c r="B121" t="inlineStr">
        <is>
          <t>610331</t>
        </is>
      </c>
      <c r="C121" t="inlineStr">
        <is>
          <t>Gas</t>
        </is>
      </c>
      <c r="D121" t="inlineStr">
        <is>
          <t>Detail</t>
        </is>
      </c>
      <c r="E121" t="n">
        <v>3</v>
      </c>
      <c r="F121" t="n">
        <v>25103.6</v>
      </c>
    </row>
    <row r="122">
      <c r="A122" t="inlineStr">
        <is>
          <t>61</t>
        </is>
      </c>
      <c r="B122" t="inlineStr">
        <is>
          <t>610332</t>
        </is>
      </c>
      <c r="C122" t="inlineStr">
        <is>
          <t>Doorrekening nutsvoorzieningen</t>
        </is>
      </c>
      <c r="D122" t="inlineStr">
        <is>
          <t>Detail</t>
        </is>
      </c>
      <c r="E122" t="n">
        <v>3</v>
      </c>
      <c r="F122" t="n">
        <v>2864.55</v>
      </c>
    </row>
    <row r="123">
      <c r="A123" t="inlineStr">
        <is>
          <t>61</t>
        </is>
      </c>
      <c r="B123" t="inlineStr">
        <is>
          <t>610350</t>
        </is>
      </c>
      <c r="C123" t="inlineStr">
        <is>
          <t>Schoonmaakkosten door derden</t>
        </is>
      </c>
      <c r="D123" t="inlineStr">
        <is>
          <t>Detail</t>
        </is>
      </c>
      <c r="E123" t="n">
        <v>3</v>
      </c>
      <c r="F123" t="n">
        <v>8354.9</v>
      </c>
    </row>
    <row r="124">
      <c r="A124" t="inlineStr">
        <is>
          <t>61</t>
        </is>
      </c>
      <c r="B124" t="inlineStr">
        <is>
          <t>610351</t>
        </is>
      </c>
      <c r="C124" t="inlineStr">
        <is>
          <t>Afvalcontainer en opruimingskosten</t>
        </is>
      </c>
      <c r="D124" t="inlineStr">
        <is>
          <t>Detail</t>
        </is>
      </c>
      <c r="E124" t="n">
        <v>3</v>
      </c>
      <c r="F124" t="n">
        <v>3704.91</v>
      </c>
    </row>
    <row r="125">
      <c r="A125" t="inlineStr">
        <is>
          <t>61</t>
        </is>
      </c>
      <c r="B125" t="inlineStr">
        <is>
          <t>610353</t>
        </is>
      </c>
      <c r="C125" t="inlineStr">
        <is>
          <t>Onderhoudsproducten</t>
        </is>
      </c>
      <c r="D125" t="inlineStr">
        <is>
          <t>Detail</t>
        </is>
      </c>
      <c r="E125" t="n">
        <v>3</v>
      </c>
      <c r="F125" t="n">
        <v>933.53</v>
      </c>
    </row>
    <row r="126">
      <c r="A126" t="inlineStr">
        <is>
          <t>61</t>
        </is>
      </c>
      <c r="B126" t="inlineStr">
        <is>
          <t>610360</t>
        </is>
      </c>
      <c r="C126" t="inlineStr">
        <is>
          <t>Brandverzekering gebouwen</t>
        </is>
      </c>
      <c r="D126" t="inlineStr">
        <is>
          <t>Detail</t>
        </is>
      </c>
      <c r="E126" t="n">
        <v>3</v>
      </c>
      <c r="F126" t="n">
        <v>2960.1</v>
      </c>
    </row>
    <row r="127">
      <c r="A127" t="inlineStr">
        <is>
          <t>61</t>
        </is>
      </c>
      <c r="B127" t="inlineStr">
        <is>
          <t>610370</t>
        </is>
      </c>
      <c r="C127" t="inlineStr">
        <is>
          <t>Water</t>
        </is>
      </c>
      <c r="D127" t="inlineStr">
        <is>
          <t>Detail</t>
        </is>
      </c>
      <c r="E127" t="n">
        <v>3</v>
      </c>
      <c r="F127" t="n">
        <v>14944.87</v>
      </c>
    </row>
    <row r="128">
      <c r="A128" t="inlineStr">
        <is>
          <t>61</t>
        </is>
      </c>
      <c r="B128" t="inlineStr">
        <is>
          <t>610380</t>
        </is>
      </c>
      <c r="C128" t="inlineStr">
        <is>
          <t>Brandprotectiekosten</t>
        </is>
      </c>
      <c r="D128" t="inlineStr">
        <is>
          <t>Detail</t>
        </is>
      </c>
      <c r="E128" t="n">
        <v>3</v>
      </c>
      <c r="F128" t="n">
        <v>0</v>
      </c>
    </row>
    <row r="129">
      <c r="A129" t="inlineStr">
        <is>
          <t>61</t>
        </is>
      </c>
      <c r="B129" t="inlineStr">
        <is>
          <t>610381</t>
        </is>
      </c>
      <c r="C129" t="inlineStr">
        <is>
          <t>Bewakingskosten</t>
        </is>
      </c>
      <c r="D129" t="inlineStr">
        <is>
          <t>Detail</t>
        </is>
      </c>
      <c r="E129" t="n">
        <v>3</v>
      </c>
      <c r="F129" t="n">
        <v>490.56</v>
      </c>
    </row>
    <row r="130">
      <c r="A130" t="inlineStr">
        <is>
          <t>61</t>
        </is>
      </c>
      <c r="B130" t="inlineStr">
        <is>
          <t>610391</t>
        </is>
      </c>
      <c r="C130" t="inlineStr">
        <is>
          <t>Etalagekosten/verfraaiing</t>
        </is>
      </c>
      <c r="D130" t="inlineStr">
        <is>
          <t>Detail</t>
        </is>
      </c>
      <c r="E130" t="n">
        <v>3</v>
      </c>
      <c r="F130" t="n">
        <v>266.87</v>
      </c>
    </row>
    <row r="131">
      <c r="A131" t="inlineStr">
        <is>
          <t>61</t>
        </is>
      </c>
      <c r="B131" t="inlineStr">
        <is>
          <t>610400</t>
        </is>
      </c>
      <c r="C131" t="inlineStr">
        <is>
          <t>Onderhoud installaties</t>
        </is>
      </c>
      <c r="D131" t="inlineStr">
        <is>
          <t>Detail</t>
        </is>
      </c>
      <c r="E131" t="n">
        <v>3</v>
      </c>
      <c r="F131" t="n">
        <v>1850.27</v>
      </c>
    </row>
    <row r="132">
      <c r="A132" t="inlineStr">
        <is>
          <t>61</t>
        </is>
      </c>
      <c r="B132" t="inlineStr">
        <is>
          <t>610401</t>
        </is>
      </c>
      <c r="C132" t="inlineStr">
        <is>
          <t>Onderhoud machines</t>
        </is>
      </c>
      <c r="D132" t="inlineStr">
        <is>
          <t>Detail</t>
        </is>
      </c>
      <c r="E132" t="n">
        <v>3</v>
      </c>
      <c r="F132" t="n">
        <v>0</v>
      </c>
    </row>
    <row r="133">
      <c r="A133" t="inlineStr">
        <is>
          <t>61</t>
        </is>
      </c>
      <c r="B133" t="inlineStr">
        <is>
          <t>610402</t>
        </is>
      </c>
      <c r="C133" t="inlineStr">
        <is>
          <t>Onderhoud uitrusting</t>
        </is>
      </c>
      <c r="D133" t="inlineStr">
        <is>
          <t>Detail</t>
        </is>
      </c>
      <c r="E133" t="n">
        <v>3</v>
      </c>
      <c r="F133" t="n">
        <v>1158.81</v>
      </c>
    </row>
    <row r="134">
      <c r="A134" t="inlineStr">
        <is>
          <t>61</t>
        </is>
      </c>
      <c r="B134" t="inlineStr">
        <is>
          <t>610404</t>
        </is>
      </c>
      <c r="C134" t="inlineStr">
        <is>
          <t>Klein materieel</t>
        </is>
      </c>
      <c r="D134" t="inlineStr">
        <is>
          <t>Detail</t>
        </is>
      </c>
      <c r="E134" t="n">
        <v>3</v>
      </c>
      <c r="F134" t="n">
        <v>3850.51</v>
      </c>
    </row>
    <row r="135">
      <c r="A135" t="inlineStr">
        <is>
          <t>61</t>
        </is>
      </c>
      <c r="B135" t="inlineStr">
        <is>
          <t>610411</t>
        </is>
      </c>
      <c r="C135" t="inlineStr">
        <is>
          <t>Onderhoud klein materieel</t>
        </is>
      </c>
      <c r="D135" t="inlineStr">
        <is>
          <t>Detail</t>
        </is>
      </c>
      <c r="E135" t="n">
        <v>3</v>
      </c>
      <c r="F135" t="n">
        <v>619.2</v>
      </c>
    </row>
    <row r="136">
      <c r="A136" t="inlineStr">
        <is>
          <t>61</t>
        </is>
      </c>
      <c r="B136" t="inlineStr">
        <is>
          <t>610412</t>
        </is>
      </c>
      <c r="C136" t="inlineStr">
        <is>
          <t>Onderhoud soft-en hardware</t>
        </is>
      </c>
      <c r="D136" t="inlineStr">
        <is>
          <t>Detail</t>
        </is>
      </c>
      <c r="E136" t="n">
        <v>3</v>
      </c>
      <c r="F136" t="n">
        <v>12753.44</v>
      </c>
    </row>
    <row r="137">
      <c r="A137" t="inlineStr">
        <is>
          <t>61</t>
        </is>
      </c>
      <c r="B137" t="inlineStr">
        <is>
          <t>610413</t>
        </is>
      </c>
      <c r="C137" t="inlineStr">
        <is>
          <t>Website</t>
        </is>
      </c>
      <c r="D137" t="inlineStr">
        <is>
          <t>Detail</t>
        </is>
      </c>
      <c r="E137" t="n">
        <v>3</v>
      </c>
      <c r="F137" t="n">
        <v>1800</v>
      </c>
    </row>
    <row r="138">
      <c r="A138" t="inlineStr">
        <is>
          <t>61</t>
        </is>
      </c>
      <c r="B138" t="inlineStr">
        <is>
          <t>610421</t>
        </is>
      </c>
      <c r="C138" t="inlineStr">
        <is>
          <t>Onderhoud personenwagens 80%</t>
        </is>
      </c>
      <c r="D138" t="inlineStr">
        <is>
          <t>Detail</t>
        </is>
      </c>
      <c r="E138" t="n">
        <v>3</v>
      </c>
      <c r="F138" t="n">
        <v>1842.36</v>
      </c>
    </row>
    <row r="139">
      <c r="A139" t="inlineStr">
        <is>
          <t>61</t>
        </is>
      </c>
      <c r="B139" t="inlineStr">
        <is>
          <t>610426</t>
        </is>
      </c>
      <c r="C139" t="inlineStr">
        <is>
          <t>Brandstoffen personenwagens</t>
        </is>
      </c>
      <c r="D139" t="inlineStr">
        <is>
          <t>Detail</t>
        </is>
      </c>
      <c r="E139" t="n">
        <v>3</v>
      </c>
      <c r="F139" t="n">
        <v>14669.96</v>
      </c>
    </row>
    <row r="140">
      <c r="A140" t="inlineStr">
        <is>
          <t>61</t>
        </is>
      </c>
      <c r="B140" t="inlineStr">
        <is>
          <t>610427</t>
        </is>
      </c>
      <c r="C140" t="inlineStr">
        <is>
          <t>Parkingkosten</t>
        </is>
      </c>
      <c r="D140" t="inlineStr">
        <is>
          <t>Detail</t>
        </is>
      </c>
      <c r="E140" t="n">
        <v>3</v>
      </c>
      <c r="F140" t="n">
        <v>1188.58</v>
      </c>
    </row>
    <row r="141">
      <c r="A141" t="inlineStr">
        <is>
          <t>61</t>
        </is>
      </c>
      <c r="B141" t="inlineStr">
        <is>
          <t>610432</t>
        </is>
      </c>
      <c r="C141" t="inlineStr">
        <is>
          <t>Verzekering personenwagens 90%</t>
        </is>
      </c>
      <c r="D141" t="inlineStr">
        <is>
          <t>Detail</t>
        </is>
      </c>
      <c r="E141" t="n">
        <v>3</v>
      </c>
      <c r="F141" t="n">
        <v>1169.1</v>
      </c>
    </row>
    <row r="142">
      <c r="A142" t="inlineStr">
        <is>
          <t>61</t>
        </is>
      </c>
      <c r="B142" t="inlineStr">
        <is>
          <t>610433</t>
        </is>
      </c>
      <c r="C142" t="inlineStr">
        <is>
          <t>Verzekering personenwagens 80%</t>
        </is>
      </c>
      <c r="D142" t="inlineStr">
        <is>
          <t>Detail</t>
        </is>
      </c>
      <c r="E142" t="n">
        <v>3</v>
      </c>
      <c r="F142" t="n">
        <v>1423.14</v>
      </c>
    </row>
    <row r="143">
      <c r="A143" t="inlineStr">
        <is>
          <t>61</t>
        </is>
      </c>
      <c r="B143" t="inlineStr">
        <is>
          <t>610450</t>
        </is>
      </c>
      <c r="C143" t="inlineStr">
        <is>
          <t>Huurproductiematerieel</t>
        </is>
      </c>
      <c r="D143" t="inlineStr">
        <is>
          <t>Detail</t>
        </is>
      </c>
      <c r="E143" t="n">
        <v>3</v>
      </c>
      <c r="F143" t="n">
        <v>0</v>
      </c>
    </row>
    <row r="144">
      <c r="A144" t="inlineStr">
        <is>
          <t>61</t>
        </is>
      </c>
      <c r="B144" t="inlineStr">
        <is>
          <t>610452</t>
        </is>
      </c>
      <c r="C144" t="inlineStr">
        <is>
          <t>Huur vrachtwagens</t>
        </is>
      </c>
      <c r="D144" t="inlineStr">
        <is>
          <t>Detail</t>
        </is>
      </c>
      <c r="E144" t="n">
        <v>3</v>
      </c>
      <c r="F144" t="n">
        <v>591.38</v>
      </c>
    </row>
    <row r="145">
      <c r="A145" t="inlineStr">
        <is>
          <t>61</t>
        </is>
      </c>
      <c r="B145" t="inlineStr">
        <is>
          <t>610454</t>
        </is>
      </c>
      <c r="C145" t="inlineStr">
        <is>
          <t>Huur personenwagens 80%</t>
        </is>
      </c>
      <c r="D145" t="inlineStr">
        <is>
          <t>Detail</t>
        </is>
      </c>
      <c r="E145" t="n">
        <v>3</v>
      </c>
      <c r="F145" t="n">
        <v>24498.78</v>
      </c>
    </row>
    <row r="146">
      <c r="A146" t="inlineStr">
        <is>
          <t>61</t>
        </is>
      </c>
      <c r="B146" t="inlineStr">
        <is>
          <t>610455</t>
        </is>
      </c>
      <c r="C146" t="inlineStr">
        <is>
          <t>Huur Mercedes250e (2BHA213)</t>
        </is>
      </c>
      <c r="D146" t="inlineStr">
        <is>
          <t>Detail</t>
        </is>
      </c>
      <c r="E146" t="n">
        <v>3</v>
      </c>
      <c r="F146" t="n">
        <v>7057.05</v>
      </c>
    </row>
    <row r="147">
      <c r="A147" t="inlineStr">
        <is>
          <t>61</t>
        </is>
      </c>
      <c r="B147" t="inlineStr">
        <is>
          <t>610456</t>
        </is>
      </c>
      <c r="C147" t="inlineStr">
        <is>
          <t>Huur personenwagens 70%</t>
        </is>
      </c>
      <c r="D147" t="inlineStr">
        <is>
          <t>Detail</t>
        </is>
      </c>
      <c r="E147" t="n">
        <v>3</v>
      </c>
      <c r="F147" t="n">
        <v>0</v>
      </c>
    </row>
    <row r="148">
      <c r="A148" t="inlineStr">
        <is>
          <t>61</t>
        </is>
      </c>
      <c r="B148" t="inlineStr">
        <is>
          <t>610458</t>
        </is>
      </c>
      <c r="C148" t="inlineStr">
        <is>
          <t>HuurE-Bikes</t>
        </is>
      </c>
      <c r="D148" t="inlineStr">
        <is>
          <t>Detail</t>
        </is>
      </c>
      <c r="E148" t="n">
        <v>3</v>
      </c>
      <c r="F148" t="n">
        <v>0</v>
      </c>
    </row>
    <row r="149">
      <c r="A149" t="inlineStr">
        <is>
          <t>61</t>
        </is>
      </c>
      <c r="B149" t="inlineStr">
        <is>
          <t>610459</t>
        </is>
      </c>
      <c r="C149" t="inlineStr">
        <is>
          <t>Personenwagen 1WJM930</t>
        </is>
      </c>
      <c r="D149" t="inlineStr">
        <is>
          <t>Detail</t>
        </is>
      </c>
      <c r="E149" t="n">
        <v>3</v>
      </c>
      <c r="F149" t="n">
        <v>2219.06</v>
      </c>
    </row>
    <row r="150">
      <c r="A150" t="inlineStr">
        <is>
          <t>61</t>
        </is>
      </c>
      <c r="B150" t="inlineStr">
        <is>
          <t>610460</t>
        </is>
      </c>
      <c r="C150" t="inlineStr">
        <is>
          <t>Huur materialen</t>
        </is>
      </c>
      <c r="D150" t="inlineStr">
        <is>
          <t>Detail</t>
        </is>
      </c>
      <c r="E150" t="n">
        <v>3</v>
      </c>
      <c r="F150" t="n">
        <v>1714.86</v>
      </c>
    </row>
    <row r="151">
      <c r="A151" t="inlineStr">
        <is>
          <t>61</t>
        </is>
      </c>
      <c r="B151" t="inlineStr">
        <is>
          <t>610500</t>
        </is>
      </c>
      <c r="C151" t="inlineStr">
        <is>
          <t>Kosten vervoer door derden</t>
        </is>
      </c>
      <c r="D151" t="inlineStr">
        <is>
          <t>Detail</t>
        </is>
      </c>
      <c r="E151" t="n">
        <v>3</v>
      </c>
      <c r="F151" t="n">
        <v>150.32</v>
      </c>
    </row>
    <row r="152">
      <c r="A152" t="inlineStr">
        <is>
          <t>61</t>
        </is>
      </c>
      <c r="B152" t="inlineStr">
        <is>
          <t>610502</t>
        </is>
      </c>
      <c r="C152" t="inlineStr">
        <is>
          <t>Port-en transportkosten</t>
        </is>
      </c>
      <c r="D152" t="inlineStr">
        <is>
          <t>Detail</t>
        </is>
      </c>
      <c r="E152" t="n">
        <v>3</v>
      </c>
      <c r="F152" t="n">
        <v>10406.9</v>
      </c>
    </row>
    <row r="153">
      <c r="A153" t="inlineStr">
        <is>
          <t>61</t>
        </is>
      </c>
      <c r="B153" t="inlineStr">
        <is>
          <t>610510</t>
        </is>
      </c>
      <c r="C153" t="inlineStr">
        <is>
          <t>Kosten vervoer door derden</t>
        </is>
      </c>
      <c r="D153" t="inlineStr">
        <is>
          <t>Detail</t>
        </is>
      </c>
      <c r="E153" t="n">
        <v>3</v>
      </c>
      <c r="F153" t="n">
        <v>159.75</v>
      </c>
    </row>
    <row r="154">
      <c r="A154" t="inlineStr">
        <is>
          <t>61</t>
        </is>
      </c>
      <c r="B154" t="inlineStr">
        <is>
          <t>610522</t>
        </is>
      </c>
      <c r="C154" t="inlineStr">
        <is>
          <t>Monsters-Stalen</t>
        </is>
      </c>
      <c r="D154" t="inlineStr">
        <is>
          <t>Detail</t>
        </is>
      </c>
      <c r="E154" t="n">
        <v>3</v>
      </c>
      <c r="F154" t="n">
        <v>2048.91</v>
      </c>
    </row>
    <row r="155">
      <c r="A155" t="inlineStr">
        <is>
          <t>61</t>
        </is>
      </c>
      <c r="B155" t="inlineStr">
        <is>
          <t>610523</t>
        </is>
      </c>
      <c r="C155" t="inlineStr">
        <is>
          <t>Beurzen en tentoonstellingen</t>
        </is>
      </c>
      <c r="D155" t="inlineStr">
        <is>
          <t>Detail</t>
        </is>
      </c>
      <c r="E155" t="n">
        <v>3</v>
      </c>
      <c r="F155" t="n">
        <v>11830.9</v>
      </c>
    </row>
    <row r="156">
      <c r="A156" t="inlineStr">
        <is>
          <t>61</t>
        </is>
      </c>
      <c r="B156" t="inlineStr">
        <is>
          <t>610524</t>
        </is>
      </c>
      <c r="C156" t="inlineStr">
        <is>
          <t>Geschenken aank lanten</t>
        </is>
      </c>
      <c r="D156" t="inlineStr">
        <is>
          <t>Detail</t>
        </is>
      </c>
      <c r="E156" t="n">
        <v>3</v>
      </c>
      <c r="F156" t="n">
        <v>168.18</v>
      </c>
    </row>
    <row r="157">
      <c r="A157" t="inlineStr">
        <is>
          <t>61</t>
        </is>
      </c>
      <c r="B157" t="inlineStr">
        <is>
          <t>610525</t>
        </is>
      </c>
      <c r="C157" t="inlineStr">
        <is>
          <t>Publiciteit algemeen</t>
        </is>
      </c>
      <c r="D157" t="inlineStr">
        <is>
          <t>Detail</t>
        </is>
      </c>
      <c r="E157" t="n">
        <v>3</v>
      </c>
      <c r="F157" t="n">
        <v>7903.36</v>
      </c>
    </row>
    <row r="158">
      <c r="A158" t="inlineStr">
        <is>
          <t>61</t>
        </is>
      </c>
      <c r="B158" t="inlineStr">
        <is>
          <t>610526</t>
        </is>
      </c>
      <c r="C158" t="inlineStr">
        <is>
          <t>Receptiekosten en kosten van onthaal</t>
        </is>
      </c>
      <c r="D158" t="inlineStr">
        <is>
          <t>Detail</t>
        </is>
      </c>
      <c r="E158" t="n">
        <v>3</v>
      </c>
      <c r="F158" t="n">
        <v>1147.86</v>
      </c>
    </row>
    <row r="159">
      <c r="A159" t="inlineStr">
        <is>
          <t>61</t>
        </is>
      </c>
      <c r="B159" t="inlineStr">
        <is>
          <t>610527</t>
        </is>
      </c>
      <c r="C159" t="inlineStr">
        <is>
          <t>Promotie kosten</t>
        </is>
      </c>
      <c r="D159" t="inlineStr">
        <is>
          <t>Detail</t>
        </is>
      </c>
      <c r="E159" t="n">
        <v>3</v>
      </c>
      <c r="F159" t="n">
        <v>2296.84</v>
      </c>
    </row>
    <row r="160">
      <c r="A160" t="inlineStr">
        <is>
          <t>61</t>
        </is>
      </c>
      <c r="B160" t="inlineStr">
        <is>
          <t>610529</t>
        </is>
      </c>
      <c r="C160" t="inlineStr">
        <is>
          <t>Labo-R&amp;D</t>
        </is>
      </c>
      <c r="D160" t="inlineStr">
        <is>
          <t>Detail</t>
        </is>
      </c>
      <c r="E160" t="n">
        <v>3</v>
      </c>
      <c r="F160" t="n">
        <v>8064.29</v>
      </c>
    </row>
    <row r="161">
      <c r="A161" t="inlineStr">
        <is>
          <t>61</t>
        </is>
      </c>
      <c r="B161" t="inlineStr">
        <is>
          <t>610530</t>
        </is>
      </c>
      <c r="C161" t="inlineStr">
        <is>
          <t>Commissie-enmakelaarslonen</t>
        </is>
      </c>
      <c r="D161" t="inlineStr">
        <is>
          <t>Detail</t>
        </is>
      </c>
      <c r="E161" t="n">
        <v>3</v>
      </c>
      <c r="F161" t="n">
        <v>31399.83</v>
      </c>
    </row>
    <row r="162">
      <c r="A162" t="inlineStr">
        <is>
          <t>61</t>
        </is>
      </c>
      <c r="B162" t="inlineStr">
        <is>
          <t>610550</t>
        </is>
      </c>
      <c r="C162" t="inlineStr">
        <is>
          <t>Representatiekosten binnenland</t>
        </is>
      </c>
      <c r="D162" t="inlineStr">
        <is>
          <t>Detail</t>
        </is>
      </c>
      <c r="E162" t="n">
        <v>3</v>
      </c>
      <c r="F162" t="n">
        <v>2103.95</v>
      </c>
    </row>
    <row r="163">
      <c r="A163" t="inlineStr">
        <is>
          <t>61</t>
        </is>
      </c>
      <c r="B163" t="inlineStr">
        <is>
          <t>610551</t>
        </is>
      </c>
      <c r="C163" t="inlineStr">
        <is>
          <t>Representatiekosten buitenland</t>
        </is>
      </c>
      <c r="D163" t="inlineStr">
        <is>
          <t>Detail</t>
        </is>
      </c>
      <c r="E163" t="n">
        <v>3</v>
      </c>
      <c r="F163" t="n">
        <v>26.6</v>
      </c>
    </row>
    <row r="164">
      <c r="A164" t="inlineStr">
        <is>
          <t>61</t>
        </is>
      </c>
      <c r="B164" t="inlineStr">
        <is>
          <t>610552</t>
        </is>
      </c>
      <c r="C164" t="inlineStr">
        <is>
          <t>Reiskosten binnenland</t>
        </is>
      </c>
      <c r="D164" t="inlineStr">
        <is>
          <t>Detail</t>
        </is>
      </c>
      <c r="E164" t="n">
        <v>3</v>
      </c>
      <c r="F164" t="n">
        <v>0</v>
      </c>
    </row>
    <row r="165">
      <c r="A165" t="inlineStr">
        <is>
          <t>61</t>
        </is>
      </c>
      <c r="B165" t="inlineStr">
        <is>
          <t>610553</t>
        </is>
      </c>
      <c r="C165" t="inlineStr">
        <is>
          <t>Reiskosten buitenland</t>
        </is>
      </c>
      <c r="D165" t="inlineStr">
        <is>
          <t>Detail</t>
        </is>
      </c>
      <c r="E165" t="n">
        <v>3</v>
      </c>
      <c r="F165" t="n">
        <v>0</v>
      </c>
    </row>
    <row r="166">
      <c r="A166" t="inlineStr">
        <is>
          <t>61</t>
        </is>
      </c>
      <c r="B166" t="inlineStr">
        <is>
          <t>610554</t>
        </is>
      </c>
      <c r="C166" t="inlineStr">
        <is>
          <t>Workshops</t>
        </is>
      </c>
      <c r="D166" t="inlineStr">
        <is>
          <t>Detail</t>
        </is>
      </c>
      <c r="E166" t="n">
        <v>3</v>
      </c>
      <c r="F166" t="n">
        <v>335.54</v>
      </c>
    </row>
    <row r="167">
      <c r="A167" t="inlineStr">
        <is>
          <t>61</t>
        </is>
      </c>
      <c r="B167" t="inlineStr">
        <is>
          <t>610555</t>
        </is>
      </c>
      <c r="C167" t="inlineStr">
        <is>
          <t>Commerciële tegemoetkomingen</t>
        </is>
      </c>
      <c r="D167" t="inlineStr">
        <is>
          <t>Detail</t>
        </is>
      </c>
      <c r="E167" t="n">
        <v>3</v>
      </c>
      <c r="F167" t="n">
        <v>3758.73</v>
      </c>
    </row>
    <row r="168">
      <c r="A168" t="inlineStr">
        <is>
          <t>61</t>
        </is>
      </c>
      <c r="B168" t="inlineStr">
        <is>
          <t>610556</t>
        </is>
      </c>
      <c r="C168" t="inlineStr">
        <is>
          <t>Fee LMB</t>
        </is>
      </c>
      <c r="D168" t="inlineStr">
        <is>
          <t>Detail</t>
        </is>
      </c>
      <c r="E168" t="n">
        <v>3</v>
      </c>
      <c r="F168" t="n">
        <v>51824.17</v>
      </c>
    </row>
    <row r="169">
      <c r="A169" t="inlineStr">
        <is>
          <t>61</t>
        </is>
      </c>
      <c r="B169" t="inlineStr">
        <is>
          <t>610601</t>
        </is>
      </c>
      <c r="C169" t="inlineStr">
        <is>
          <t>Kosten voor octrooien en licenties</t>
        </is>
      </c>
      <c r="D169" t="inlineStr">
        <is>
          <t>Detail</t>
        </is>
      </c>
      <c r="E169" t="n">
        <v>3</v>
      </c>
      <c r="F169" t="n">
        <v>487</v>
      </c>
    </row>
    <row r="170">
      <c r="A170" t="inlineStr">
        <is>
          <t>61</t>
        </is>
      </c>
      <c r="B170" t="inlineStr">
        <is>
          <t>610602</t>
        </is>
      </c>
      <c r="C170" t="inlineStr">
        <is>
          <t>Verpakking</t>
        </is>
      </c>
      <c r="D170" t="inlineStr">
        <is>
          <t>Detail</t>
        </is>
      </c>
      <c r="E170" t="n">
        <v>3</v>
      </c>
      <c r="F170" t="n">
        <v>6686.41</v>
      </c>
    </row>
    <row r="171">
      <c r="A171" t="inlineStr">
        <is>
          <t>61</t>
        </is>
      </c>
      <c r="B171" t="inlineStr">
        <is>
          <t>610603</t>
        </is>
      </c>
      <c r="C171" t="inlineStr">
        <is>
          <t>Leeggoed</t>
        </is>
      </c>
      <c r="D171" t="inlineStr">
        <is>
          <t>Detail</t>
        </is>
      </c>
      <c r="E171" t="n">
        <v>3</v>
      </c>
      <c r="F171" t="n">
        <v>1317.84</v>
      </c>
    </row>
    <row r="172">
      <c r="A172" t="inlineStr">
        <is>
          <t>61</t>
        </is>
      </c>
      <c r="B172" t="inlineStr">
        <is>
          <t>610604</t>
        </is>
      </c>
      <c r="C172" t="inlineStr">
        <is>
          <t>Recupel</t>
        </is>
      </c>
      <c r="D172" t="inlineStr">
        <is>
          <t>Detail</t>
        </is>
      </c>
      <c r="E172" t="n">
        <v>3</v>
      </c>
      <c r="F172" t="n">
        <v>0.04</v>
      </c>
    </row>
    <row r="173">
      <c r="A173" t="inlineStr">
        <is>
          <t>61</t>
        </is>
      </c>
      <c r="B173" t="inlineStr">
        <is>
          <t>617000</t>
        </is>
      </c>
      <c r="C173" t="inlineStr">
        <is>
          <t>Uitzendkrachten</t>
        </is>
      </c>
      <c r="D173" t="inlineStr">
        <is>
          <t>Detail</t>
        </is>
      </c>
      <c r="E173" t="n">
        <v>3</v>
      </c>
      <c r="F173" t="n">
        <v>4477.51</v>
      </c>
    </row>
    <row r="174">
      <c r="A174" t="inlineStr">
        <is>
          <t>61</t>
        </is>
      </c>
      <c r="B174" t="inlineStr">
        <is>
          <t>617100</t>
        </is>
      </c>
      <c r="C174" t="inlineStr">
        <is>
          <t>Ter beschikkinggestelde personeel</t>
        </is>
      </c>
      <c r="D174" t="inlineStr">
        <is>
          <t>Detail</t>
        </is>
      </c>
      <c r="E174" t="n">
        <v>3</v>
      </c>
      <c r="F174" t="n">
        <v>7212.94</v>
      </c>
    </row>
    <row r="175">
      <c r="A175" t="inlineStr">
        <is>
          <t>61</t>
        </is>
      </c>
      <c r="B175" t="inlineStr">
        <is>
          <t>618100</t>
        </is>
      </c>
      <c r="C175" t="inlineStr">
        <is>
          <t>Management prestaties</t>
        </is>
      </c>
      <c r="D175" t="inlineStr">
        <is>
          <t>Detail</t>
        </is>
      </c>
      <c r="E175" t="n">
        <v>3</v>
      </c>
      <c r="F175" t="n">
        <v>10000</v>
      </c>
    </row>
    <row r="176">
      <c r="A176" t="inlineStr">
        <is>
          <t>61</t>
        </is>
      </c>
      <c r="B176" t="inlineStr">
        <is>
          <t>618600</t>
        </is>
      </c>
      <c r="C176" t="inlineStr">
        <is>
          <t>Verplaatsings-en reiskosten</t>
        </is>
      </c>
      <c r="D176" t="inlineStr">
        <is>
          <t>Detail</t>
        </is>
      </c>
      <c r="E176" t="n">
        <v>3</v>
      </c>
      <c r="F176" t="n">
        <v>0</v>
      </c>
    </row>
    <row r="177">
      <c r="A177" t="inlineStr">
        <is>
          <t>62</t>
        </is>
      </c>
      <c r="B177" t="inlineStr">
        <is>
          <t>620200</t>
        </is>
      </c>
      <c r="C177" t="inlineStr">
        <is>
          <t>Salarissen bedienden</t>
        </is>
      </c>
      <c r="D177" t="inlineStr">
        <is>
          <t>Detail</t>
        </is>
      </c>
      <c r="E177" t="n">
        <v>3</v>
      </c>
      <c r="F177" t="n">
        <v>225385.15</v>
      </c>
    </row>
    <row r="178">
      <c r="A178" t="inlineStr">
        <is>
          <t>62</t>
        </is>
      </c>
      <c r="B178" t="inlineStr">
        <is>
          <t>620210</t>
        </is>
      </c>
      <c r="C178" t="inlineStr">
        <is>
          <t>Voordelen in natura: bediende</t>
        </is>
      </c>
      <c r="D178" t="inlineStr">
        <is>
          <t>Detail</t>
        </is>
      </c>
      <c r="E178" t="n">
        <v>3</v>
      </c>
      <c r="F178" t="n">
        <v>4221.07</v>
      </c>
    </row>
    <row r="179">
      <c r="A179" t="inlineStr">
        <is>
          <t>62</t>
        </is>
      </c>
      <c r="B179" t="inlineStr">
        <is>
          <t>620300</t>
        </is>
      </c>
      <c r="C179" t="inlineStr">
        <is>
          <t>Productieve lonen-directar</t>
        </is>
      </c>
      <c r="D179" t="inlineStr">
        <is>
          <t>Detail</t>
        </is>
      </c>
      <c r="E179" t="n">
        <v>3</v>
      </c>
      <c r="F179" t="n">
        <v>64540.55</v>
      </c>
    </row>
    <row r="180">
      <c r="A180" t="inlineStr">
        <is>
          <t>62</t>
        </is>
      </c>
      <c r="B180" t="inlineStr">
        <is>
          <t>621003</t>
        </is>
      </c>
      <c r="C180" t="inlineStr">
        <is>
          <t>RSZ herverdeling</t>
        </is>
      </c>
      <c r="D180" t="inlineStr">
        <is>
          <t>Detail</t>
        </is>
      </c>
      <c r="E180" t="n">
        <v>3</v>
      </c>
      <c r="F180" t="n">
        <v>-1437.8</v>
      </c>
    </row>
    <row r="181">
      <c r="A181" t="inlineStr">
        <is>
          <t>62</t>
        </is>
      </c>
      <c r="B181" t="inlineStr">
        <is>
          <t>621100</t>
        </is>
      </c>
      <c r="C181" t="inlineStr">
        <is>
          <t>Werkgeversbijdragen RSZ bedienden</t>
        </is>
      </c>
      <c r="D181" t="inlineStr">
        <is>
          <t>Detail</t>
        </is>
      </c>
      <c r="E181" t="n">
        <v>3</v>
      </c>
      <c r="F181" t="n">
        <v>35272.9</v>
      </c>
    </row>
    <row r="182">
      <c r="A182" t="inlineStr">
        <is>
          <t>62</t>
        </is>
      </c>
      <c r="B182" t="inlineStr">
        <is>
          <t>621110</t>
        </is>
      </c>
      <c r="C182" t="inlineStr">
        <is>
          <t>Fonds sluiting ondernemingen</t>
        </is>
      </c>
      <c r="D182" t="inlineStr">
        <is>
          <t>Detail</t>
        </is>
      </c>
      <c r="E182" t="n">
        <v>3</v>
      </c>
      <c r="F182" t="n">
        <v>0</v>
      </c>
    </row>
    <row r="183">
      <c r="A183" t="inlineStr">
        <is>
          <t>62</t>
        </is>
      </c>
      <c r="B183" t="inlineStr">
        <is>
          <t>621200</t>
        </is>
      </c>
      <c r="C183" t="inlineStr">
        <is>
          <t>Werkgeversbijdragen RSZ arbeiders</t>
        </is>
      </c>
      <c r="D183" t="inlineStr">
        <is>
          <t>Detail</t>
        </is>
      </c>
      <c r="E183" t="n">
        <v>3</v>
      </c>
      <c r="F183" t="n">
        <v>19451.34</v>
      </c>
    </row>
    <row r="184">
      <c r="A184" t="inlineStr">
        <is>
          <t>62</t>
        </is>
      </c>
      <c r="B184" t="inlineStr">
        <is>
          <t>621302</t>
        </is>
      </c>
      <c r="C184" t="inlineStr">
        <is>
          <t>RSZvakantiebijdragearbeider</t>
        </is>
      </c>
      <c r="D184" t="inlineStr">
        <is>
          <t>Detail</t>
        </is>
      </c>
      <c r="E184" t="n">
        <v>3</v>
      </c>
      <c r="F184" t="n">
        <v>4969.26</v>
      </c>
    </row>
    <row r="185">
      <c r="A185" t="inlineStr">
        <is>
          <t>62</t>
        </is>
      </c>
      <c r="B185" t="inlineStr">
        <is>
          <t>622100</t>
        </is>
      </c>
      <c r="C185" t="inlineStr">
        <is>
          <t>Pension@work</t>
        </is>
      </c>
      <c r="D185" t="inlineStr">
        <is>
          <t>Detail</t>
        </is>
      </c>
      <c r="E185" t="n">
        <v>3</v>
      </c>
      <c r="F185" t="n">
        <v>6150.13</v>
      </c>
    </row>
    <row r="186">
      <c r="A186" t="inlineStr">
        <is>
          <t>62</t>
        </is>
      </c>
      <c r="B186" t="inlineStr">
        <is>
          <t>622200</t>
        </is>
      </c>
      <c r="C186" t="inlineStr">
        <is>
          <t>Hospitalisatieverzekering</t>
        </is>
      </c>
      <c r="D186" t="inlineStr">
        <is>
          <t>Detail</t>
        </is>
      </c>
      <c r="E186" t="n">
        <v>3</v>
      </c>
      <c r="F186" t="n">
        <v>71.90000000000001</v>
      </c>
    </row>
    <row r="187">
      <c r="A187" t="inlineStr">
        <is>
          <t>62</t>
        </is>
      </c>
      <c r="B187" t="inlineStr">
        <is>
          <t>623055</t>
        </is>
      </c>
      <c r="C187" t="inlineStr">
        <is>
          <t>Arbeidsongevallenverzekering</t>
        </is>
      </c>
      <c r="D187" t="inlineStr">
        <is>
          <t>Detail</t>
        </is>
      </c>
      <c r="E187" t="n">
        <v>3</v>
      </c>
      <c r="F187" t="n">
        <v>1199.56</v>
      </c>
    </row>
    <row r="188">
      <c r="A188" t="inlineStr">
        <is>
          <t>62</t>
        </is>
      </c>
      <c r="B188" t="inlineStr">
        <is>
          <t>623100</t>
        </is>
      </c>
      <c r="C188" t="inlineStr">
        <is>
          <t>Voorzieningvakantiegeldbedi</t>
        </is>
      </c>
      <c r="D188" t="inlineStr">
        <is>
          <t>Detail</t>
        </is>
      </c>
      <c r="E188" t="n">
        <v>3</v>
      </c>
      <c r="F188" t="n">
        <v>0</v>
      </c>
    </row>
    <row r="189">
      <c r="A189" t="inlineStr">
        <is>
          <t>62</t>
        </is>
      </c>
      <c r="B189" t="inlineStr">
        <is>
          <t>623200</t>
        </is>
      </c>
      <c r="C189" t="inlineStr">
        <is>
          <t>Voorzieningvakantiegeldarbe</t>
        </is>
      </c>
      <c r="D189" t="inlineStr">
        <is>
          <t>Detail</t>
        </is>
      </c>
      <c r="E189" t="n">
        <v>3</v>
      </c>
      <c r="F189" t="n">
        <v>0</v>
      </c>
    </row>
    <row r="190">
      <c r="A190" t="inlineStr">
        <is>
          <t>62</t>
        </is>
      </c>
      <c r="B190" t="inlineStr">
        <is>
          <t>623294</t>
        </is>
      </c>
      <c r="C190" t="inlineStr">
        <is>
          <t>Ecocheques bedienden</t>
        </is>
      </c>
      <c r="D190" t="inlineStr">
        <is>
          <t>Detail</t>
        </is>
      </c>
      <c r="E190" t="n">
        <v>3</v>
      </c>
      <c r="F190" t="n">
        <v>1937.29</v>
      </c>
    </row>
    <row r="191">
      <c r="A191" t="inlineStr">
        <is>
          <t>62</t>
        </is>
      </c>
      <c r="B191" t="inlineStr">
        <is>
          <t>623300</t>
        </is>
      </c>
      <c r="C191" t="inlineStr">
        <is>
          <t>Verplaatsingskosten: km-vergoeding</t>
        </is>
      </c>
      <c r="D191" t="inlineStr">
        <is>
          <t>Detail</t>
        </is>
      </c>
      <c r="E191" t="n">
        <v>3</v>
      </c>
      <c r="F191" t="n">
        <v>3678.28</v>
      </c>
    </row>
    <row r="192">
      <c r="A192" t="inlineStr">
        <is>
          <t>62</t>
        </is>
      </c>
      <c r="B192" t="inlineStr">
        <is>
          <t>623330</t>
        </is>
      </c>
      <c r="C192" t="inlineStr">
        <is>
          <t>Andere personeelskosten</t>
        </is>
      </c>
      <c r="D192" t="inlineStr">
        <is>
          <t>Detail</t>
        </is>
      </c>
      <c r="E192" t="n">
        <v>3</v>
      </c>
      <c r="F192" t="n">
        <v>22031.87</v>
      </c>
    </row>
    <row r="193">
      <c r="A193" t="inlineStr">
        <is>
          <t>62</t>
        </is>
      </c>
      <c r="B193" t="inlineStr">
        <is>
          <t>623340</t>
        </is>
      </c>
      <c r="C193" t="inlineStr">
        <is>
          <t>Maaltijdcheques</t>
        </is>
      </c>
      <c r="D193" t="inlineStr">
        <is>
          <t>Detail</t>
        </is>
      </c>
      <c r="E193" t="n">
        <v>3</v>
      </c>
      <c r="F193" t="n">
        <v>5278.88</v>
      </c>
    </row>
    <row r="194">
      <c r="A194" t="inlineStr">
        <is>
          <t>62</t>
        </is>
      </c>
      <c r="B194" t="inlineStr">
        <is>
          <t>623350</t>
        </is>
      </c>
      <c r="C194" t="inlineStr">
        <is>
          <t>Medische dienst</t>
        </is>
      </c>
      <c r="D194" t="inlineStr">
        <is>
          <t>Detail</t>
        </is>
      </c>
      <c r="E194" t="n">
        <v>3</v>
      </c>
      <c r="F194" t="n">
        <v>1173</v>
      </c>
    </row>
    <row r="195">
      <c r="A195" t="inlineStr">
        <is>
          <t>62</t>
        </is>
      </c>
      <c r="B195" t="inlineStr">
        <is>
          <t>623365</t>
        </is>
      </c>
      <c r="C195" t="inlineStr">
        <is>
          <t>Werkkledij</t>
        </is>
      </c>
      <c r="D195" t="inlineStr">
        <is>
          <t>Detail</t>
        </is>
      </c>
      <c r="E195" t="n">
        <v>3</v>
      </c>
      <c r="F195" t="n">
        <v>730.65</v>
      </c>
    </row>
    <row r="196">
      <c r="A196" t="inlineStr">
        <is>
          <t>62</t>
        </is>
      </c>
      <c r="B196" t="inlineStr">
        <is>
          <t>623370</t>
        </is>
      </c>
      <c r="C196" t="inlineStr">
        <is>
          <t>Kantine kosten</t>
        </is>
      </c>
      <c r="D196" t="inlineStr">
        <is>
          <t>Detail</t>
        </is>
      </c>
      <c r="E196" t="n">
        <v>3</v>
      </c>
      <c r="F196" t="n">
        <v>799.4400000000001</v>
      </c>
    </row>
    <row r="197">
      <c r="A197" t="inlineStr">
        <is>
          <t>62</t>
        </is>
      </c>
      <c r="B197" t="inlineStr">
        <is>
          <t>624100</t>
        </is>
      </c>
      <c r="C197" t="inlineStr">
        <is>
          <t>Personeel</t>
        </is>
      </c>
      <c r="D197" t="inlineStr">
        <is>
          <t>Detail</t>
        </is>
      </c>
      <c r="E197" t="n">
        <v>3</v>
      </c>
      <c r="F197" t="n">
        <v>0</v>
      </c>
    </row>
    <row r="198">
      <c r="A198" t="inlineStr">
        <is>
          <t>62</t>
        </is>
      </c>
      <c r="B198" t="inlineStr">
        <is>
          <t>625020</t>
        </is>
      </c>
      <c r="C198" t="inlineStr">
        <is>
          <t>Provisie vakantiegeld bedienden</t>
        </is>
      </c>
      <c r="D198" t="inlineStr">
        <is>
          <t>Detail</t>
        </is>
      </c>
      <c r="E198" t="n">
        <v>3</v>
      </c>
      <c r="F198" t="n">
        <v>-8452.93</v>
      </c>
    </row>
    <row r="199">
      <c r="A199" t="inlineStr">
        <is>
          <t>62</t>
        </is>
      </c>
      <c r="B199" t="inlineStr">
        <is>
          <t>625030</t>
        </is>
      </c>
      <c r="C199" t="inlineStr">
        <is>
          <t>Provisie vakantiegeld arbeiders</t>
        </is>
      </c>
      <c r="D199" t="inlineStr">
        <is>
          <t>Detail</t>
        </is>
      </c>
      <c r="E199" t="n">
        <v>3</v>
      </c>
      <c r="F199" t="n">
        <v>3162.64</v>
      </c>
    </row>
    <row r="200">
      <c r="A200" t="inlineStr">
        <is>
          <t>62</t>
        </is>
      </c>
      <c r="B200" t="inlineStr">
        <is>
          <t>625120</t>
        </is>
      </c>
      <c r="C200" t="inlineStr">
        <is>
          <t>Terugname prov. vakantiegeld</t>
        </is>
      </c>
      <c r="D200" t="inlineStr">
        <is>
          <t>Detail</t>
        </is>
      </c>
      <c r="E200" t="n">
        <v>3</v>
      </c>
      <c r="F200" t="n">
        <v>-13643.56</v>
      </c>
    </row>
    <row r="201">
      <c r="A201" t="inlineStr">
        <is>
          <t>63</t>
        </is>
      </c>
      <c r="B201" t="inlineStr">
        <is>
          <t>630000</t>
        </is>
      </c>
      <c r="C201" t="inlineStr">
        <is>
          <t>Afschrijvingoprichtingskoste</t>
        </is>
      </c>
      <c r="D201" t="inlineStr">
        <is>
          <t>Detail</t>
        </is>
      </c>
      <c r="E201" t="n">
        <v>3</v>
      </c>
      <c r="F201" t="n">
        <v>621.33</v>
      </c>
    </row>
    <row r="202">
      <c r="A202" t="inlineStr">
        <is>
          <t>63</t>
        </is>
      </c>
      <c r="B202" t="inlineStr">
        <is>
          <t>630100</t>
        </is>
      </c>
      <c r="C202" t="inlineStr">
        <is>
          <t>Afschrijvingkostenvanonder</t>
        </is>
      </c>
      <c r="D202" t="inlineStr">
        <is>
          <t>Detail</t>
        </is>
      </c>
      <c r="E202" t="n">
        <v>3</v>
      </c>
      <c r="F202" t="n">
        <v>159208.31</v>
      </c>
    </row>
    <row r="203">
      <c r="A203" t="inlineStr">
        <is>
          <t>63</t>
        </is>
      </c>
      <c r="B203" t="inlineStr">
        <is>
          <t>630200</t>
        </is>
      </c>
      <c r="C203" t="inlineStr">
        <is>
          <t>AfschrijvingMVA</t>
        </is>
      </c>
      <c r="D203" t="inlineStr">
        <is>
          <t>Detail</t>
        </is>
      </c>
      <c r="E203" t="n">
        <v>3</v>
      </c>
      <c r="F203" t="n">
        <v>63826.91</v>
      </c>
    </row>
    <row r="204">
      <c r="A204" t="inlineStr">
        <is>
          <t>64</t>
        </is>
      </c>
      <c r="B204" t="inlineStr">
        <is>
          <t>640002</t>
        </is>
      </c>
      <c r="C204" t="inlineStr">
        <is>
          <t>Provinciebelastingen</t>
        </is>
      </c>
      <c r="D204" t="inlineStr">
        <is>
          <t>Detail</t>
        </is>
      </c>
      <c r="E204" t="n">
        <v>3</v>
      </c>
      <c r="F204" t="n">
        <v>62</v>
      </c>
    </row>
    <row r="205">
      <c r="A205" t="inlineStr">
        <is>
          <t>64</t>
        </is>
      </c>
      <c r="B205" t="inlineStr">
        <is>
          <t>640006</t>
        </is>
      </c>
      <c r="C205" t="inlineStr">
        <is>
          <t>Verkeersboeten</t>
        </is>
      </c>
      <c r="D205" t="inlineStr">
        <is>
          <t>Detail</t>
        </is>
      </c>
      <c r="E205" t="n">
        <v>3</v>
      </c>
      <c r="F205" t="n">
        <v>176</v>
      </c>
    </row>
    <row r="206">
      <c r="A206" t="inlineStr">
        <is>
          <t>64</t>
        </is>
      </c>
      <c r="B206" t="inlineStr">
        <is>
          <t>640009</t>
        </is>
      </c>
      <c r="C206" t="inlineStr">
        <is>
          <t>Onroerendevoorheffing</t>
        </is>
      </c>
      <c r="D206" t="inlineStr">
        <is>
          <t>Detail</t>
        </is>
      </c>
      <c r="E206" t="n">
        <v>3</v>
      </c>
      <c r="F206" t="n">
        <v>2880</v>
      </c>
    </row>
    <row r="207">
      <c r="A207" t="inlineStr">
        <is>
          <t>64</t>
        </is>
      </c>
      <c r="B207" t="inlineStr">
        <is>
          <t>640010</t>
        </is>
      </c>
      <c r="C207" t="inlineStr">
        <is>
          <t>Milieuheffing</t>
        </is>
      </c>
      <c r="D207" t="inlineStr">
        <is>
          <t>Detail</t>
        </is>
      </c>
      <c r="E207" t="n">
        <v>3</v>
      </c>
      <c r="F207" t="n">
        <v>0</v>
      </c>
    </row>
    <row r="208">
      <c r="A208" t="inlineStr">
        <is>
          <t>64</t>
        </is>
      </c>
      <c r="B208" t="inlineStr">
        <is>
          <t>640013</t>
        </is>
      </c>
      <c r="C208" t="inlineStr">
        <is>
          <t>Sociale bijdragen vennootschappen</t>
        </is>
      </c>
      <c r="D208" t="inlineStr">
        <is>
          <t>Detail</t>
        </is>
      </c>
      <c r="E208" t="n">
        <v>3</v>
      </c>
      <c r="F208" t="n">
        <v>960.26</v>
      </c>
    </row>
    <row r="209">
      <c r="A209" t="inlineStr">
        <is>
          <t>64</t>
        </is>
      </c>
      <c r="B209" t="inlineStr">
        <is>
          <t>640016</t>
        </is>
      </c>
      <c r="C209" t="inlineStr">
        <is>
          <t>Administratieve geldboeten</t>
        </is>
      </c>
      <c r="D209" t="inlineStr">
        <is>
          <t>Detail</t>
        </is>
      </c>
      <c r="E209" t="n">
        <v>3</v>
      </c>
      <c r="F209" t="n">
        <v>330.24</v>
      </c>
    </row>
    <row r="210">
      <c r="A210" t="inlineStr">
        <is>
          <t>64</t>
        </is>
      </c>
      <c r="B210" t="inlineStr">
        <is>
          <t>640017</t>
        </is>
      </c>
      <c r="C210" t="inlineStr">
        <is>
          <t>Accijnzen</t>
        </is>
      </c>
      <c r="D210" t="inlineStr">
        <is>
          <t>Detail</t>
        </is>
      </c>
      <c r="E210" t="n">
        <v>3</v>
      </c>
      <c r="F210" t="n">
        <v>48317.72</v>
      </c>
    </row>
    <row r="211">
      <c r="A211" t="inlineStr">
        <is>
          <t>64</t>
        </is>
      </c>
      <c r="B211" t="inlineStr">
        <is>
          <t>640018</t>
        </is>
      </c>
      <c r="C211" t="inlineStr">
        <is>
          <t>Registratierechten</t>
        </is>
      </c>
      <c r="D211" t="inlineStr">
        <is>
          <t>Detail</t>
        </is>
      </c>
      <c r="E211" t="n">
        <v>3</v>
      </c>
      <c r="F211" t="n">
        <v>50</v>
      </c>
    </row>
    <row r="212">
      <c r="A212" t="inlineStr">
        <is>
          <t>64</t>
        </is>
      </c>
      <c r="B212" t="inlineStr">
        <is>
          <t>640020</t>
        </is>
      </c>
      <c r="C212" t="inlineStr">
        <is>
          <t>Verkeersbelasting personenwagen</t>
        </is>
      </c>
      <c r="D212" t="inlineStr">
        <is>
          <t>Detail</t>
        </is>
      </c>
      <c r="E212" t="n">
        <v>3</v>
      </c>
      <c r="F212" t="n">
        <v>408.53</v>
      </c>
    </row>
    <row r="213">
      <c r="A213" t="inlineStr">
        <is>
          <t>64</t>
        </is>
      </c>
      <c r="B213" t="inlineStr">
        <is>
          <t>642000</t>
        </is>
      </c>
      <c r="C213" t="inlineStr">
        <is>
          <t>Minderwaarden op handelsvorderingen</t>
        </is>
      </c>
      <c r="D213" t="inlineStr">
        <is>
          <t>Detail</t>
        </is>
      </c>
      <c r="E213" t="n">
        <v>3</v>
      </c>
      <c r="F213" t="n">
        <v>181.5</v>
      </c>
    </row>
    <row r="214">
      <c r="A214" t="inlineStr">
        <is>
          <t>65</t>
        </is>
      </c>
      <c r="B214" t="inlineStr">
        <is>
          <t>650000</t>
        </is>
      </c>
      <c r="C214" t="inlineStr">
        <is>
          <t>Rente,commissiesenkostenv</t>
        </is>
      </c>
      <c r="D214" t="inlineStr">
        <is>
          <t>Detail</t>
        </is>
      </c>
      <c r="E214" t="n">
        <v>3</v>
      </c>
      <c r="F214" t="n">
        <v>373.96</v>
      </c>
    </row>
    <row r="215">
      <c r="A215" t="inlineStr">
        <is>
          <t>65</t>
        </is>
      </c>
      <c r="B215" t="inlineStr">
        <is>
          <t>650010</t>
        </is>
      </c>
      <c r="C215" t="inlineStr">
        <is>
          <t>Rente op leningen &gt;1 jaar</t>
        </is>
      </c>
      <c r="D215" t="inlineStr">
        <is>
          <t>Detail</t>
        </is>
      </c>
      <c r="E215" t="n">
        <v>3</v>
      </c>
      <c r="F215" t="n">
        <v>0</v>
      </c>
    </row>
    <row r="216">
      <c r="A216" t="inlineStr">
        <is>
          <t>65</t>
        </is>
      </c>
      <c r="B216" t="inlineStr">
        <is>
          <t>650030</t>
        </is>
      </c>
      <c r="C216" t="inlineStr">
        <is>
          <t>Intrest op renting</t>
        </is>
      </c>
      <c r="D216" t="inlineStr">
        <is>
          <t>Detail</t>
        </is>
      </c>
      <c r="E216" t="n">
        <v>3</v>
      </c>
      <c r="F216" t="n">
        <v>543.85</v>
      </c>
    </row>
    <row r="217">
      <c r="A217" t="inlineStr">
        <is>
          <t>65</t>
        </is>
      </c>
      <c r="B217" t="inlineStr">
        <is>
          <t>650100</t>
        </is>
      </c>
      <c r="C217" t="inlineStr">
        <is>
          <t>Kosten straightloan</t>
        </is>
      </c>
      <c r="D217" t="inlineStr">
        <is>
          <t>Detail</t>
        </is>
      </c>
      <c r="E217" t="n">
        <v>3</v>
      </c>
      <c r="F217" t="n">
        <v>6265.8</v>
      </c>
    </row>
    <row r="218">
      <c r="A218" t="inlineStr">
        <is>
          <t>65</t>
        </is>
      </c>
      <c r="B218" t="inlineStr">
        <is>
          <t>650150</t>
        </is>
      </c>
      <c r="C218" t="inlineStr">
        <is>
          <t>Intrestlening 724-31</t>
        </is>
      </c>
      <c r="D218" t="inlineStr">
        <is>
          <t>Detail</t>
        </is>
      </c>
      <c r="E218" t="n">
        <v>3</v>
      </c>
      <c r="F218" t="n">
        <v>3253.62</v>
      </c>
    </row>
    <row r="219">
      <c r="A219" t="inlineStr">
        <is>
          <t>65</t>
        </is>
      </c>
      <c r="B219" t="inlineStr">
        <is>
          <t>650250</t>
        </is>
      </c>
      <c r="C219" t="inlineStr">
        <is>
          <t>Intrestenlening €¬100K-73</t>
        </is>
      </c>
      <c r="D219" t="inlineStr">
        <is>
          <t>Detail</t>
        </is>
      </c>
      <c r="E219" t="n">
        <v>3</v>
      </c>
      <c r="F219" t="n">
        <v>357.42</v>
      </c>
    </row>
    <row r="220">
      <c r="A220" t="inlineStr">
        <is>
          <t>65</t>
        </is>
      </c>
      <c r="B220" t="inlineStr">
        <is>
          <t>650350</t>
        </is>
      </c>
      <c r="C220" t="inlineStr">
        <is>
          <t>Intrestenlening 426-66</t>
        </is>
      </c>
      <c r="D220" t="inlineStr">
        <is>
          <t>Detail</t>
        </is>
      </c>
      <c r="E220" t="n">
        <v>3</v>
      </c>
      <c r="F220" t="n">
        <v>1227.43</v>
      </c>
    </row>
    <row r="221">
      <c r="A221" t="inlineStr">
        <is>
          <t>65</t>
        </is>
      </c>
      <c r="B221" t="inlineStr">
        <is>
          <t>650500</t>
        </is>
      </c>
      <c r="C221" t="inlineStr">
        <is>
          <t>Bankintrestenzichtrekeningen</t>
        </is>
      </c>
      <c r="D221" t="inlineStr">
        <is>
          <t>Detail</t>
        </is>
      </c>
      <c r="E221" t="n">
        <v>3</v>
      </c>
      <c r="F221" t="n">
        <v>101268.35</v>
      </c>
    </row>
    <row r="222">
      <c r="A222" t="inlineStr">
        <is>
          <t>65</t>
        </is>
      </c>
      <c r="B222" t="inlineStr">
        <is>
          <t>650700</t>
        </is>
      </c>
      <c r="C222" t="inlineStr">
        <is>
          <t>Intresten leveranciers</t>
        </is>
      </c>
      <c r="D222" t="inlineStr">
        <is>
          <t>Detail</t>
        </is>
      </c>
      <c r="E222" t="n">
        <v>3</v>
      </c>
      <c r="F222" t="n">
        <v>167.45</v>
      </c>
    </row>
    <row r="223">
      <c r="A223" t="inlineStr">
        <is>
          <t>65</t>
        </is>
      </c>
      <c r="B223" t="inlineStr">
        <is>
          <t>650800</t>
        </is>
      </c>
      <c r="C223" t="inlineStr">
        <is>
          <t>Intresten BTW BV RSZ</t>
        </is>
      </c>
      <c r="D223" t="inlineStr">
        <is>
          <t>Detail</t>
        </is>
      </c>
      <c r="E223" t="n">
        <v>3</v>
      </c>
      <c r="F223" t="n">
        <v>293.56</v>
      </c>
    </row>
    <row r="224">
      <c r="A224" t="inlineStr">
        <is>
          <t>65</t>
        </is>
      </c>
      <c r="B224" t="inlineStr">
        <is>
          <t>654000</t>
        </is>
      </c>
      <c r="C224" t="inlineStr">
        <is>
          <t>Nadelige koersverschillen</t>
        </is>
      </c>
      <c r="D224" t="inlineStr">
        <is>
          <t>Detail</t>
        </is>
      </c>
      <c r="E224" t="n">
        <v>3</v>
      </c>
      <c r="F224" t="n">
        <v>0</v>
      </c>
    </row>
    <row r="225">
      <c r="A225" t="inlineStr">
        <is>
          <t>65</t>
        </is>
      </c>
      <c r="B225" t="inlineStr">
        <is>
          <t>656000</t>
        </is>
      </c>
      <c r="C225" t="inlineStr">
        <is>
          <t>Bankkosten</t>
        </is>
      </c>
      <c r="D225" t="inlineStr">
        <is>
          <t>Detail</t>
        </is>
      </c>
      <c r="E225" t="n">
        <v>3</v>
      </c>
      <c r="F225" t="n">
        <v>890.52</v>
      </c>
    </row>
    <row r="226">
      <c r="A226" t="inlineStr">
        <is>
          <t>65</t>
        </is>
      </c>
      <c r="B226" t="inlineStr">
        <is>
          <t>656001</t>
        </is>
      </c>
      <c r="C226" t="inlineStr">
        <is>
          <t>Toegekende kortingen aan klanten</t>
        </is>
      </c>
      <c r="D226" t="inlineStr">
        <is>
          <t>Detail</t>
        </is>
      </c>
      <c r="E226" t="n">
        <v>3</v>
      </c>
      <c r="F226" t="n">
        <v>8238.49</v>
      </c>
    </row>
    <row r="227">
      <c r="A227" t="inlineStr">
        <is>
          <t>65</t>
        </is>
      </c>
      <c r="B227" t="inlineStr">
        <is>
          <t>656002</t>
        </is>
      </c>
      <c r="C227" t="inlineStr">
        <is>
          <t>Kosten bankgaranties</t>
        </is>
      </c>
      <c r="D227" t="inlineStr">
        <is>
          <t>Detail</t>
        </is>
      </c>
      <c r="E227" t="n">
        <v>3</v>
      </c>
      <c r="F227" t="n">
        <v>266.53</v>
      </c>
    </row>
    <row r="228">
      <c r="A228" t="inlineStr">
        <is>
          <t>65</t>
        </is>
      </c>
      <c r="B228" t="inlineStr">
        <is>
          <t>658200</t>
        </is>
      </c>
      <c r="C228" t="inlineStr">
        <is>
          <t>Nadelige betalingsverschillen</t>
        </is>
      </c>
      <c r="D228" t="inlineStr">
        <is>
          <t>Detail</t>
        </is>
      </c>
      <c r="E228" t="n">
        <v>3</v>
      </c>
      <c r="F228" t="n">
        <v>459.65</v>
      </c>
    </row>
    <row r="229">
      <c r="A229" t="inlineStr">
        <is>
          <t>65</t>
        </is>
      </c>
      <c r="B229" t="inlineStr">
        <is>
          <t>659000</t>
        </is>
      </c>
      <c r="C229" t="inlineStr">
        <is>
          <t>Overige diverse financiële kosten</t>
        </is>
      </c>
      <c r="D229" t="inlineStr">
        <is>
          <t>Detail</t>
        </is>
      </c>
      <c r="E229" t="n">
        <v>3</v>
      </c>
      <c r="F229" t="n">
        <v>3.52</v>
      </c>
    </row>
    <row r="230">
      <c r="A230" t="inlineStr">
        <is>
          <t>66</t>
        </is>
      </c>
      <c r="B230" t="inlineStr">
        <is>
          <t>664000.000</t>
        </is>
      </c>
      <c r="C230" t="inlineStr">
        <is>
          <t>Andere niet-recurrente bedrijfskosten</t>
        </is>
      </c>
      <c r="D230" t="inlineStr">
        <is>
          <t>Detail</t>
        </is>
      </c>
      <c r="E230" t="n">
        <v>3</v>
      </c>
      <c r="F230" t="n">
        <v>30000</v>
      </c>
    </row>
    <row r="231">
      <c r="A231" t="inlineStr">
        <is>
          <t>70</t>
        </is>
      </c>
      <c r="B231" t="inlineStr">
        <is>
          <t>700000</t>
        </is>
      </c>
      <c r="C231" t="inlineStr">
        <is>
          <t>Verkopen afgewerkte producten</t>
        </is>
      </c>
      <c r="D231" t="inlineStr">
        <is>
          <t>Detail</t>
        </is>
      </c>
      <c r="E231" t="n">
        <v>3</v>
      </c>
      <c r="F231" t="n">
        <v>641498.42</v>
      </c>
    </row>
    <row r="232">
      <c r="A232" t="inlineStr">
        <is>
          <t>70</t>
        </is>
      </c>
      <c r="B232" t="inlineStr">
        <is>
          <t>700001</t>
        </is>
      </c>
      <c r="C232" t="inlineStr">
        <is>
          <t>Verkopen Events</t>
        </is>
      </c>
      <c r="D232" t="inlineStr">
        <is>
          <t>Detail</t>
        </is>
      </c>
      <c r="E232" t="n">
        <v>3</v>
      </c>
      <c r="F232" t="n">
        <v>22001.44</v>
      </c>
    </row>
    <row r="233">
      <c r="A233" t="inlineStr">
        <is>
          <t>70</t>
        </is>
      </c>
      <c r="B233" t="inlineStr">
        <is>
          <t>700002</t>
        </is>
      </c>
      <c r="C233" t="inlineStr">
        <is>
          <t>Verkopen Alcohol</t>
        </is>
      </c>
      <c r="D233" t="inlineStr">
        <is>
          <t>Detail</t>
        </is>
      </c>
      <c r="E233" t="n">
        <v>3</v>
      </c>
      <c r="F233" t="n">
        <v>2727.69</v>
      </c>
    </row>
    <row r="234">
      <c r="A234" t="inlineStr">
        <is>
          <t>70</t>
        </is>
      </c>
      <c r="B234" t="inlineStr">
        <is>
          <t>700006</t>
        </is>
      </c>
      <c r="C234" t="inlineStr">
        <is>
          <t>Verkopen droge materialen</t>
        </is>
      </c>
      <c r="D234" t="inlineStr">
        <is>
          <t>Detail</t>
        </is>
      </c>
      <c r="E234" t="n">
        <v>3</v>
      </c>
      <c r="F234" t="n">
        <v>40.92</v>
      </c>
    </row>
    <row r="235">
      <c r="A235" t="inlineStr">
        <is>
          <t>70</t>
        </is>
      </c>
      <c r="B235" t="inlineStr">
        <is>
          <t>700007</t>
        </is>
      </c>
      <c r="C235" t="inlineStr">
        <is>
          <t>Verkopen mousserende dranken</t>
        </is>
      </c>
      <c r="D235" t="inlineStr">
        <is>
          <t>Detail</t>
        </is>
      </c>
      <c r="E235" t="n">
        <v>3</v>
      </c>
      <c r="F235" t="n">
        <v>16741.41</v>
      </c>
    </row>
    <row r="236">
      <c r="A236" t="inlineStr">
        <is>
          <t>70</t>
        </is>
      </c>
      <c r="B236" t="inlineStr">
        <is>
          <t>700008</t>
        </is>
      </c>
      <c r="C236" t="inlineStr">
        <is>
          <t>Verkopen mixers</t>
        </is>
      </c>
      <c r="D236" t="inlineStr">
        <is>
          <t>Detail</t>
        </is>
      </c>
      <c r="E236" t="n">
        <v>3</v>
      </c>
      <c r="F236" t="n">
        <v>797.63</v>
      </c>
    </row>
    <row r="237">
      <c r="A237" t="inlineStr">
        <is>
          <t>70</t>
        </is>
      </c>
      <c r="B237" t="inlineStr">
        <is>
          <t>700600</t>
        </is>
      </c>
      <c r="C237" t="inlineStr">
        <is>
          <t>Verpakkingskosten</t>
        </is>
      </c>
      <c r="D237" t="inlineStr">
        <is>
          <t>Detail</t>
        </is>
      </c>
      <c r="E237" t="n">
        <v>3</v>
      </c>
      <c r="F237" t="n">
        <v>1012.08</v>
      </c>
    </row>
    <row r="238">
      <c r="A238" t="inlineStr">
        <is>
          <t>70</t>
        </is>
      </c>
      <c r="B238" t="inlineStr">
        <is>
          <t>700700</t>
        </is>
      </c>
      <c r="C238" t="inlineStr">
        <is>
          <t>Verhuur stookinstallatie Wissels</t>
        </is>
      </c>
      <c r="D238" t="inlineStr">
        <is>
          <t>Detail</t>
        </is>
      </c>
      <c r="E238" t="n">
        <v>3</v>
      </c>
      <c r="F238" t="n">
        <v>2000</v>
      </c>
    </row>
    <row r="239">
      <c r="A239" t="inlineStr">
        <is>
          <t>70</t>
        </is>
      </c>
      <c r="B239" t="inlineStr">
        <is>
          <t>707000</t>
        </is>
      </c>
      <c r="C239" t="inlineStr">
        <is>
          <t>Transportkosten</t>
        </is>
      </c>
      <c r="D239" t="inlineStr">
        <is>
          <t>Detail</t>
        </is>
      </c>
      <c r="E239" t="n">
        <v>3</v>
      </c>
      <c r="F239" t="n">
        <v>3179.98</v>
      </c>
    </row>
    <row r="240">
      <c r="A240" t="inlineStr">
        <is>
          <t>72</t>
        </is>
      </c>
      <c r="B240" t="inlineStr">
        <is>
          <t>720000</t>
        </is>
      </c>
      <c r="C240" t="inlineStr">
        <is>
          <t>Geactiveerdeinterneproducti</t>
        </is>
      </c>
      <c r="D240" t="inlineStr">
        <is>
          <t>Detail</t>
        </is>
      </c>
      <c r="E240" t="n">
        <v>3</v>
      </c>
      <c r="F240" t="n">
        <v>0</v>
      </c>
    </row>
    <row r="241">
      <c r="A241" t="inlineStr">
        <is>
          <t>74</t>
        </is>
      </c>
      <c r="B241" t="inlineStr">
        <is>
          <t>740000</t>
        </is>
      </c>
      <c r="C241" t="inlineStr">
        <is>
          <t>Subisdies</t>
        </is>
      </c>
      <c r="D241" t="inlineStr">
        <is>
          <t>Detail</t>
        </is>
      </c>
      <c r="E241" t="n">
        <v>3</v>
      </c>
      <c r="F241" t="n">
        <v>0</v>
      </c>
    </row>
    <row r="242">
      <c r="A242" t="inlineStr">
        <is>
          <t>74</t>
        </is>
      </c>
      <c r="B242" t="inlineStr">
        <is>
          <t>743201</t>
        </is>
      </c>
      <c r="C242" t="inlineStr">
        <is>
          <t>Voordelen in natura: bedienden</t>
        </is>
      </c>
      <c r="D242" t="inlineStr">
        <is>
          <t>Detail</t>
        </is>
      </c>
      <c r="E242" t="n">
        <v>3</v>
      </c>
      <c r="F242" t="n">
        <v>4221.07</v>
      </c>
    </row>
    <row r="243">
      <c r="A243" t="inlineStr">
        <is>
          <t>74</t>
        </is>
      </c>
      <c r="B243" t="inlineStr">
        <is>
          <t>743270</t>
        </is>
      </c>
      <c r="C243" t="inlineStr">
        <is>
          <t>Vrijstelling bv: bedienden</t>
        </is>
      </c>
      <c r="D243" t="inlineStr">
        <is>
          <t>Detail</t>
        </is>
      </c>
      <c r="E243" t="n">
        <v>3</v>
      </c>
      <c r="F243" t="n">
        <v>-559.95</v>
      </c>
    </row>
    <row r="244">
      <c r="A244" t="inlineStr">
        <is>
          <t>74</t>
        </is>
      </c>
      <c r="B244" t="inlineStr">
        <is>
          <t>743294</t>
        </is>
      </c>
      <c r="C244" t="inlineStr">
        <is>
          <t>Recuperatie ecocheques bedienden</t>
        </is>
      </c>
      <c r="D244" t="inlineStr">
        <is>
          <t>Detail</t>
        </is>
      </c>
      <c r="E244" t="n">
        <v>3</v>
      </c>
      <c r="F244" t="n">
        <v>845.67</v>
      </c>
    </row>
    <row r="245">
      <c r="A245" t="inlineStr">
        <is>
          <t>74</t>
        </is>
      </c>
      <c r="B245" t="inlineStr">
        <is>
          <t>743370</t>
        </is>
      </c>
      <c r="C245" t="inlineStr">
        <is>
          <t>Vrijstelling bv: arbeiders</t>
        </is>
      </c>
      <c r="D245" t="inlineStr">
        <is>
          <t>Detail</t>
        </is>
      </c>
      <c r="E245" t="n">
        <v>3</v>
      </c>
      <c r="F245" t="n">
        <v>78.03</v>
      </c>
    </row>
    <row r="246">
      <c r="A246" t="inlineStr">
        <is>
          <t>74</t>
        </is>
      </c>
      <c r="B246" t="inlineStr">
        <is>
          <t>743391</t>
        </is>
      </c>
      <c r="C246" t="inlineStr">
        <is>
          <t>Recuperatie maaltijdcheques</t>
        </is>
      </c>
      <c r="D246" t="inlineStr">
        <is>
          <t>Detail</t>
        </is>
      </c>
      <c r="E246" t="n">
        <v>3</v>
      </c>
      <c r="F246" t="n">
        <v>2944</v>
      </c>
    </row>
    <row r="247">
      <c r="A247" t="inlineStr">
        <is>
          <t>74</t>
        </is>
      </c>
      <c r="B247" t="inlineStr">
        <is>
          <t>744000</t>
        </is>
      </c>
      <c r="C247" t="inlineStr">
        <is>
          <t>Vergoedingen verzekering</t>
        </is>
      </c>
      <c r="D247" t="inlineStr">
        <is>
          <t>Detail</t>
        </is>
      </c>
      <c r="E247" t="n">
        <v>3</v>
      </c>
      <c r="F247" t="n">
        <v>20955.2</v>
      </c>
    </row>
    <row r="248">
      <c r="A248" t="inlineStr">
        <is>
          <t>74</t>
        </is>
      </c>
      <c r="B248" t="inlineStr">
        <is>
          <t>746600</t>
        </is>
      </c>
      <c r="C248" t="inlineStr">
        <is>
          <t>Recuperatie van kosten</t>
        </is>
      </c>
      <c r="D248" t="inlineStr">
        <is>
          <t>Detail</t>
        </is>
      </c>
      <c r="E248" t="n">
        <v>3</v>
      </c>
      <c r="F248" t="n">
        <v>67780.56</v>
      </c>
    </row>
    <row r="249">
      <c r="A249" t="inlineStr">
        <is>
          <t>74</t>
        </is>
      </c>
      <c r="B249" t="inlineStr">
        <is>
          <t>749100</t>
        </is>
      </c>
      <c r="C249" t="inlineStr">
        <is>
          <t>Verhuur UHDnv</t>
        </is>
      </c>
      <c r="D249" t="inlineStr">
        <is>
          <t>Detail</t>
        </is>
      </c>
      <c r="E249" t="n">
        <v>3</v>
      </c>
      <c r="F249" t="n">
        <v>2400</v>
      </c>
    </row>
    <row r="250">
      <c r="A250" t="inlineStr">
        <is>
          <t>74</t>
        </is>
      </c>
      <c r="B250" t="inlineStr">
        <is>
          <t>749150</t>
        </is>
      </c>
      <c r="C250" t="inlineStr">
        <is>
          <t>Doorfact. Nutsvoorz. Fryns</t>
        </is>
      </c>
      <c r="D250" t="inlineStr">
        <is>
          <t>Detail</t>
        </is>
      </c>
      <c r="E250" t="n">
        <v>3</v>
      </c>
      <c r="F250" t="n">
        <v>38757.28</v>
      </c>
    </row>
    <row r="251">
      <c r="A251" t="inlineStr">
        <is>
          <t>75</t>
        </is>
      </c>
      <c r="B251" t="inlineStr">
        <is>
          <t>758200</t>
        </is>
      </c>
      <c r="C251" t="inlineStr">
        <is>
          <t>Voordelige betalingsverschillen</t>
        </is>
      </c>
      <c r="D251" t="inlineStr">
        <is>
          <t>Detail</t>
        </is>
      </c>
      <c r="E251" t="n">
        <v>3</v>
      </c>
      <c r="F251" t="n">
        <v>20.57</v>
      </c>
    </row>
    <row r="252">
      <c r="A252" t="inlineStr">
        <is>
          <t>75</t>
        </is>
      </c>
      <c r="B252" t="inlineStr">
        <is>
          <t>759000</t>
        </is>
      </c>
      <c r="C252" t="inlineStr">
        <is>
          <t>Diverse financiële opbrengsten</t>
        </is>
      </c>
      <c r="D252" t="inlineStr">
        <is>
          <t>Detail</t>
        </is>
      </c>
      <c r="E252" t="n">
        <v>3</v>
      </c>
      <c r="F252" t="n">
        <v>10000</v>
      </c>
    </row>
    <row r="253">
      <c r="A253" t="inlineStr">
        <is>
          <t>76</t>
        </is>
      </c>
      <c r="B253" t="inlineStr">
        <is>
          <t>764000</t>
        </is>
      </c>
      <c r="C253" t="inlineStr">
        <is>
          <t>Andere niet-recurrente bedrijfsopbrengsten</t>
        </is>
      </c>
      <c r="D253" t="inlineStr">
        <is>
          <t>Detail</t>
        </is>
      </c>
      <c r="E253" t="n">
        <v>3</v>
      </c>
      <c r="F253" t="n">
        <v>163.97</v>
      </c>
    </row>
    <row r="254">
      <c r="A254" t="inlineStr">
        <is>
          <t>80</t>
        </is>
      </c>
      <c r="B254" t="inlineStr">
        <is>
          <t>80000</t>
        </is>
      </c>
      <c r="C254" t="inlineStr">
        <is>
          <t>Vergoedingen aan derden</t>
        </is>
      </c>
      <c r="D254" t="inlineStr">
        <is>
          <t>Detail</t>
        </is>
      </c>
      <c r="E254" t="n">
        <v>3</v>
      </c>
      <c r="F254" t="n">
        <v>2.2</v>
      </c>
    </row>
  </sheetData>
  <autoFilter ref="A1:F2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Yves Neven</dc:creator>
  <dc:title>LRM analyse - Template YN</dc:title>
  <dcterms:created xsi:type="dcterms:W3CDTF">2022-09-20T07:04:01Z</dcterms:created>
  <dcterms:modified xsi:type="dcterms:W3CDTF">2025-04-29T09:47:10Z</dcterms:modified>
  <cp:lastModifiedBy>Vincent Grieten</cp:lastModifiedBy>
  <cp:lastPrinted>2023-07-04T10:14:24Z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0x0101003EE74F88CA3F0640A154A47C1844FEE3</vt:lpwstr>
  </property>
</Properties>
</file>