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 Reurslag\School\Msc Thesis\Superstructure_repo\Superstructure_github\"/>
    </mc:Choice>
  </mc:AlternateContent>
  <xr:revisionPtr revIDLastSave="0" documentId="13_ncr:1_{A154D75C-EF81-4558-8E44-700AC9DA735E}" xr6:coauthVersionLast="47" xr6:coauthVersionMax="47" xr10:uidLastSave="{00000000-0000-0000-0000-000000000000}"/>
  <bookViews>
    <workbookView xWindow="16224" yWindow="4476" windowWidth="17280" windowHeight="12204" xr2:uid="{99EBA48C-3474-44E5-9890-B343502D57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" i="1" l="1"/>
  <c r="C96" i="1" s="1"/>
  <c r="C99" i="1" s="1"/>
  <c r="C87" i="1"/>
  <c r="D99" i="1"/>
  <c r="D96" i="1"/>
  <c r="D95" i="1"/>
  <c r="D93" i="1"/>
  <c r="D73" i="1"/>
  <c r="D72" i="1"/>
  <c r="E69" i="1"/>
  <c r="D25" i="1"/>
  <c r="D23" i="1"/>
  <c r="C88" i="1"/>
  <c r="B88" i="1"/>
  <c r="B87" i="1"/>
  <c r="B95" i="1"/>
  <c r="B92" i="1"/>
  <c r="C91" i="1"/>
  <c r="B89" i="1"/>
  <c r="B93" i="1" s="1"/>
  <c r="B96" i="1" s="1"/>
  <c r="B99" i="1" s="1"/>
  <c r="B73" i="1"/>
  <c r="B72" i="1"/>
  <c r="C46" i="1"/>
  <c r="C44" i="1"/>
  <c r="C41" i="1"/>
  <c r="C36" i="1"/>
  <c r="C39" i="1" s="1"/>
  <c r="C11" i="1"/>
  <c r="C23" i="1" s="1"/>
  <c r="C25" i="1" s="1"/>
  <c r="C69" i="1"/>
  <c r="D69" i="1"/>
  <c r="B69" i="1"/>
  <c r="C27" i="1" l="1"/>
  <c r="C47" i="1" s="1"/>
  <c r="C45" i="1"/>
  <c r="C43" i="1"/>
</calcChain>
</file>

<file path=xl/sharedStrings.xml><?xml version="1.0" encoding="utf-8"?>
<sst xmlns="http://schemas.openxmlformats.org/spreadsheetml/2006/main" count="108" uniqueCount="64">
  <si>
    <t>Zhang 2003</t>
  </si>
  <si>
    <t>Oil Feedstock</t>
  </si>
  <si>
    <t>Maintenance, royalties</t>
  </si>
  <si>
    <t>Labor costs</t>
  </si>
  <si>
    <t>Electricity</t>
  </si>
  <si>
    <t>Heating</t>
  </si>
  <si>
    <t>Cooling</t>
  </si>
  <si>
    <t>Subtotal:</t>
  </si>
  <si>
    <t>Waste disposal</t>
  </si>
  <si>
    <t>Indirect costs</t>
  </si>
  <si>
    <t>AIC</t>
  </si>
  <si>
    <t>General expenses</t>
  </si>
  <si>
    <t>Total production costs</t>
  </si>
  <si>
    <t>Glycerol revenu</t>
  </si>
  <si>
    <t>Total manufacturing</t>
  </si>
  <si>
    <t>Biodiesel revenu</t>
  </si>
  <si>
    <t>Profit</t>
  </si>
  <si>
    <t>CSTR superstructure</t>
  </si>
  <si>
    <t>Column1</t>
  </si>
  <si>
    <t>Membrane Superstructure</t>
  </si>
  <si>
    <t>Methanol/catalyst/acid</t>
  </si>
  <si>
    <t>Transesterification</t>
  </si>
  <si>
    <t>Zhang 2020</t>
  </si>
  <si>
    <t>CSTR Superstructure</t>
  </si>
  <si>
    <t>Neutralization</t>
  </si>
  <si>
    <t>Methanol removal</t>
  </si>
  <si>
    <t>Same reactor CSTR</t>
  </si>
  <si>
    <t>More expensive because earlier in process</t>
  </si>
  <si>
    <t>Flash evaporator instead of vaccuum evaporation</t>
  </si>
  <si>
    <t>Glycerol removal</t>
  </si>
  <si>
    <t>Purification</t>
  </si>
  <si>
    <t>Vaccuum flash instead of vaccuum distillation</t>
  </si>
  <si>
    <t>Glycerol purification</t>
  </si>
  <si>
    <t>Total</t>
  </si>
  <si>
    <t>Not present</t>
  </si>
  <si>
    <t>Stirred tank</t>
  </si>
  <si>
    <t>Vaccuum dist</t>
  </si>
  <si>
    <t>Water wash</t>
  </si>
  <si>
    <t>Centrifuge</t>
  </si>
  <si>
    <t>Flash evaporator</t>
  </si>
  <si>
    <t>Vaccuum flash</t>
  </si>
  <si>
    <t>None</t>
  </si>
  <si>
    <t>Phosphoric acid</t>
  </si>
  <si>
    <t>HX heat utility [kW]</t>
  </si>
  <si>
    <t>HX cold utility [kW]</t>
  </si>
  <si>
    <t>Reboiler methanol evap</t>
  </si>
  <si>
    <t>Condensor methanol evap</t>
  </si>
  <si>
    <t>Reboiler purification</t>
  </si>
  <si>
    <t>Condensor purification</t>
  </si>
  <si>
    <t>Electricity [MWh]</t>
  </si>
  <si>
    <t>Neut H3PO4 [kg/h]</t>
  </si>
  <si>
    <t>Ratio (weight basis)</t>
  </si>
  <si>
    <t>TUC</t>
  </si>
  <si>
    <t>RMC</t>
  </si>
  <si>
    <t>WC</t>
  </si>
  <si>
    <t>Biodiesel produced [kg/h]</t>
  </si>
  <si>
    <t>Processing costs</t>
  </si>
  <si>
    <t>$/kg of biodiesel</t>
  </si>
  <si>
    <t>Methanol/catalyst</t>
  </si>
  <si>
    <t>Biodiesel processing costs</t>
  </si>
  <si>
    <t>Membrane</t>
  </si>
  <si>
    <t>Membrane reactor</t>
  </si>
  <si>
    <t>Payback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</si>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</sst>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2" fillId="0" borderId="0" xfId="1" applyNumberFormat="1" applyFont="1"/>
    <xf numFmtId="164" fontId="0" fillId="0" borderId="0" xfId="0" applyNumberFormat="1"/>
    <xf numFmtId="1" fontId="0" fillId="0" borderId="0" xfId="0" applyNumberFormat="1"/>
    <xf numFmtId="20" fontId="0" fillId="0" borderId="0" xfId="0" applyNumberFormat="1"/>
    <xf numFmtId="164" fontId="0" fillId="0" borderId="0" xfId="2" applyNumberFormat="1" applyFont="1"/>
  </cellXfs>
  <cellStyles count="3">
    <cellStyle name="Comma" xfId="2" builtinId="3"/>
    <cellStyle name="Currency" xfId="1" builtinId="4"/>
    <cellStyle name="Normal" xfId="0" builtinId="0"/>
  </cellStyles>
  <dxfs count="20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6EE51-381E-4EF2-AD81-910FD3110F76}" name="Table1" displayName="Table1" ref="A4:D27" totalsRowShown="0" headerRowDxfId="19" dataDxfId="18" headerRowCellStyle="Currency" dataCellStyle="Currency">
  <autoFilter ref="A4:D27" xr:uid="{8422357F-389A-4876-B2BB-2A735284321F}"/>
  <tableColumns count="4">
    <tableColumn id="1" xr3:uid="{65821933-12B8-4FAD-8EDC-DD83ABE70000}" name="Column1" dataDxfId="17" dataCellStyle="Currency"/>
    <tableColumn id="2" xr3:uid="{B5C5FD2E-A451-4420-8ABD-281FD4687587}" name="Zhang 2003" dataDxfId="16" dataCellStyle="Currency"/>
    <tableColumn id="3" xr3:uid="{F2A499ED-1B6B-4569-94FC-827C4BF279F4}" name="CSTR superstructure" dataDxfId="15" dataCellStyle="Currency"/>
    <tableColumn id="4" xr3:uid="{1108631F-72CE-4BCC-8340-93ECBC8141C0}" name="Membrane Superstructure" dataDxfId="14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89AA65-AE98-4950-90B6-2248CE0579C3}" name="Table2" displayName="Table2" ref="A32:D47" totalsRowShown="0" dataDxfId="13" dataCellStyle="Currency">
  <autoFilter ref="A32:D47" xr:uid="{8F2FD46B-3B57-4554-86AD-F1FFA4B7D5B0}"/>
  <tableColumns count="4">
    <tableColumn id="1" xr3:uid="{AF311372-5185-4922-BE5B-6C5CA56E819E}" name="Column1" dataDxfId="12" dataCellStyle="Currency"/>
    <tableColumn id="2" xr3:uid="{28B2AD4A-462D-4DB0-AE7C-5EF5C7DEA880}" name="Zhang 2003" dataDxfId="11" dataCellStyle="Currency"/>
    <tableColumn id="3" xr3:uid="{345F767E-010E-4FA5-AEB6-B2245ED3D0A8}" name="CSTR superstructure" dataDxfId="10" dataCellStyle="Currency"/>
    <tableColumn id="4" xr3:uid="{659E543D-494B-47E7-8C0F-D73BD46D5EF1}" name="Membrane Superstructure" dataDxfId="9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9F65A0-B2D5-4002-A4CF-32BDC2C0957F}" name="Table3" displayName="Table3" ref="A50:E69" totalsRowShown="0">
  <autoFilter ref="A50:E69" xr:uid="{984E41E6-7A18-4258-BE5C-F369580543E8}"/>
  <tableColumns count="5">
    <tableColumn id="1" xr3:uid="{E4644BD2-EFBA-4E3F-99A0-B98318D0740A}" name="Column1" dataDxfId="8"/>
    <tableColumn id="2" xr3:uid="{6C3993AA-109D-4FAD-B944-F76ABDBB0AB8}" name="Zhang 2003" dataDxfId="7"/>
    <tableColumn id="3" xr3:uid="{1F672DE4-7162-4CCB-8340-C03A97CD712D}" name="Zhang 2020" dataDxfId="6"/>
    <tableColumn id="4" xr3:uid="{83E365A7-2533-4C28-A465-4EE6CEFBB551}" name="CSTR Superstructure" dataDxfId="5"/>
    <tableColumn id="5" xr3:uid="{25FEE07B-C27F-49E2-9F7F-51D3283C81DF}" name="Membrane Superstructure" dataDxfId="4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C36CEE-0B47-454D-9878-7D3A07AAA266}" name="Table4" displayName="Table4" ref="A71:D84" totalsRowShown="0">
  <autoFilter ref="A71:D84" xr:uid="{0405F281-61C7-4C69-8771-B9986E7DD1A8}"/>
  <tableColumns count="4">
    <tableColumn id="1" xr3:uid="{97D451DD-3C54-4E06-A9C6-B5F4F4D5AE57}" name="Column1"/>
    <tableColumn id="2" xr3:uid="{2863BB87-E406-4F8E-98C3-1660471E289F}" name="Zhang 2003"/>
    <tableColumn id="3" xr3:uid="{8D3ADBA4-7D40-4703-BDAD-DBCB4BFFDCF0}" name="Stirred tank"/>
    <tableColumn id="4" xr3:uid="{10899891-5D00-4F38-A08A-1990C328CBAE}" name="Membrane reactor" dataDxfId="3">
      <calculatedColumnFormula xml:space="preserve"> 39679/3600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698B8C-CD3F-4937-B1F0-E66CADCC879B}" name="Table5" displayName="Table5" ref="A86:D99" totalsRowShown="0" headerRowDxfId="2">
  <autoFilter ref="A86:D99" xr:uid="{CB76F2DF-381A-4CAF-8DAF-B464D848AB65}"/>
  <tableColumns count="4">
    <tableColumn id="1" xr3:uid="{2E6797BC-2426-46E1-B8B0-40D43E0317E7}" name="Column1"/>
    <tableColumn id="2" xr3:uid="{85D1DA24-CC31-436B-846C-2ABB1E9998D3}" name="Zhang 2003" dataDxfId="1"/>
    <tableColumn id="3" xr3:uid="{56F5195B-B52A-4C7C-BC31-C795883CC94B}" name="Stirred tank" dataDxfId="0"/>
    <tableColumn id="4" xr3:uid="{4CB7A794-9D3B-4F86-B045-C93D9E794481}" name="Membra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F3F7-D747-4D9C-8CFF-669EAFDBC0CB}">
  <dimension ref="A4:G99"/>
  <sheetViews>
    <sheetView tabSelected="1" topLeftCell="A78" zoomScale="117" workbookViewId="0">
      <selection activeCell="D93" sqref="D93"/>
    </sheetView>
  </sheetViews>
  <sheetFormatPr defaultRowHeight="14.4" x14ac:dyDescent="0.3"/>
  <cols>
    <col min="1" max="1" width="23.44140625" bestFit="1" customWidth="1"/>
    <col min="2" max="2" width="15.44140625" customWidth="1"/>
    <col min="3" max="3" width="21.44140625" bestFit="1" customWidth="1"/>
    <col min="4" max="4" width="26.88671875" bestFit="1" customWidth="1"/>
    <col min="5" max="5" width="25.109375" customWidth="1"/>
  </cols>
  <sheetData>
    <row r="4" spans="1:4" x14ac:dyDescent="0.3">
      <c r="A4" s="1" t="s">
        <v>18</v>
      </c>
      <c r="B4" s="1" t="s">
        <v>0</v>
      </c>
      <c r="C4" s="1" t="s">
        <v>17</v>
      </c>
      <c r="D4" s="1" t="s">
        <v>19</v>
      </c>
    </row>
    <row r="5" spans="1:4" x14ac:dyDescent="0.3">
      <c r="A5" s="2" t="s">
        <v>1</v>
      </c>
      <c r="B5" s="2">
        <v>4.2</v>
      </c>
      <c r="C5" s="2">
        <v>9.24</v>
      </c>
      <c r="D5" s="2">
        <v>9.24</v>
      </c>
    </row>
    <row r="6" spans="1:4" x14ac:dyDescent="0.3">
      <c r="A6" s="2" t="s">
        <v>20</v>
      </c>
      <c r="B6" s="2">
        <v>0.49</v>
      </c>
      <c r="C6" s="2">
        <v>0.6</v>
      </c>
      <c r="D6" s="2">
        <v>0.6</v>
      </c>
    </row>
    <row r="7" spans="1:4" x14ac:dyDescent="0.3">
      <c r="A7" s="1"/>
      <c r="B7" s="1"/>
      <c r="C7" s="1"/>
      <c r="D7" s="1"/>
    </row>
    <row r="8" spans="1:4" x14ac:dyDescent="0.3">
      <c r="A8" s="1" t="s">
        <v>5</v>
      </c>
      <c r="B8" s="1">
        <v>0.09</v>
      </c>
      <c r="C8" s="1">
        <v>0.18</v>
      </c>
      <c r="D8" s="1">
        <v>3.6999999999999998E-2</v>
      </c>
    </row>
    <row r="9" spans="1:4" x14ac:dyDescent="0.3">
      <c r="A9" s="1" t="s">
        <v>6</v>
      </c>
      <c r="B9" s="1">
        <v>5.0000000000000001E-3</v>
      </c>
      <c r="C9" s="1">
        <v>0</v>
      </c>
      <c r="D9" s="1">
        <v>0</v>
      </c>
    </row>
    <row r="10" spans="1:4" x14ac:dyDescent="0.3">
      <c r="A10" s="1" t="s">
        <v>4</v>
      </c>
      <c r="B10" s="1">
        <v>0.02</v>
      </c>
      <c r="C10" s="1">
        <v>5.3999999999999999E-2</v>
      </c>
      <c r="D10" s="1">
        <v>0.03</v>
      </c>
    </row>
    <row r="11" spans="1:4" x14ac:dyDescent="0.3">
      <c r="A11" s="2" t="s">
        <v>7</v>
      </c>
      <c r="B11" s="2">
        <v>0.115</v>
      </c>
      <c r="C11" s="2">
        <f>SUM(C8:C10)</f>
        <v>0.23399999999999999</v>
      </c>
      <c r="D11" s="2">
        <v>6.5000000000000002E-2</v>
      </c>
    </row>
    <row r="12" spans="1:4" x14ac:dyDescent="0.3">
      <c r="A12" s="1"/>
      <c r="B12" s="1"/>
      <c r="C12" s="1"/>
      <c r="D12" s="1"/>
    </row>
    <row r="13" spans="1:4" x14ac:dyDescent="0.3">
      <c r="A13" s="1" t="s">
        <v>3</v>
      </c>
      <c r="B13" s="1">
        <v>0.67</v>
      </c>
      <c r="C13" s="1">
        <v>0.01</v>
      </c>
      <c r="D13" s="1">
        <v>0.01</v>
      </c>
    </row>
    <row r="14" spans="1:4" x14ac:dyDescent="0.3">
      <c r="A14" s="1" t="s">
        <v>2</v>
      </c>
      <c r="B14" s="1">
        <v>0.37</v>
      </c>
      <c r="C14" s="1">
        <v>0</v>
      </c>
      <c r="D14" s="1">
        <v>0</v>
      </c>
    </row>
    <row r="15" spans="1:4" x14ac:dyDescent="0.3">
      <c r="A15" s="1" t="s">
        <v>8</v>
      </c>
      <c r="B15" s="1">
        <v>1.2999999999999999E-2</v>
      </c>
      <c r="C15" s="1">
        <v>0</v>
      </c>
      <c r="D15" s="1">
        <v>0</v>
      </c>
    </row>
    <row r="16" spans="1:4" x14ac:dyDescent="0.3">
      <c r="A16" s="1"/>
      <c r="B16" s="1"/>
      <c r="C16" s="1"/>
      <c r="D16" s="1"/>
    </row>
    <row r="17" spans="1:4" x14ac:dyDescent="0.3">
      <c r="A17" s="1" t="s">
        <v>9</v>
      </c>
      <c r="B17" s="1">
        <v>0.46</v>
      </c>
      <c r="C17" s="1">
        <v>0</v>
      </c>
      <c r="D17" s="1">
        <v>0</v>
      </c>
    </row>
    <row r="18" spans="1:4" x14ac:dyDescent="0.3">
      <c r="A18" s="1"/>
      <c r="B18" s="1"/>
      <c r="C18" s="1"/>
      <c r="D18" s="1"/>
    </row>
    <row r="19" spans="1:4" x14ac:dyDescent="0.3">
      <c r="A19" s="2" t="s">
        <v>10</v>
      </c>
      <c r="B19" s="2">
        <v>0.12</v>
      </c>
      <c r="C19" s="2">
        <v>0.63</v>
      </c>
      <c r="D19" s="2">
        <v>0.46</v>
      </c>
    </row>
    <row r="20" spans="1:4" x14ac:dyDescent="0.3">
      <c r="A20" s="1"/>
      <c r="B20" s="1"/>
      <c r="C20" s="1"/>
      <c r="D20" s="1"/>
    </row>
    <row r="21" spans="1:4" x14ac:dyDescent="0.3">
      <c r="A21" s="1" t="s">
        <v>11</v>
      </c>
      <c r="B21" s="1">
        <v>1.1399999999999999</v>
      </c>
      <c r="C21" s="1">
        <v>0</v>
      </c>
      <c r="D21" s="1">
        <v>0</v>
      </c>
    </row>
    <row r="22" spans="1:4" x14ac:dyDescent="0.3">
      <c r="A22" s="1"/>
      <c r="B22" s="1"/>
      <c r="C22" s="1"/>
      <c r="D22" s="1"/>
    </row>
    <row r="23" spans="1:4" x14ac:dyDescent="0.3">
      <c r="A23" s="2" t="s">
        <v>12</v>
      </c>
      <c r="B23" s="2">
        <v>7.59</v>
      </c>
      <c r="C23" s="2">
        <f>SUM(C5,C6,C11,C13,C19)</f>
        <v>10.714</v>
      </c>
      <c r="D23" s="2">
        <f xml:space="preserve"> SUM(D5:D6,D11,D13,D19)</f>
        <v>10.375</v>
      </c>
    </row>
    <row r="24" spans="1:4" x14ac:dyDescent="0.3">
      <c r="A24" s="1" t="s">
        <v>13</v>
      </c>
      <c r="B24" s="1">
        <v>0.73</v>
      </c>
      <c r="C24" s="1">
        <v>1.06</v>
      </c>
      <c r="D24" s="1">
        <v>0.42</v>
      </c>
    </row>
    <row r="25" spans="1:4" x14ac:dyDescent="0.3">
      <c r="A25" s="1" t="s">
        <v>14</v>
      </c>
      <c r="B25" s="1">
        <v>6.86</v>
      </c>
      <c r="C25" s="1">
        <f>C23-C24</f>
        <v>9.6539999999999999</v>
      </c>
      <c r="D25" s="1">
        <f xml:space="preserve"> D23 - D24</f>
        <v>9.9550000000000001</v>
      </c>
    </row>
    <row r="26" spans="1:4" x14ac:dyDescent="0.3">
      <c r="A26" s="1" t="s">
        <v>15</v>
      </c>
      <c r="B26" s="1">
        <v>4.8</v>
      </c>
      <c r="C26" s="1">
        <v>11.9</v>
      </c>
      <c r="D26" s="1">
        <v>6.71</v>
      </c>
    </row>
    <row r="27" spans="1:4" x14ac:dyDescent="0.3">
      <c r="A27" s="2" t="s">
        <v>16</v>
      </c>
      <c r="B27" s="2">
        <v>-2.06</v>
      </c>
      <c r="C27" s="2">
        <f>C26-C25</f>
        <v>2.2460000000000004</v>
      </c>
      <c r="D27" s="2">
        <v>-3.63</v>
      </c>
    </row>
    <row r="32" spans="1:4" x14ac:dyDescent="0.3">
      <c r="A32" t="s">
        <v>18</v>
      </c>
      <c r="B32" t="s">
        <v>0</v>
      </c>
      <c r="C32" t="s">
        <v>17</v>
      </c>
      <c r="D32" t="s">
        <v>19</v>
      </c>
    </row>
    <row r="33" spans="1:4" x14ac:dyDescent="0.3">
      <c r="A33" s="1" t="s">
        <v>1</v>
      </c>
      <c r="B33" s="1">
        <v>4.2</v>
      </c>
      <c r="C33" s="1">
        <v>9.24</v>
      </c>
      <c r="D33" s="1">
        <v>9.24</v>
      </c>
    </row>
    <row r="34" spans="1:4" x14ac:dyDescent="0.3">
      <c r="A34" s="1" t="s">
        <v>20</v>
      </c>
      <c r="B34" s="1">
        <v>0.49</v>
      </c>
      <c r="C34" s="1">
        <v>0.6</v>
      </c>
      <c r="D34" s="1">
        <v>0.6</v>
      </c>
    </row>
    <row r="35" spans="1:4" x14ac:dyDescent="0.3">
      <c r="A35" s="1"/>
      <c r="B35" s="1"/>
      <c r="C35" s="1"/>
      <c r="D35" s="1"/>
    </row>
    <row r="36" spans="1:4" x14ac:dyDescent="0.3">
      <c r="A36" s="1" t="s">
        <v>5</v>
      </c>
      <c r="B36" s="1">
        <v>0.09</v>
      </c>
      <c r="C36" s="1">
        <f>C8</f>
        <v>0.18</v>
      </c>
      <c r="D36" s="1">
        <v>3.6999999999999998E-2</v>
      </c>
    </row>
    <row r="37" spans="1:4" x14ac:dyDescent="0.3">
      <c r="A37" s="1" t="s">
        <v>6</v>
      </c>
      <c r="B37" s="1">
        <v>5.0000000000000001E-3</v>
      </c>
      <c r="C37" s="1">
        <v>0</v>
      </c>
      <c r="D37" s="1">
        <v>0</v>
      </c>
    </row>
    <row r="38" spans="1:4" x14ac:dyDescent="0.3">
      <c r="A38" s="1" t="s">
        <v>4</v>
      </c>
      <c r="B38" s="1">
        <v>0.02</v>
      </c>
      <c r="C38" s="1">
        <v>5.3999999999999999E-2</v>
      </c>
      <c r="D38" s="1">
        <v>0.03</v>
      </c>
    </row>
    <row r="39" spans="1:4" x14ac:dyDescent="0.3">
      <c r="A39" s="2" t="s">
        <v>7</v>
      </c>
      <c r="B39" s="2">
        <v>0.115</v>
      </c>
      <c r="C39" s="2">
        <f>SUM(C36:C38)</f>
        <v>0.23399999999999999</v>
      </c>
      <c r="D39" s="2">
        <v>6.5000000000000002E-2</v>
      </c>
    </row>
    <row r="40" spans="1:4" x14ac:dyDescent="0.3">
      <c r="A40" s="1"/>
      <c r="B40" s="1"/>
      <c r="C40" s="1"/>
      <c r="D40" s="1"/>
    </row>
    <row r="41" spans="1:4" x14ac:dyDescent="0.3">
      <c r="A41" s="2" t="s">
        <v>10</v>
      </c>
      <c r="B41" s="2">
        <v>0.12</v>
      </c>
      <c r="C41" s="2">
        <f>C19</f>
        <v>0.63</v>
      </c>
      <c r="D41" s="2">
        <v>0.46</v>
      </c>
    </row>
    <row r="42" spans="1:4" x14ac:dyDescent="0.3">
      <c r="A42" s="1"/>
      <c r="B42" s="1"/>
      <c r="C42" s="1"/>
      <c r="D42" s="1"/>
    </row>
    <row r="43" spans="1:4" x14ac:dyDescent="0.3">
      <c r="A43" s="2" t="s">
        <v>12</v>
      </c>
      <c r="B43" s="2">
        <v>4.8049999999999997</v>
      </c>
      <c r="C43" s="2">
        <f>C23</f>
        <v>10.714</v>
      </c>
      <c r="D43" s="2">
        <v>10.38</v>
      </c>
    </row>
    <row r="44" spans="1:4" x14ac:dyDescent="0.3">
      <c r="A44" s="1" t="s">
        <v>13</v>
      </c>
      <c r="B44" s="1">
        <v>0.73</v>
      </c>
      <c r="C44" s="1">
        <f>C24</f>
        <v>1.06</v>
      </c>
      <c r="D44" s="1">
        <v>0.42</v>
      </c>
    </row>
    <row r="45" spans="1:4" x14ac:dyDescent="0.3">
      <c r="A45" s="1" t="s">
        <v>14</v>
      </c>
      <c r="B45" s="1">
        <v>4.08</v>
      </c>
      <c r="C45" s="1">
        <f>C25</f>
        <v>9.6539999999999999</v>
      </c>
      <c r="D45" s="1">
        <v>9.9600000000000009</v>
      </c>
    </row>
    <row r="46" spans="1:4" x14ac:dyDescent="0.3">
      <c r="A46" s="1" t="s">
        <v>15</v>
      </c>
      <c r="B46" s="1">
        <v>4.8</v>
      </c>
      <c r="C46" s="1">
        <f>C26</f>
        <v>11.9</v>
      </c>
      <c r="D46" s="1">
        <v>6.71</v>
      </c>
    </row>
    <row r="47" spans="1:4" x14ac:dyDescent="0.3">
      <c r="A47" s="2" t="s">
        <v>16</v>
      </c>
      <c r="B47" s="2">
        <v>0.73</v>
      </c>
      <c r="C47" s="2">
        <f>C27</f>
        <v>2.2460000000000004</v>
      </c>
      <c r="D47" s="2">
        <v>-3.63</v>
      </c>
    </row>
    <row r="50" spans="1:7" x14ac:dyDescent="0.3">
      <c r="A50" t="s">
        <v>18</v>
      </c>
      <c r="B50" t="s">
        <v>0</v>
      </c>
      <c r="C50" t="s">
        <v>22</v>
      </c>
      <c r="D50" t="s">
        <v>23</v>
      </c>
      <c r="E50" t="s">
        <v>19</v>
      </c>
    </row>
    <row r="51" spans="1:7" x14ac:dyDescent="0.3">
      <c r="A51" s="3"/>
      <c r="B51" s="3" t="s">
        <v>35</v>
      </c>
      <c r="C51" s="3" t="s">
        <v>35</v>
      </c>
      <c r="D51" s="3" t="s">
        <v>35</v>
      </c>
      <c r="E51" s="6" t="s">
        <v>60</v>
      </c>
      <c r="G51" t="s">
        <v>26</v>
      </c>
    </row>
    <row r="52" spans="1:7" x14ac:dyDescent="0.3">
      <c r="A52" s="3" t="s">
        <v>21</v>
      </c>
      <c r="B52" s="3">
        <v>290</v>
      </c>
      <c r="C52" s="3">
        <v>447</v>
      </c>
      <c r="D52" s="3">
        <v>447</v>
      </c>
      <c r="E52" s="6">
        <v>350</v>
      </c>
      <c r="G52" t="s">
        <v>27</v>
      </c>
    </row>
    <row r="53" spans="1:7" x14ac:dyDescent="0.3">
      <c r="A53" s="3"/>
      <c r="B53" s="3"/>
      <c r="C53" s="3"/>
      <c r="D53" s="3"/>
      <c r="E53" s="6"/>
    </row>
    <row r="54" spans="1:7" x14ac:dyDescent="0.3">
      <c r="A54" s="3"/>
      <c r="B54" s="3" t="s">
        <v>42</v>
      </c>
      <c r="C54" s="3" t="s">
        <v>42</v>
      </c>
      <c r="D54" s="3" t="s">
        <v>42</v>
      </c>
      <c r="E54" s="6" t="s">
        <v>42</v>
      </c>
      <c r="G54" t="s">
        <v>28</v>
      </c>
    </row>
    <row r="55" spans="1:7" x14ac:dyDescent="0.3">
      <c r="A55" s="3" t="s">
        <v>24</v>
      </c>
      <c r="B55" s="3">
        <v>21</v>
      </c>
      <c r="C55" s="3">
        <v>32</v>
      </c>
      <c r="D55" s="3">
        <v>107</v>
      </c>
      <c r="E55" s="6">
        <v>71</v>
      </c>
    </row>
    <row r="56" spans="1:7" x14ac:dyDescent="0.3">
      <c r="A56" s="3"/>
      <c r="B56" s="3"/>
      <c r="C56" s="3"/>
      <c r="D56" s="3"/>
      <c r="E56" s="6"/>
    </row>
    <row r="57" spans="1:7" x14ac:dyDescent="0.3">
      <c r="A57" s="3"/>
      <c r="B57" s="3" t="s">
        <v>36</v>
      </c>
      <c r="C57" s="3" t="s">
        <v>36</v>
      </c>
      <c r="D57" s="3" t="s">
        <v>39</v>
      </c>
      <c r="E57" s="6" t="s">
        <v>39</v>
      </c>
      <c r="G57" t="s">
        <v>31</v>
      </c>
    </row>
    <row r="58" spans="1:7" x14ac:dyDescent="0.3">
      <c r="A58" s="3" t="s">
        <v>25</v>
      </c>
      <c r="B58" s="3">
        <v>140</v>
      </c>
      <c r="C58" s="3">
        <v>215</v>
      </c>
      <c r="D58" s="3">
        <v>10</v>
      </c>
      <c r="E58" s="6">
        <v>8</v>
      </c>
    </row>
    <row r="59" spans="1:7" x14ac:dyDescent="0.3">
      <c r="A59" s="3"/>
      <c r="B59" s="3"/>
      <c r="C59" s="3"/>
      <c r="D59" s="3"/>
      <c r="E59" s="6"/>
      <c r="G59" t="s">
        <v>34</v>
      </c>
    </row>
    <row r="60" spans="1:7" x14ac:dyDescent="0.3">
      <c r="A60" s="3"/>
      <c r="B60" s="3" t="s">
        <v>37</v>
      </c>
      <c r="C60" s="3" t="s">
        <v>37</v>
      </c>
      <c r="D60" s="3" t="s">
        <v>38</v>
      </c>
      <c r="E60" s="6" t="s">
        <v>38</v>
      </c>
    </row>
    <row r="61" spans="1:7" x14ac:dyDescent="0.3">
      <c r="A61" s="3" t="s">
        <v>29</v>
      </c>
      <c r="B61" s="3">
        <v>100</v>
      </c>
      <c r="C61" s="3">
        <v>154</v>
      </c>
      <c r="D61" s="3">
        <v>190</v>
      </c>
      <c r="E61" s="6">
        <v>131</v>
      </c>
    </row>
    <row r="62" spans="1:7" x14ac:dyDescent="0.3">
      <c r="A62" s="3"/>
      <c r="B62" s="3"/>
      <c r="C62" s="3"/>
      <c r="D62" s="3"/>
      <c r="E62" s="6"/>
    </row>
    <row r="63" spans="1:7" x14ac:dyDescent="0.3">
      <c r="A63" s="3"/>
      <c r="B63" s="3" t="s">
        <v>36</v>
      </c>
      <c r="C63" s="3" t="s">
        <v>36</v>
      </c>
      <c r="D63" s="3" t="s">
        <v>40</v>
      </c>
      <c r="E63" s="6" t="s">
        <v>40</v>
      </c>
    </row>
    <row r="64" spans="1:7" x14ac:dyDescent="0.3">
      <c r="A64" s="3" t="s">
        <v>30</v>
      </c>
      <c r="B64" s="3">
        <v>157</v>
      </c>
      <c r="C64" s="3">
        <v>242</v>
      </c>
      <c r="D64" s="3">
        <v>82</v>
      </c>
      <c r="E64" s="6">
        <v>54</v>
      </c>
    </row>
    <row r="65" spans="1:5" x14ac:dyDescent="0.3">
      <c r="A65" s="3"/>
      <c r="B65" s="3"/>
      <c r="C65" s="3"/>
      <c r="D65" s="3"/>
      <c r="E65" s="6"/>
    </row>
    <row r="66" spans="1:5" x14ac:dyDescent="0.3">
      <c r="A66" s="3"/>
      <c r="B66" s="3" t="s">
        <v>41</v>
      </c>
      <c r="C66" s="3" t="s">
        <v>41</v>
      </c>
      <c r="D66" s="3" t="s">
        <v>40</v>
      </c>
      <c r="E66" s="6" t="s">
        <v>40</v>
      </c>
    </row>
    <row r="67" spans="1:5" x14ac:dyDescent="0.3">
      <c r="A67" s="3" t="s">
        <v>32</v>
      </c>
      <c r="B67" s="3">
        <v>0</v>
      </c>
      <c r="C67" s="3">
        <v>0</v>
      </c>
      <c r="D67" s="3">
        <v>32</v>
      </c>
      <c r="E67" s="6">
        <v>16</v>
      </c>
    </row>
    <row r="68" spans="1:5" x14ac:dyDescent="0.3">
      <c r="A68" s="3"/>
      <c r="B68" s="3"/>
      <c r="C68" s="3"/>
      <c r="D68" s="3"/>
      <c r="E68" s="6"/>
    </row>
    <row r="69" spans="1:5" x14ac:dyDescent="0.3">
      <c r="A69" s="3" t="s">
        <v>33</v>
      </c>
      <c r="B69" s="3">
        <f>SUM(B52:B67)</f>
        <v>708</v>
      </c>
      <c r="C69" s="3">
        <f>SUM(C52:C67)</f>
        <v>1090</v>
      </c>
      <c r="D69" s="3">
        <f>SUM(D52:D67)</f>
        <v>868</v>
      </c>
      <c r="E69" s="6">
        <f xml:space="preserve"> SUM(E52,E55,E58,E61,E64,E67)</f>
        <v>630</v>
      </c>
    </row>
    <row r="71" spans="1:5" x14ac:dyDescent="0.3">
      <c r="A71" t="s">
        <v>18</v>
      </c>
      <c r="B71" t="s">
        <v>0</v>
      </c>
      <c r="C71" t="s">
        <v>35</v>
      </c>
      <c r="D71" t="s">
        <v>61</v>
      </c>
    </row>
    <row r="72" spans="1:5" x14ac:dyDescent="0.3">
      <c r="A72" t="s">
        <v>43</v>
      </c>
      <c r="B72" s="4">
        <f xml:space="preserve"> 67167 / 3600</f>
        <v>18.657499999999999</v>
      </c>
      <c r="C72">
        <v>17</v>
      </c>
      <c r="D72" s="4">
        <f t="shared" ref="D72" si="0" xml:space="preserve"> 39679/3600</f>
        <v>11.021944444444445</v>
      </c>
    </row>
    <row r="73" spans="1:5" x14ac:dyDescent="0.3">
      <c r="A73" t="s">
        <v>44</v>
      </c>
      <c r="B73" s="4">
        <f>164400 / 3600</f>
        <v>45.666666666666664</v>
      </c>
      <c r="C73">
        <v>33</v>
      </c>
      <c r="D73" s="4">
        <f xml:space="preserve"> 61972/3600</f>
        <v>17.214444444444446</v>
      </c>
    </row>
    <row r="75" spans="1:5" x14ac:dyDescent="0.3">
      <c r="A75" t="s">
        <v>45</v>
      </c>
      <c r="B75">
        <v>139</v>
      </c>
      <c r="C75">
        <v>156</v>
      </c>
      <c r="D75">
        <v>115</v>
      </c>
    </row>
    <row r="76" spans="1:5" x14ac:dyDescent="0.3">
      <c r="A76" t="s">
        <v>46</v>
      </c>
      <c r="B76">
        <v>111</v>
      </c>
      <c r="C76">
        <v>0</v>
      </c>
      <c r="D76">
        <v>0</v>
      </c>
    </row>
    <row r="78" spans="1:5" x14ac:dyDescent="0.3">
      <c r="A78" t="s">
        <v>47</v>
      </c>
      <c r="B78">
        <v>472</v>
      </c>
      <c r="C78">
        <v>462</v>
      </c>
      <c r="D78">
        <v>63</v>
      </c>
    </row>
    <row r="79" spans="1:5" x14ac:dyDescent="0.3">
      <c r="A79" t="s">
        <v>48</v>
      </c>
      <c r="B79">
        <v>361</v>
      </c>
      <c r="C79">
        <v>0</v>
      </c>
      <c r="D79">
        <v>0</v>
      </c>
    </row>
    <row r="81" spans="1:5" x14ac:dyDescent="0.3">
      <c r="A81" t="s">
        <v>49</v>
      </c>
      <c r="B81">
        <v>323</v>
      </c>
      <c r="C81">
        <v>1077</v>
      </c>
      <c r="D81">
        <v>600</v>
      </c>
    </row>
    <row r="83" spans="1:5" x14ac:dyDescent="0.3">
      <c r="A83" t="s">
        <v>50</v>
      </c>
      <c r="B83">
        <v>8</v>
      </c>
      <c r="C83">
        <v>8</v>
      </c>
      <c r="D83">
        <v>8</v>
      </c>
    </row>
    <row r="84" spans="1:5" x14ac:dyDescent="0.3">
      <c r="A84" t="s">
        <v>51</v>
      </c>
      <c r="B84" s="5">
        <v>4.2361111111111106E-2</v>
      </c>
      <c r="C84" s="5">
        <v>4.2361111111111106E-2</v>
      </c>
      <c r="D84" s="5">
        <v>4.2361111111111106E-2</v>
      </c>
    </row>
    <row r="86" spans="1:5" x14ac:dyDescent="0.3">
      <c r="A86" s="3" t="s">
        <v>18</v>
      </c>
      <c r="B86" s="3" t="s">
        <v>0</v>
      </c>
      <c r="C86" s="3" t="s">
        <v>35</v>
      </c>
      <c r="D86" s="3" t="s">
        <v>60</v>
      </c>
      <c r="E86">
        <v>0.73</v>
      </c>
    </row>
    <row r="87" spans="1:5" x14ac:dyDescent="0.3">
      <c r="A87" t="s">
        <v>1</v>
      </c>
      <c r="B87" s="3">
        <f>C5 * 1000</f>
        <v>9240</v>
      </c>
      <c r="C87" s="3">
        <f>D5 * 1000</f>
        <v>9240</v>
      </c>
      <c r="D87" s="3">
        <v>9240</v>
      </c>
    </row>
    <row r="88" spans="1:5" x14ac:dyDescent="0.3">
      <c r="A88" t="s">
        <v>58</v>
      </c>
      <c r="B88" s="3">
        <f>C6 *1000</f>
        <v>600</v>
      </c>
      <c r="C88" s="3">
        <f>D6 *1000</f>
        <v>600</v>
      </c>
      <c r="D88" s="3">
        <v>600</v>
      </c>
    </row>
    <row r="89" spans="1:5" x14ac:dyDescent="0.3">
      <c r="A89" s="3" t="s">
        <v>10</v>
      </c>
      <c r="B89" s="3">
        <f>C69*$E$86</f>
        <v>795.69999999999993</v>
      </c>
      <c r="C89" s="3">
        <v>608</v>
      </c>
      <c r="D89" s="3">
        <v>460</v>
      </c>
    </row>
    <row r="90" spans="1:5" x14ac:dyDescent="0.3">
      <c r="A90" s="3" t="s">
        <v>52</v>
      </c>
      <c r="B90" s="3">
        <v>129</v>
      </c>
      <c r="C90" s="3">
        <v>181</v>
      </c>
      <c r="D90" s="3">
        <v>62</v>
      </c>
    </row>
    <row r="91" spans="1:5" x14ac:dyDescent="0.3">
      <c r="A91" s="3" t="s">
        <v>53</v>
      </c>
      <c r="B91" s="3">
        <v>52</v>
      </c>
      <c r="C91" s="3">
        <f xml:space="preserve"> 52</f>
        <v>52</v>
      </c>
      <c r="D91" s="3">
        <v>52</v>
      </c>
    </row>
    <row r="92" spans="1:5" x14ac:dyDescent="0.3">
      <c r="A92" s="3" t="s">
        <v>54</v>
      </c>
      <c r="B92" s="3">
        <f>B15*1000</f>
        <v>13</v>
      </c>
      <c r="C92" s="3">
        <v>0</v>
      </c>
      <c r="D92" s="3">
        <v>0</v>
      </c>
      <c r="E92" t="s">
        <v>62</v>
      </c>
    </row>
    <row r="93" spans="1:5" x14ac:dyDescent="0.3">
      <c r="A93" s="3" t="s">
        <v>56</v>
      </c>
      <c r="B93" s="3">
        <f>SUM(B87:B92)</f>
        <v>10829.7</v>
      </c>
      <c r="C93" s="3">
        <f>SUM(C87:C92)</f>
        <v>10681</v>
      </c>
      <c r="D93" s="3">
        <f>SUM(D87:D92)</f>
        <v>10414</v>
      </c>
      <c r="E93" t="s">
        <v>63</v>
      </c>
    </row>
    <row r="94" spans="1:5" x14ac:dyDescent="0.3">
      <c r="A94" s="3"/>
      <c r="B94" s="3"/>
      <c r="C94" s="3"/>
      <c r="D94" s="3"/>
    </row>
    <row r="95" spans="1:5" x14ac:dyDescent="0.3">
      <c r="A95" s="3" t="s">
        <v>13</v>
      </c>
      <c r="B95" s="3">
        <f>B24 * 1000</f>
        <v>730</v>
      </c>
      <c r="C95" s="3">
        <v>737</v>
      </c>
      <c r="D95" s="3">
        <f>D44 * 1000</f>
        <v>420</v>
      </c>
    </row>
    <row r="96" spans="1:5" x14ac:dyDescent="0.3">
      <c r="A96" s="3" t="s">
        <v>59</v>
      </c>
      <c r="B96" s="3">
        <f>B93-B95</f>
        <v>10099.700000000001</v>
      </c>
      <c r="C96" s="3">
        <f>C93-C95</f>
        <v>9944</v>
      </c>
      <c r="D96" s="3">
        <f>D93-D95</f>
        <v>9994</v>
      </c>
    </row>
    <row r="97" spans="1:4" x14ac:dyDescent="0.3">
      <c r="D97" s="3"/>
    </row>
    <row r="98" spans="1:4" x14ac:dyDescent="0.3">
      <c r="A98" t="s">
        <v>55</v>
      </c>
      <c r="B98">
        <v>1000</v>
      </c>
      <c r="C98">
        <v>997</v>
      </c>
      <c r="D98">
        <v>530</v>
      </c>
    </row>
    <row r="99" spans="1:4" x14ac:dyDescent="0.3">
      <c r="A99" t="s">
        <v>57</v>
      </c>
      <c r="B99" s="3">
        <f>B96  * 1000/ (B98 * 8000)</f>
        <v>1.2624625</v>
      </c>
      <c r="C99" s="3">
        <f>C96  * 1000/ (C98 * 8000)</f>
        <v>1.246740220661986</v>
      </c>
      <c r="D99" s="3">
        <f>D96  * 1000/ (D98 * 8000)</f>
        <v>2.357075471698113</v>
      </c>
    </row>
  </sheetData>
  <pageMargins left="0.7" right="0.7" top="0.75" bottom="0.75" header="0.3" footer="0.3"/>
  <pageSetup paperSize="9" orientation="portrait" horizontalDpi="4294967293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Reurslag</dc:creator>
  <cp:lastModifiedBy>Vincent Reurslag</cp:lastModifiedBy>
  <dcterms:created xsi:type="dcterms:W3CDTF">2021-06-26T10:46:52Z</dcterms:created>
  <dcterms:modified xsi:type="dcterms:W3CDTF">2021-07-21T12:08:35Z</dcterms:modified>
</cp:coreProperties>
</file>