
<file path=[Content_Types].xml><?xml version="1.0" encoding="utf-8"?>
<Types xmlns="http://schemas.openxmlformats.org/package/2006/content-types">
  <Default Extension="bin" ContentType="application/vnd.openxmlformats-officedocument.oleObject"/>
  <Override PartName="/xl/printerSettings/printerSettings1.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9525"/>
  </bookViews>
  <sheets>
    <sheet name="Feuil1" sheetId="1" r:id="rId1"/>
    <sheet name="Feuil5" sheetId="5" r:id="rId2"/>
    <sheet name="tp4" sheetId="4" r:id="rId3"/>
  </sheets>
  <calcPr calcId="125725"/>
</workbook>
</file>

<file path=xl/calcChain.xml><?xml version="1.0" encoding="utf-8"?>
<calcChain xmlns="http://schemas.openxmlformats.org/spreadsheetml/2006/main">
  <c r="M34" i="1"/>
  <c r="M36" s="1"/>
  <c r="G35" s="1"/>
  <c r="H35" s="1"/>
  <c r="I35" s="1"/>
  <c r="J35" s="1"/>
  <c r="M26"/>
  <c r="M28" s="1"/>
  <c r="G27" s="1"/>
  <c r="H27" s="1"/>
  <c r="I27" s="1"/>
  <c r="J27" s="1"/>
  <c r="M18"/>
  <c r="C36"/>
  <c r="C28"/>
  <c r="C20"/>
  <c r="E20"/>
  <c r="F20" s="1"/>
  <c r="G20" s="1"/>
  <c r="O3"/>
  <c r="N8"/>
  <c r="O8" s="1"/>
  <c r="O9"/>
  <c r="O4"/>
  <c r="F37" s="1"/>
  <c r="O14"/>
  <c r="N14" s="1"/>
  <c r="M9"/>
  <c r="N9" s="1"/>
  <c r="M8"/>
  <c r="D2" i="4"/>
  <c r="E2" s="1"/>
  <c r="F2"/>
  <c r="G2"/>
  <c r="I2"/>
  <c r="D3"/>
  <c r="D4" s="1"/>
  <c r="F3"/>
  <c r="G3" s="1"/>
  <c r="H3"/>
  <c r="J3" s="1"/>
  <c r="I3"/>
  <c r="F4"/>
  <c r="G4" s="1"/>
  <c r="I4"/>
  <c r="F5"/>
  <c r="F6" s="1"/>
  <c r="I5"/>
  <c r="I6"/>
  <c r="H7"/>
  <c r="J7" s="1"/>
  <c r="I7"/>
  <c r="I8"/>
  <c r="I9"/>
  <c r="I10"/>
  <c r="H11"/>
  <c r="J11" s="1"/>
  <c r="I11"/>
  <c r="I12"/>
  <c r="I13"/>
  <c r="C14"/>
  <c r="H4" s="1"/>
  <c r="J4" s="1"/>
  <c r="P60"/>
  <c r="P67" s="1"/>
  <c r="P69" s="1"/>
  <c r="F21" i="1" l="1"/>
  <c r="L34"/>
  <c r="N4"/>
  <c r="F29"/>
  <c r="B37"/>
  <c r="H20"/>
  <c r="F7" i="4"/>
  <c r="D5"/>
  <c r="E4"/>
  <c r="H10"/>
  <c r="J10" s="1"/>
  <c r="H6"/>
  <c r="J6" s="1"/>
  <c r="G5"/>
  <c r="E3"/>
  <c r="H2"/>
  <c r="J2" s="1"/>
  <c r="H13"/>
  <c r="J13" s="1"/>
  <c r="H9"/>
  <c r="J9" s="1"/>
  <c r="H5"/>
  <c r="J5" s="1"/>
  <c r="H12"/>
  <c r="J12" s="1"/>
  <c r="H8"/>
  <c r="J8" s="1"/>
  <c r="I20" i="1" l="1"/>
  <c r="J20" s="1"/>
  <c r="M20" s="1"/>
  <c r="G19" s="1"/>
  <c r="H19" s="1"/>
  <c r="I19" s="1"/>
  <c r="J19" s="1"/>
  <c r="L35"/>
  <c r="C38" s="1"/>
  <c r="F35"/>
  <c r="L26"/>
  <c r="M27"/>
  <c r="G30" s="1"/>
  <c r="M35"/>
  <c r="G38" s="1"/>
  <c r="M19"/>
  <c r="G22" s="1"/>
  <c r="B29"/>
  <c r="E5" i="4"/>
  <c r="D6"/>
  <c r="F8"/>
  <c r="C37" i="1" l="1"/>
  <c r="D38"/>
  <c r="F27"/>
  <c r="L27"/>
  <c r="C30" s="1"/>
  <c r="E31"/>
  <c r="G29"/>
  <c r="H30"/>
  <c r="G37"/>
  <c r="E39"/>
  <c r="H38"/>
  <c r="G21"/>
  <c r="E23"/>
  <c r="H22"/>
  <c r="E6" i="4"/>
  <c r="D7"/>
  <c r="G6"/>
  <c r="F9"/>
  <c r="F39" i="1" l="1"/>
  <c r="H37"/>
  <c r="I38"/>
  <c r="I22"/>
  <c r="F23"/>
  <c r="H21"/>
  <c r="I21" s="1"/>
  <c r="D37"/>
  <c r="E38"/>
  <c r="F31"/>
  <c r="I30"/>
  <c r="H29"/>
  <c r="C29"/>
  <c r="D30"/>
  <c r="D8" i="4"/>
  <c r="E7"/>
  <c r="G7"/>
  <c r="F10"/>
  <c r="D29" i="1" l="1"/>
  <c r="E30"/>
  <c r="G31"/>
  <c r="I29"/>
  <c r="J30"/>
  <c r="H31" s="1"/>
  <c r="I31" s="1"/>
  <c r="J31" s="1"/>
  <c r="J38"/>
  <c r="H39" s="1"/>
  <c r="I39" s="1"/>
  <c r="J39" s="1"/>
  <c r="I37"/>
  <c r="G39"/>
  <c r="F38"/>
  <c r="D39" s="1"/>
  <c r="E37"/>
  <c r="C39"/>
  <c r="G23"/>
  <c r="J22"/>
  <c r="H23" s="1"/>
  <c r="I23" s="1"/>
  <c r="J23" s="1"/>
  <c r="F11" i="4"/>
  <c r="D9"/>
  <c r="E8"/>
  <c r="G8"/>
  <c r="C31" i="1" l="1"/>
  <c r="E29"/>
  <c r="F30"/>
  <c r="D31" s="1"/>
  <c r="E9" i="4"/>
  <c r="D10"/>
  <c r="G9"/>
  <c r="F12"/>
  <c r="E10" l="1"/>
  <c r="D11"/>
  <c r="G10"/>
  <c r="F13"/>
  <c r="D12" l="1"/>
  <c r="E11"/>
  <c r="G11"/>
  <c r="E12" l="1"/>
  <c r="D13"/>
  <c r="G12"/>
  <c r="E13" l="1"/>
  <c r="G13"/>
  <c r="B21" i="1"/>
  <c r="L18"/>
  <c r="F19" s="1"/>
  <c r="L19" l="1"/>
  <c r="C22" s="1"/>
  <c r="D22" s="1"/>
  <c r="C21" l="1"/>
  <c r="D21" s="1"/>
  <c r="E22"/>
  <c r="E21" l="1"/>
  <c r="C23"/>
  <c r="F22"/>
  <c r="D23" s="1"/>
</calcChain>
</file>

<file path=xl/sharedStrings.xml><?xml version="1.0" encoding="utf-8"?>
<sst xmlns="http://schemas.openxmlformats.org/spreadsheetml/2006/main" count="153" uniqueCount="106">
  <si>
    <t>Semaine</t>
  </si>
  <si>
    <t>Prévisions de vente</t>
  </si>
  <si>
    <t>Commandes enregistrées</t>
  </si>
  <si>
    <t>Stock fin de semaine</t>
  </si>
  <si>
    <t>PDP fin</t>
  </si>
  <si>
    <t>PDP début</t>
  </si>
  <si>
    <t>Bénéfice reporté</t>
  </si>
  <si>
    <t>Impos</t>
  </si>
  <si>
    <t>Bénéfice avant impos</t>
  </si>
  <si>
    <t>Amortissements</t>
  </si>
  <si>
    <t>Entretien</t>
  </si>
  <si>
    <t>Énergie</t>
  </si>
  <si>
    <t>Intérim et heures sup.</t>
  </si>
  <si>
    <t>MP - Transport</t>
  </si>
  <si>
    <t>Frais Variables</t>
  </si>
  <si>
    <t>Publicité</t>
  </si>
  <si>
    <t>Brevets, enregistrements et documentation</t>
  </si>
  <si>
    <t>Petit outillage et produit entretien</t>
  </si>
  <si>
    <t>Sous-traitance/entretien</t>
  </si>
  <si>
    <t>Télécommunication</t>
  </si>
  <si>
    <t>Assurance</t>
  </si>
  <si>
    <t>Intérêts sur emprunts</t>
  </si>
  <si>
    <t>R&amp;D</t>
  </si>
  <si>
    <t>Salaires admin. Moy [30 pers.]</t>
  </si>
  <si>
    <t>Frais Fixes</t>
  </si>
  <si>
    <t>Ventes</t>
  </si>
  <si>
    <t>Total</t>
  </si>
  <si>
    <t>Décembre</t>
  </si>
  <si>
    <t>Novembre</t>
  </si>
  <si>
    <t>Octobre</t>
  </si>
  <si>
    <t>Septembre</t>
  </si>
  <si>
    <t>Août</t>
  </si>
  <si>
    <t>Juillet</t>
  </si>
  <si>
    <t>Juin</t>
  </si>
  <si>
    <t>Mai</t>
  </si>
  <si>
    <t>Avril</t>
  </si>
  <si>
    <t>Mars</t>
  </si>
  <si>
    <t>Février</t>
  </si>
  <si>
    <t>Stock de départ: 2000 pcs</t>
  </si>
  <si>
    <t>Janvier</t>
  </si>
  <si>
    <t>Frais variables</t>
  </si>
  <si>
    <t>Frais fixes</t>
  </si>
  <si>
    <t>% Prod annuelle</t>
  </si>
  <si>
    <t>Stock</t>
  </si>
  <si>
    <t>Production cumulée</t>
  </si>
  <si>
    <t>Ventes cumulées [€]</t>
  </si>
  <si>
    <t>Ventes Cumulées</t>
  </si>
  <si>
    <t>Production</t>
  </si>
  <si>
    <t>Mois</t>
  </si>
  <si>
    <t>Moteurs 2205</t>
  </si>
  <si>
    <t>Moteurs 2306</t>
  </si>
  <si>
    <t>Moteurs spéc</t>
  </si>
  <si>
    <t>Moteurs 2205 E50</t>
  </si>
  <si>
    <t>Moteurs 2205 E75</t>
  </si>
  <si>
    <t>Moteurs 2205 E85</t>
  </si>
  <si>
    <t>Stock fin de mois</t>
  </si>
  <si>
    <t>Stock début de mois</t>
  </si>
  <si>
    <t>Init</t>
  </si>
  <si>
    <t>Opérations:</t>
  </si>
  <si>
    <t>A</t>
  </si>
  <si>
    <t>Usinage du rotor</t>
  </si>
  <si>
    <t>-</t>
  </si>
  <si>
    <t>B</t>
  </si>
  <si>
    <t>Usinage du stator</t>
  </si>
  <si>
    <t>C</t>
  </si>
  <si>
    <t>Usinage de l’arbre</t>
  </si>
  <si>
    <t>D</t>
  </si>
  <si>
    <t>Peinture du rotor</t>
  </si>
  <si>
    <t>E</t>
  </si>
  <si>
    <t>Gravure du logo sur le rotor</t>
  </si>
  <si>
    <t>F</t>
  </si>
  <si>
    <t>Bobinage du fil sur le stator</t>
  </si>
  <si>
    <t>G</t>
  </si>
  <si>
    <t>Collage des aimants sur le rotor</t>
  </si>
  <si>
    <t>H</t>
  </si>
  <si>
    <t>Mariage du stator avec le rotor</t>
  </si>
  <si>
    <t>F, J</t>
  </si>
  <si>
    <t>I</t>
  </si>
  <si>
    <t>Placement du roulement sur le rotor</t>
  </si>
  <si>
    <t>J</t>
  </si>
  <si>
    <t>Placement de l’axe</t>
  </si>
  <si>
    <t>I, C</t>
  </si>
  <si>
    <t>K</t>
  </si>
  <si>
    <t>Test de fonctionnement</t>
  </si>
  <si>
    <t>L</t>
  </si>
  <si>
    <t>Équilibrage des moteurs</t>
  </si>
  <si>
    <t>M</t>
  </si>
  <si>
    <t>Emballage des moteurs.</t>
  </si>
  <si>
    <t>Regroupement des opérations par poste (cas de 19 minutes avec opérations successeurs) :</t>
  </si>
  <si>
    <t>rotor xw</t>
  </si>
  <si>
    <t>4x aimants 11</t>
  </si>
  <si>
    <t>0,2 cl de peinture 1.0</t>
  </si>
  <si>
    <t xml:space="preserve">1 jeu de roulements </t>
  </si>
  <si>
    <t>stator xw</t>
  </si>
  <si>
    <t>bobine B</t>
  </si>
  <si>
    <t>-&gt; Sous-ensemble Rotor</t>
  </si>
  <si>
    <t>-&gt; Sous-ensemble Stator</t>
  </si>
  <si>
    <t>-&gt; Axe (composant)</t>
  </si>
  <si>
    <t>1 semaine</t>
  </si>
  <si>
    <t>1 jour</t>
  </si>
  <si>
    <t>2 jours</t>
  </si>
  <si>
    <t>Délais</t>
  </si>
  <si>
    <t>2 semaines</t>
  </si>
  <si>
    <t>10 jours</t>
  </si>
  <si>
    <t>AF</t>
  </si>
  <si>
    <t>13 jours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</si>
</sst>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2" fontId="0" fillId="0" borderId="9" xfId="0" applyNumberFormat="1" applyBorder="1"/>
    <xf numFmtId="0" fontId="0" fillId="0" borderId="10" xfId="0" applyBorder="1"/>
    <xf numFmtId="0" fontId="2" fillId="0" borderId="11" xfId="0" applyFont="1" applyBorder="1"/>
    <xf numFmtId="9" fontId="0" fillId="0" borderId="12" xfId="2" applyFont="1" applyBorder="1"/>
    <xf numFmtId="0" fontId="0" fillId="0" borderId="13" xfId="0" applyBorder="1"/>
    <xf numFmtId="0" fontId="2" fillId="0" borderId="7" xfId="0" applyFont="1" applyBorder="1"/>
    <xf numFmtId="0" fontId="0" fillId="0" borderId="14" xfId="0" applyBorder="1"/>
    <xf numFmtId="0" fontId="0" fillId="0" borderId="15" xfId="0" applyBorder="1"/>
    <xf numFmtId="0" fontId="2" fillId="0" borderId="3" xfId="0" applyFont="1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1" xfId="0" applyFont="1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/>
    <xf numFmtId="1" fontId="0" fillId="0" borderId="18" xfId="0" applyNumberFormat="1" applyBorder="1"/>
    <xf numFmtId="164" fontId="2" fillId="0" borderId="17" xfId="1" applyNumberFormat="1" applyFont="1" applyBorder="1"/>
    <xf numFmtId="164" fontId="2" fillId="0" borderId="1" xfId="1" applyNumberFormat="1" applyFont="1" applyBorder="1"/>
    <xf numFmtId="164" fontId="0" fillId="0" borderId="1" xfId="1" applyNumberFormat="1" applyFont="1" applyBorder="1"/>
    <xf numFmtId="164" fontId="0" fillId="0" borderId="17" xfId="1" applyNumberFormat="1" applyFont="1" applyBorder="1"/>
    <xf numFmtId="10" fontId="0" fillId="0" borderId="1" xfId="2" applyNumberFormat="1" applyFont="1" applyBorder="1"/>
    <xf numFmtId="164" fontId="0" fillId="0" borderId="11" xfId="1" applyNumberFormat="1" applyFont="1" applyBorder="1"/>
    <xf numFmtId="164" fontId="0" fillId="0" borderId="25" xfId="1" applyNumberFormat="1" applyFont="1" applyBorder="1"/>
    <xf numFmtId="10" fontId="0" fillId="0" borderId="25" xfId="2" applyNumberFormat="1" applyFont="1" applyBorder="1"/>
    <xf numFmtId="0" fontId="2" fillId="0" borderId="25" xfId="0" applyFont="1" applyBorder="1"/>
    <xf numFmtId="0" fontId="0" fillId="0" borderId="0" xfId="0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10" fontId="0" fillId="0" borderId="28" xfId="2" applyNumberFormat="1" applyFont="1" applyBorder="1"/>
    <xf numFmtId="0" fontId="2" fillId="0" borderId="29" xfId="0" applyFont="1" applyBorder="1"/>
    <xf numFmtId="164" fontId="0" fillId="0" borderId="30" xfId="1" applyNumberFormat="1" applyFont="1" applyBorder="1"/>
    <xf numFmtId="0" fontId="2" fillId="0" borderId="31" xfId="0" applyFont="1" applyBorder="1"/>
    <xf numFmtId="0" fontId="2" fillId="0" borderId="28" xfId="0" applyFont="1" applyBorder="1"/>
    <xf numFmtId="164" fontId="0" fillId="0" borderId="26" xfId="1" applyNumberFormat="1" applyFont="1" applyBorder="1"/>
    <xf numFmtId="164" fontId="0" fillId="0" borderId="21" xfId="1" applyNumberFormat="1" applyFont="1" applyBorder="1"/>
    <xf numFmtId="10" fontId="0" fillId="0" borderId="21" xfId="2" applyNumberFormat="1" applyFont="1" applyBorder="1"/>
    <xf numFmtId="0" fontId="0" fillId="0" borderId="0" xfId="0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13" xfId="1" applyNumberFormat="1" applyFont="1" applyBorder="1"/>
    <xf numFmtId="164" fontId="0" fillId="0" borderId="8" xfId="1" applyNumberFormat="1" applyFont="1" applyBorder="1"/>
    <xf numFmtId="164" fontId="0" fillId="0" borderId="0" xfId="0" applyNumberFormat="1"/>
    <xf numFmtId="164" fontId="0" fillId="0" borderId="0" xfId="1" applyNumberFormat="1" applyFont="1"/>
    <xf numFmtId="0" fontId="2" fillId="0" borderId="16" xfId="0" applyFont="1" applyBorder="1"/>
    <xf numFmtId="0" fontId="2" fillId="0" borderId="12" xfId="0" applyFont="1" applyBorder="1"/>
    <xf numFmtId="0" fontId="3" fillId="0" borderId="0" xfId="0" applyFont="1"/>
    <xf numFmtId="0" fontId="4" fillId="0" borderId="2" xfId="0" applyFont="1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5" xfId="0" applyBorder="1" applyAlignment="1">
      <alignment horizontal="center" vertical="top" wrapText="1"/>
    </xf>
    <xf numFmtId="0" fontId="0" fillId="0" borderId="36" xfId="0" applyBorder="1" applyAlignment="1">
      <alignment vertical="top" wrapText="1"/>
    </xf>
    <xf numFmtId="0" fontId="4" fillId="0" borderId="36" xfId="0" applyFon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37" xfId="0" applyBorder="1" applyAlignment="1">
      <alignment horizontal="center" vertical="top" wrapText="1"/>
    </xf>
    <xf numFmtId="0" fontId="2" fillId="0" borderId="0" xfId="0" applyFont="1"/>
    <xf numFmtId="0" fontId="0" fillId="0" borderId="0" xfId="0" quotePrefix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Volumes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4547032179831265E-2"/>
          <c:y val="8.8628762001454822E-2"/>
          <c:w val="0.91156231665509013"/>
          <c:h val="0.85496953045000101"/>
        </c:manualLayout>
      </c:layout>
      <c:lineChart>
        <c:grouping val="standard"/>
        <c:ser>
          <c:idx val="0"/>
          <c:order val="0"/>
          <c:tx>
            <c:strRef>
              <c:f>'tp4'!$D$1</c:f>
              <c:strCache>
                <c:ptCount val="1"/>
                <c:pt idx="0">
                  <c:v>Ventes Cumulées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201243887908938E-2"/>
                  <c:y val="2.9702923907069086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AA7-4A39-B17F-73DA3A722ED4}"/>
                </c:ext>
              </c:extLst>
            </c:dLbl>
            <c:dLbl>
              <c:idx val="1"/>
              <c:layout>
                <c:manualLayout>
                  <c:x val="-2.1513419926587209E-2"/>
                  <c:y val="5.4943744670373253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AA7-4A39-B17F-73DA3A722ED4}"/>
                </c:ext>
              </c:extLst>
            </c:dLbl>
            <c:dLbl>
              <c:idx val="2"/>
              <c:layout>
                <c:manualLayout>
                  <c:x val="-1.8243063577153201E-2"/>
                  <c:y val="6.5116525550379223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AA7-4A39-B17F-73DA3A722ED4}"/>
                </c:ext>
              </c:extLst>
            </c:dLbl>
            <c:dLbl>
              <c:idx val="3"/>
              <c:layout>
                <c:manualLayout>
                  <c:x val="-5.1675788812327768E-3"/>
                  <c:y val="7.3942338731436588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AA7-4A39-B17F-73DA3A722ED4}"/>
                </c:ext>
              </c:extLst>
            </c:dLbl>
            <c:dLbl>
              <c:idx val="4"/>
              <c:layout>
                <c:manualLayout>
                  <c:x val="-3.784939940692789E-3"/>
                  <c:y val="7.4300689979639498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AA7-4A39-B17F-73DA3A722ED4}"/>
                </c:ext>
              </c:extLst>
            </c:dLbl>
            <c:dLbl>
              <c:idx val="5"/>
              <c:layout>
                <c:manualLayout>
                  <c:x val="-1.2712270186920617E-2"/>
                  <c:y val="8.5005181390680654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AA7-4A39-B17F-73DA3A722ED4}"/>
                </c:ext>
              </c:extLst>
            </c:dLbl>
            <c:dLbl>
              <c:idx val="6"/>
              <c:layout>
                <c:manualLayout>
                  <c:x val="-2.4836054451997693E-2"/>
                  <c:y val="8.6611945666324908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AA7-4A39-B17F-73DA3A722ED4}"/>
                </c:ext>
              </c:extLst>
            </c:dLbl>
            <c:dLbl>
              <c:idx val="7"/>
              <c:layout>
                <c:manualLayout>
                  <c:x val="-1.7670023480029856E-2"/>
                  <c:y val="8.6611945666324908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AA7-4A39-B17F-73DA3A722ED4}"/>
                </c:ext>
              </c:extLst>
            </c:dLbl>
            <c:dLbl>
              <c:idx val="8"/>
              <c:layout>
                <c:manualLayout>
                  <c:x val="-2.4836054451997585E-2"/>
                  <c:y val="8.4115119611442551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AA7-4A39-B17F-73DA3A722ED4}"/>
                </c:ext>
              </c:extLst>
            </c:dLbl>
            <c:dLbl>
              <c:idx val="9"/>
              <c:layout>
                <c:manualLayout>
                  <c:x val="-1.5908605391733562E-2"/>
                  <c:y val="7.7069429988861821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AA7-4A39-B17F-73DA3A722ED4}"/>
                </c:ext>
              </c:extLst>
            </c:dLbl>
            <c:dLbl>
              <c:idx val="10"/>
              <c:layout>
                <c:manualLayout>
                  <c:x val="-1.2764548362897161E-2"/>
                  <c:y val="7.2965678093299888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AA7-4A39-B17F-73DA3A722ED4}"/>
                </c:ext>
              </c:extLst>
            </c:dLbl>
            <c:dLbl>
              <c:idx val="11"/>
              <c:layout>
                <c:manualLayout>
                  <c:x val="-1.2249605986186637E-4"/>
                  <c:y val="5.6105610561056105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AA7-4A39-B17F-73DA3A722E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'tp4'!$A$2:$A$13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'tp4'!$D$2:$D$13</c:f>
              <c:numCache>
                <c:formatCode>_ * #,##0_ ;_ * \-#,##0_ ;_ * "-"??_ ;_ @_ </c:formatCode>
                <c:ptCount val="12"/>
                <c:pt idx="0">
                  <c:v>153216</c:v>
                </c:pt>
                <c:pt idx="1">
                  <c:v>305306</c:v>
                </c:pt>
                <c:pt idx="2">
                  <c:v>456518</c:v>
                </c:pt>
                <c:pt idx="3">
                  <c:v>611360</c:v>
                </c:pt>
                <c:pt idx="4">
                  <c:v>776253</c:v>
                </c:pt>
                <c:pt idx="5">
                  <c:v>958855</c:v>
                </c:pt>
                <c:pt idx="6">
                  <c:v>1157172</c:v>
                </c:pt>
                <c:pt idx="7">
                  <c:v>1346526</c:v>
                </c:pt>
                <c:pt idx="8">
                  <c:v>1521412</c:v>
                </c:pt>
                <c:pt idx="9">
                  <c:v>1683226</c:v>
                </c:pt>
                <c:pt idx="10">
                  <c:v>1840118</c:v>
                </c:pt>
                <c:pt idx="11">
                  <c:v>2000000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A7-4A39-B17F-73DA3A722ED4}"/>
            </c:ext>
          </c:extLst>
        </c:ser>
        <c:ser>
          <c:idx val="1"/>
          <c:order val="1"/>
          <c:tx>
            <c:strRef>
              <c:f>'tp4'!$F$1</c:f>
              <c:strCache>
                <c:ptCount val="1"/>
                <c:pt idx="0">
                  <c:v>Production cumulée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8.7269562825679062E-2"/>
                  <c:y val="-4.9504950495049632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01611984395186E-2"/>
                  <c:y val="-4.6204620462046334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8836105281037465E-2"/>
                  <c:y val="-4.2904290429042924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461937650871657"/>
                  <c:y val="-6.6006600660066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1040264773639585"/>
                  <c:y val="-6.6006600660066125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1618591896407501"/>
                  <c:y val="-5.2805280528052813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2277884816362929"/>
                  <c:y val="-4.2904290429043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1112123057082709"/>
                  <c:y val="-4.6204620462046229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1083206700944314"/>
                  <c:y val="-3.9603960396039611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13145375500514803"/>
                  <c:y val="-4.2904290429043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0.16037011114354385"/>
                  <c:y val="-5.6105610561056105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6.6630115178172425E-2"/>
                  <c:y val="-4.9504950495049535E-2"/>
                </c:manualLayout>
              </c:layout>
              <c:dLblPos val="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'tp4'!$A$2:$A$13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'tp4'!$F$2:$F$13</c:f>
              <c:numCache>
                <c:formatCode>_ * #,##0_ ;_ * \-#,##0_ ;_ * "-"??_ ;_ @_ </c:formatCode>
                <c:ptCount val="12"/>
                <c:pt idx="0">
                  <c:v>155000</c:v>
                </c:pt>
                <c:pt idx="1">
                  <c:v>310000</c:v>
                </c:pt>
                <c:pt idx="2">
                  <c:v>465000</c:v>
                </c:pt>
                <c:pt idx="3">
                  <c:v>620000</c:v>
                </c:pt>
                <c:pt idx="4">
                  <c:v>805000</c:v>
                </c:pt>
                <c:pt idx="5">
                  <c:v>990000</c:v>
                </c:pt>
                <c:pt idx="6">
                  <c:v>1175000</c:v>
                </c:pt>
                <c:pt idx="7">
                  <c:v>1360000</c:v>
                </c:pt>
                <c:pt idx="8">
                  <c:v>1522000</c:v>
                </c:pt>
                <c:pt idx="9">
                  <c:v>1684000</c:v>
                </c:pt>
                <c:pt idx="10">
                  <c:v>1846000</c:v>
                </c:pt>
                <c:pt idx="11">
                  <c:v>2001000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29-46EF-8667-CB27F6D95A0A}"/>
            </c:ext>
          </c:extLst>
        </c:ser>
        <c:dLbls>
          <c:showVal val="1"/>
        </c:dLbls>
        <c:marker val="1"/>
        <c:axId val="99127680"/>
        <c:axId val="99129216"/>
      </c:lineChart>
      <c:catAx>
        <c:axId val="99127680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9216"/>
        <c:crosses val="autoZero"/>
        <c:auto val="1"/>
        <c:lblAlgn val="ctr"/>
        <c:lblOffset val="100"/>
      </c:catAx>
      <c:valAx>
        <c:axId val="99129216"/>
        <c:scaling>
          <c:orientation val="minMax"/>
          <c:max val="2100000"/>
          <c:min val="0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076520754317046"/>
          <c:y val="5.1089933884356308E-2"/>
          <c:w val="0.43203917522175811"/>
          <c:h val="3.4625648966355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15</xdr:row>
      <xdr:rowOff>104775</xdr:rowOff>
    </xdr:from>
    <xdr:to>
      <xdr:col>5</xdr:col>
      <xdr:colOff>885825</xdr:colOff>
      <xdr:row>18</xdr:row>
      <xdr:rowOff>47624</xdr:rowOff>
    </xdr:to>
    <xdr:sp macro="" textlink="">
      <xdr:nvSpPr>
        <xdr:cNvPr id="2" name="Ellipse 1"/>
        <xdr:cNvSpPr/>
      </xdr:nvSpPr>
      <xdr:spPr>
        <a:xfrm>
          <a:off x="2733675" y="3095625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AF</a:t>
          </a:r>
        </a:p>
      </xdr:txBody>
    </xdr:sp>
    <xdr:clientData/>
  </xdr:twoCellAnchor>
  <xdr:twoCellAnchor>
    <xdr:from>
      <xdr:col>0</xdr:col>
      <xdr:colOff>704850</xdr:colOff>
      <xdr:row>19</xdr:row>
      <xdr:rowOff>95250</xdr:rowOff>
    </xdr:from>
    <xdr:to>
      <xdr:col>1</xdr:col>
      <xdr:colOff>704850</xdr:colOff>
      <xdr:row>22</xdr:row>
      <xdr:rowOff>38099</xdr:rowOff>
    </xdr:to>
    <xdr:sp macro="" textlink="">
      <xdr:nvSpPr>
        <xdr:cNvPr id="3" name="Ellipse 2"/>
        <xdr:cNvSpPr/>
      </xdr:nvSpPr>
      <xdr:spPr>
        <a:xfrm>
          <a:off x="704850" y="38481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S-e</a:t>
          </a:r>
          <a:r>
            <a:rPr lang="en-US" sz="800" baseline="0"/>
            <a:t> Stator</a:t>
          </a:r>
          <a:endParaRPr lang="en-US" sz="800"/>
        </a:p>
      </xdr:txBody>
    </xdr:sp>
    <xdr:clientData/>
  </xdr:twoCellAnchor>
  <xdr:twoCellAnchor>
    <xdr:from>
      <xdr:col>5</xdr:col>
      <xdr:colOff>133350</xdr:colOff>
      <xdr:row>19</xdr:row>
      <xdr:rowOff>95250</xdr:rowOff>
    </xdr:from>
    <xdr:to>
      <xdr:col>5</xdr:col>
      <xdr:colOff>895350</xdr:colOff>
      <xdr:row>22</xdr:row>
      <xdr:rowOff>38099</xdr:rowOff>
    </xdr:to>
    <xdr:sp macro="" textlink="">
      <xdr:nvSpPr>
        <xdr:cNvPr id="4" name="Ellipse 3"/>
        <xdr:cNvSpPr/>
      </xdr:nvSpPr>
      <xdr:spPr>
        <a:xfrm>
          <a:off x="2743200" y="38481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chemeClr val="dk1"/>
              </a:solidFill>
              <a:latin typeface="+mn-lt"/>
              <a:ea typeface="+mn-ea"/>
              <a:cs typeface="+mn-cs"/>
            </a:rPr>
            <a:t>Comp. Axe</a:t>
          </a:r>
        </a:p>
      </xdr:txBody>
    </xdr:sp>
    <xdr:clientData/>
  </xdr:twoCellAnchor>
  <xdr:twoCellAnchor>
    <xdr:from>
      <xdr:col>0</xdr:col>
      <xdr:colOff>85725</xdr:colOff>
      <xdr:row>23</xdr:row>
      <xdr:rowOff>123825</xdr:rowOff>
    </xdr:from>
    <xdr:to>
      <xdr:col>1</xdr:col>
      <xdr:colOff>85725</xdr:colOff>
      <xdr:row>26</xdr:row>
      <xdr:rowOff>66674</xdr:rowOff>
    </xdr:to>
    <xdr:sp macro="" textlink="">
      <xdr:nvSpPr>
        <xdr:cNvPr id="5" name="Ellipse 4"/>
        <xdr:cNvSpPr/>
      </xdr:nvSpPr>
      <xdr:spPr>
        <a:xfrm>
          <a:off x="85725" y="4638675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Stator</a:t>
          </a:r>
          <a:r>
            <a:rPr lang="en-US" sz="800" baseline="0"/>
            <a:t> xw</a:t>
          </a:r>
          <a:endParaRPr lang="en-US" sz="800"/>
        </a:p>
      </xdr:txBody>
    </xdr:sp>
    <xdr:clientData/>
  </xdr:twoCellAnchor>
  <xdr:twoCellAnchor>
    <xdr:from>
      <xdr:col>1</xdr:col>
      <xdr:colOff>447675</xdr:colOff>
      <xdr:row>23</xdr:row>
      <xdr:rowOff>142875</xdr:rowOff>
    </xdr:from>
    <xdr:to>
      <xdr:col>3</xdr:col>
      <xdr:colOff>85725</xdr:colOff>
      <xdr:row>26</xdr:row>
      <xdr:rowOff>85724</xdr:rowOff>
    </xdr:to>
    <xdr:sp macro="" textlink="">
      <xdr:nvSpPr>
        <xdr:cNvPr id="6" name="Ellipse 5"/>
        <xdr:cNvSpPr/>
      </xdr:nvSpPr>
      <xdr:spPr>
        <a:xfrm>
          <a:off x="1209675" y="4657725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Bobine B</a:t>
          </a:r>
        </a:p>
      </xdr:txBody>
    </xdr:sp>
    <xdr:clientData/>
  </xdr:twoCellAnchor>
  <xdr:twoCellAnchor>
    <xdr:from>
      <xdr:col>7</xdr:col>
      <xdr:colOff>323850</xdr:colOff>
      <xdr:row>19</xdr:row>
      <xdr:rowOff>104775</xdr:rowOff>
    </xdr:from>
    <xdr:to>
      <xdr:col>8</xdr:col>
      <xdr:colOff>323850</xdr:colOff>
      <xdr:row>22</xdr:row>
      <xdr:rowOff>47624</xdr:rowOff>
    </xdr:to>
    <xdr:sp macro="" textlink="">
      <xdr:nvSpPr>
        <xdr:cNvPr id="7" name="Ellipse 6"/>
        <xdr:cNvSpPr/>
      </xdr:nvSpPr>
      <xdr:spPr>
        <a:xfrm>
          <a:off x="4943475" y="3857625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chemeClr val="dk1"/>
              </a:solidFill>
              <a:latin typeface="+mn-lt"/>
              <a:ea typeface="+mn-ea"/>
              <a:cs typeface="+mn-cs"/>
            </a:rPr>
            <a:t>S-e</a:t>
          </a:r>
          <a:r>
            <a:rPr lang="en-US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 Rotor</a:t>
          </a:r>
          <a:endParaRPr lang="en-US" sz="8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1000125</xdr:colOff>
      <xdr:row>23</xdr:row>
      <xdr:rowOff>133350</xdr:rowOff>
    </xdr:from>
    <xdr:to>
      <xdr:col>6</xdr:col>
      <xdr:colOff>514350</xdr:colOff>
      <xdr:row>26</xdr:row>
      <xdr:rowOff>76199</xdr:rowOff>
    </xdr:to>
    <xdr:sp macro="" textlink="">
      <xdr:nvSpPr>
        <xdr:cNvPr id="8" name="Ellipse 7"/>
        <xdr:cNvSpPr/>
      </xdr:nvSpPr>
      <xdr:spPr>
        <a:xfrm>
          <a:off x="3609975" y="46482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Rotor</a:t>
          </a:r>
        </a:p>
      </xdr:txBody>
    </xdr:sp>
    <xdr:clientData/>
  </xdr:twoCellAnchor>
  <xdr:twoCellAnchor>
    <xdr:from>
      <xdr:col>9</xdr:col>
      <xdr:colOff>152400</xdr:colOff>
      <xdr:row>23</xdr:row>
      <xdr:rowOff>133350</xdr:rowOff>
    </xdr:from>
    <xdr:to>
      <xdr:col>10</xdr:col>
      <xdr:colOff>152400</xdr:colOff>
      <xdr:row>26</xdr:row>
      <xdr:rowOff>76199</xdr:rowOff>
    </xdr:to>
    <xdr:sp macro="" textlink="">
      <xdr:nvSpPr>
        <xdr:cNvPr id="9" name="Ellipse 8"/>
        <xdr:cNvSpPr/>
      </xdr:nvSpPr>
      <xdr:spPr>
        <a:xfrm>
          <a:off x="6296025" y="46482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roulements</a:t>
          </a:r>
        </a:p>
      </xdr:txBody>
    </xdr:sp>
    <xdr:clientData/>
  </xdr:twoCellAnchor>
  <xdr:twoCellAnchor>
    <xdr:from>
      <xdr:col>8</xdr:col>
      <xdr:colOff>28575</xdr:colOff>
      <xdr:row>23</xdr:row>
      <xdr:rowOff>142875</xdr:rowOff>
    </xdr:from>
    <xdr:to>
      <xdr:col>9</xdr:col>
      <xdr:colOff>28575</xdr:colOff>
      <xdr:row>26</xdr:row>
      <xdr:rowOff>85724</xdr:rowOff>
    </xdr:to>
    <xdr:sp macro="" textlink="">
      <xdr:nvSpPr>
        <xdr:cNvPr id="10" name="Ellipse 9"/>
        <xdr:cNvSpPr/>
      </xdr:nvSpPr>
      <xdr:spPr>
        <a:xfrm>
          <a:off x="5410200" y="4657725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4</a:t>
          </a:r>
          <a:r>
            <a:rPr lang="en-US" sz="800" baseline="0"/>
            <a:t> aimants</a:t>
          </a:r>
          <a:endParaRPr lang="en-US" sz="800"/>
        </a:p>
      </xdr:txBody>
    </xdr:sp>
    <xdr:clientData/>
  </xdr:twoCellAnchor>
  <xdr:twoCellAnchor>
    <xdr:from>
      <xdr:col>6</xdr:col>
      <xdr:colOff>647700</xdr:colOff>
      <xdr:row>23</xdr:row>
      <xdr:rowOff>133350</xdr:rowOff>
    </xdr:from>
    <xdr:to>
      <xdr:col>7</xdr:col>
      <xdr:colOff>647700</xdr:colOff>
      <xdr:row>26</xdr:row>
      <xdr:rowOff>76199</xdr:rowOff>
    </xdr:to>
    <xdr:sp macro="" textlink="">
      <xdr:nvSpPr>
        <xdr:cNvPr id="11" name="Ellipse 10"/>
        <xdr:cNvSpPr/>
      </xdr:nvSpPr>
      <xdr:spPr>
        <a:xfrm>
          <a:off x="4505325" y="46482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Peinture</a:t>
          </a:r>
        </a:p>
      </xdr:txBody>
    </xdr:sp>
    <xdr:clientData/>
  </xdr:twoCellAnchor>
  <xdr:twoCellAnchor>
    <xdr:from>
      <xdr:col>5</xdr:col>
      <xdr:colOff>514350</xdr:colOff>
      <xdr:row>18</xdr:row>
      <xdr:rowOff>57149</xdr:rowOff>
    </xdr:from>
    <xdr:to>
      <xdr:col>5</xdr:col>
      <xdr:colOff>514350</xdr:colOff>
      <xdr:row>19</xdr:row>
      <xdr:rowOff>104775</xdr:rowOff>
    </xdr:to>
    <xdr:cxnSp macro="">
      <xdr:nvCxnSpPr>
        <xdr:cNvPr id="13" name="Connecteur droit avec flèche 12"/>
        <xdr:cNvCxnSpPr/>
      </xdr:nvCxnSpPr>
      <xdr:spPr>
        <a:xfrm>
          <a:off x="3124200" y="3619499"/>
          <a:ext cx="0" cy="23812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885825</xdr:colOff>
      <xdr:row>16</xdr:row>
      <xdr:rowOff>171450</xdr:rowOff>
    </xdr:from>
    <xdr:to>
      <xdr:col>7</xdr:col>
      <xdr:colOff>435442</xdr:colOff>
      <xdr:row>19</xdr:row>
      <xdr:rowOff>180100</xdr:rowOff>
    </xdr:to>
    <xdr:cxnSp macro="">
      <xdr:nvCxnSpPr>
        <xdr:cNvPr id="17" name="Connecteur droit avec flèche 16"/>
        <xdr:cNvCxnSpPr>
          <a:stCxn id="2" idx="6"/>
          <a:endCxn id="7" idx="1"/>
        </xdr:cNvCxnSpPr>
      </xdr:nvCxnSpPr>
      <xdr:spPr>
        <a:xfrm>
          <a:off x="3495675" y="3352800"/>
          <a:ext cx="1559392" cy="5801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593258</xdr:colOff>
      <xdr:row>16</xdr:row>
      <xdr:rowOff>171450</xdr:rowOff>
    </xdr:from>
    <xdr:to>
      <xdr:col>5</xdr:col>
      <xdr:colOff>123825</xdr:colOff>
      <xdr:row>19</xdr:row>
      <xdr:rowOff>170575</xdr:rowOff>
    </xdr:to>
    <xdr:cxnSp macro="">
      <xdr:nvCxnSpPr>
        <xdr:cNvPr id="19" name="Connecteur droit avec flèche 18"/>
        <xdr:cNvCxnSpPr>
          <a:stCxn id="2" idx="2"/>
          <a:endCxn id="3" idx="7"/>
        </xdr:cNvCxnSpPr>
      </xdr:nvCxnSpPr>
      <xdr:spPr>
        <a:xfrm flipH="1">
          <a:off x="1355258" y="3352800"/>
          <a:ext cx="1378417" cy="5706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593258</xdr:colOff>
      <xdr:row>21</xdr:row>
      <xdr:rowOff>153274</xdr:rowOff>
    </xdr:from>
    <xdr:to>
      <xdr:col>2</xdr:col>
      <xdr:colOff>66675</xdr:colOff>
      <xdr:row>23</xdr:row>
      <xdr:rowOff>142875</xdr:rowOff>
    </xdr:to>
    <xdr:cxnSp macro="">
      <xdr:nvCxnSpPr>
        <xdr:cNvPr id="21" name="Connecteur droit avec flèche 20"/>
        <xdr:cNvCxnSpPr>
          <a:stCxn id="3" idx="5"/>
          <a:endCxn id="6" idx="0"/>
        </xdr:cNvCxnSpPr>
      </xdr:nvCxnSpPr>
      <xdr:spPr>
        <a:xfrm>
          <a:off x="1355258" y="4287124"/>
          <a:ext cx="235417" cy="37060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21</xdr:row>
      <xdr:rowOff>153274</xdr:rowOff>
    </xdr:from>
    <xdr:to>
      <xdr:col>1</xdr:col>
      <xdr:colOff>54442</xdr:colOff>
      <xdr:row>23</xdr:row>
      <xdr:rowOff>123825</xdr:rowOff>
    </xdr:to>
    <xdr:cxnSp macro="">
      <xdr:nvCxnSpPr>
        <xdr:cNvPr id="23" name="Connecteur droit avec flèche 22"/>
        <xdr:cNvCxnSpPr>
          <a:stCxn id="3" idx="3"/>
          <a:endCxn id="5" idx="0"/>
        </xdr:cNvCxnSpPr>
      </xdr:nvCxnSpPr>
      <xdr:spPr>
        <a:xfrm flipH="1">
          <a:off x="466725" y="4287124"/>
          <a:ext cx="349717" cy="3515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20</xdr:row>
      <xdr:rowOff>171450</xdr:rowOff>
    </xdr:from>
    <xdr:to>
      <xdr:col>9</xdr:col>
      <xdr:colOff>533400</xdr:colOff>
      <xdr:row>23</xdr:row>
      <xdr:rowOff>133350</xdr:rowOff>
    </xdr:to>
    <xdr:cxnSp macro="">
      <xdr:nvCxnSpPr>
        <xdr:cNvPr id="25" name="Connecteur droit avec flèche 24"/>
        <xdr:cNvCxnSpPr>
          <a:stCxn id="7" idx="6"/>
          <a:endCxn id="9" idx="0"/>
        </xdr:cNvCxnSpPr>
      </xdr:nvCxnSpPr>
      <xdr:spPr>
        <a:xfrm>
          <a:off x="5705475" y="4114800"/>
          <a:ext cx="971550" cy="5334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212258</xdr:colOff>
      <xdr:row>21</xdr:row>
      <xdr:rowOff>162799</xdr:rowOff>
    </xdr:from>
    <xdr:to>
      <xdr:col>8</xdr:col>
      <xdr:colOff>409575</xdr:colOff>
      <xdr:row>23</xdr:row>
      <xdr:rowOff>142875</xdr:rowOff>
    </xdr:to>
    <xdr:cxnSp macro="">
      <xdr:nvCxnSpPr>
        <xdr:cNvPr id="27" name="Connecteur droit avec flèche 26"/>
        <xdr:cNvCxnSpPr>
          <a:stCxn id="7" idx="5"/>
          <a:endCxn id="10" idx="0"/>
        </xdr:cNvCxnSpPr>
      </xdr:nvCxnSpPr>
      <xdr:spPr>
        <a:xfrm>
          <a:off x="5593883" y="4296649"/>
          <a:ext cx="197317" cy="36107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266700</xdr:colOff>
      <xdr:row>21</xdr:row>
      <xdr:rowOff>162799</xdr:rowOff>
    </xdr:from>
    <xdr:to>
      <xdr:col>7</xdr:col>
      <xdr:colOff>435442</xdr:colOff>
      <xdr:row>23</xdr:row>
      <xdr:rowOff>133350</xdr:rowOff>
    </xdr:to>
    <xdr:cxnSp macro="">
      <xdr:nvCxnSpPr>
        <xdr:cNvPr id="29" name="Connecteur droit avec flèche 28"/>
        <xdr:cNvCxnSpPr>
          <a:stCxn id="7" idx="3"/>
          <a:endCxn id="11" idx="0"/>
        </xdr:cNvCxnSpPr>
      </xdr:nvCxnSpPr>
      <xdr:spPr>
        <a:xfrm flipH="1">
          <a:off x="4886325" y="4296649"/>
          <a:ext cx="168742" cy="3515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20</xdr:row>
      <xdr:rowOff>171450</xdr:rowOff>
    </xdr:from>
    <xdr:to>
      <xdr:col>7</xdr:col>
      <xdr:colOff>323850</xdr:colOff>
      <xdr:row>23</xdr:row>
      <xdr:rowOff>133350</xdr:rowOff>
    </xdr:to>
    <xdr:cxnSp macro="">
      <xdr:nvCxnSpPr>
        <xdr:cNvPr id="31" name="Connecteur droit avec flèche 30"/>
        <xdr:cNvCxnSpPr>
          <a:stCxn id="7" idx="2"/>
          <a:endCxn id="8" idx="0"/>
        </xdr:cNvCxnSpPr>
      </xdr:nvCxnSpPr>
      <xdr:spPr>
        <a:xfrm flipH="1">
          <a:off x="3990975" y="4114800"/>
          <a:ext cx="952500" cy="5334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14</xdr:row>
      <xdr:rowOff>148589</xdr:rowOff>
    </xdr:from>
    <xdr:to>
      <xdr:col>10</xdr:col>
      <xdr:colOff>304800</xdr:colOff>
      <xdr:row>49</xdr:row>
      <xdr:rowOff>62753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A26CEAA8-533C-4CA1-B284-11428283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9"/>
  <sheetViews>
    <sheetView showGridLines="0" tabSelected="1" workbookViewId="0"/>
  </sheetViews>
  <sheetFormatPr baseColWidth="10" defaultRowHeight="15" outlineLevelCol="1"/>
  <cols>
    <col min="1" max="1" width="23.85546875" bestFit="1" customWidth="1"/>
    <col min="2" max="2" width="10.28515625" hidden="1" customWidth="1" outlineLevel="1"/>
    <col min="3" max="3" width="7" customWidth="1" collapsed="1"/>
    <col min="4" max="10" width="7" customWidth="1"/>
    <col min="12" max="12" width="13" bestFit="1" customWidth="1"/>
    <col min="13" max="16" width="13.140625" customWidth="1"/>
    <col min="18" max="18" width="5.140625" customWidth="1"/>
  </cols>
  <sheetData>
    <row r="1" spans="12:22">
      <c r="L1" s="55" t="s">
        <v>49</v>
      </c>
      <c r="M1" s="56"/>
      <c r="N1" s="56"/>
      <c r="O1" s="56"/>
      <c r="P1" s="57"/>
      <c r="V1">
        <v>17828</v>
      </c>
    </row>
    <row r="2" spans="12:22" ht="30" customHeight="1">
      <c r="L2" s="5"/>
      <c r="M2" s="54" t="s">
        <v>25</v>
      </c>
      <c r="N2" s="53" t="s">
        <v>47</v>
      </c>
      <c r="O2" s="53" t="s">
        <v>56</v>
      </c>
      <c r="P2" s="58" t="s">
        <v>55</v>
      </c>
      <c r="S2" t="s">
        <v>31</v>
      </c>
      <c r="T2">
        <v>189354</v>
      </c>
      <c r="U2">
        <v>185000</v>
      </c>
      <c r="V2">
        <v>13474</v>
      </c>
    </row>
    <row r="3" spans="12:22">
      <c r="L3" s="5" t="s">
        <v>31</v>
      </c>
      <c r="M3" s="33">
        <v>112218</v>
      </c>
      <c r="N3" s="34">
        <v>109637</v>
      </c>
      <c r="O3" s="34">
        <f>P3-(N3-M3)</f>
        <v>10581</v>
      </c>
      <c r="P3" s="59">
        <v>8000</v>
      </c>
      <c r="S3" t="s">
        <v>30</v>
      </c>
      <c r="T3">
        <v>174886</v>
      </c>
      <c r="U3">
        <v>162000</v>
      </c>
      <c r="V3">
        <v>588</v>
      </c>
    </row>
    <row r="4" spans="12:22" ht="15.75" thickBot="1">
      <c r="L4" s="7" t="s">
        <v>30</v>
      </c>
      <c r="M4" s="60">
        <v>103643</v>
      </c>
      <c r="N4" s="61">
        <f>+M4-(O4-P4)</f>
        <v>96043</v>
      </c>
      <c r="O4" s="61">
        <f>+P3</f>
        <v>8000</v>
      </c>
      <c r="P4" s="62">
        <v>400</v>
      </c>
    </row>
    <row r="5" spans="12:22" ht="15.75" thickBot="1"/>
    <row r="6" spans="12:22">
      <c r="L6" s="55" t="s">
        <v>50</v>
      </c>
      <c r="M6" s="56"/>
      <c r="N6" s="56"/>
      <c r="O6" s="56"/>
      <c r="P6" s="57"/>
    </row>
    <row r="7" spans="12:22" ht="30">
      <c r="L7" s="5"/>
      <c r="M7" s="54" t="s">
        <v>25</v>
      </c>
      <c r="N7" s="53" t="s">
        <v>47</v>
      </c>
      <c r="O7" s="53" t="s">
        <v>56</v>
      </c>
      <c r="P7" s="58" t="s">
        <v>55</v>
      </c>
    </row>
    <row r="8" spans="12:22">
      <c r="L8" s="5" t="s">
        <v>31</v>
      </c>
      <c r="M8" s="33">
        <f>+T2-M13-M3</f>
        <v>76786</v>
      </c>
      <c r="N8" s="34">
        <f>+U2-N3-N13</f>
        <v>75011</v>
      </c>
      <c r="O8" s="34">
        <f>P8-(N8-M8)</f>
        <v>7245</v>
      </c>
      <c r="P8" s="59">
        <v>5470</v>
      </c>
    </row>
    <row r="9" spans="12:22" ht="15.75" thickBot="1">
      <c r="L9" s="7" t="s">
        <v>30</v>
      </c>
      <c r="M9" s="60">
        <f>+T3-M14-M4</f>
        <v>70943</v>
      </c>
      <c r="N9" s="61">
        <f>+M9-(O9-P9)</f>
        <v>65661</v>
      </c>
      <c r="O9" s="61">
        <f>+P8</f>
        <v>5470</v>
      </c>
      <c r="P9" s="62">
        <v>188</v>
      </c>
    </row>
    <row r="10" spans="12:22" ht="15.75" thickBot="1"/>
    <row r="11" spans="12:22">
      <c r="L11" s="55" t="s">
        <v>51</v>
      </c>
      <c r="M11" s="56"/>
      <c r="N11" s="56"/>
      <c r="O11" s="56"/>
      <c r="P11" s="57"/>
    </row>
    <row r="12" spans="12:22" ht="30">
      <c r="L12" s="5"/>
      <c r="M12" s="54" t="s">
        <v>25</v>
      </c>
      <c r="N12" s="53" t="s">
        <v>47</v>
      </c>
      <c r="O12" s="53" t="s">
        <v>56</v>
      </c>
      <c r="P12" s="58" t="s">
        <v>55</v>
      </c>
    </row>
    <row r="13" spans="12:22">
      <c r="L13" s="5" t="s">
        <v>31</v>
      </c>
      <c r="M13" s="33">
        <v>350</v>
      </c>
      <c r="N13" s="34">
        <v>352</v>
      </c>
      <c r="O13" s="34">
        <v>2</v>
      </c>
      <c r="P13" s="59">
        <v>4</v>
      </c>
    </row>
    <row r="14" spans="12:22" ht="15.75" thickBot="1">
      <c r="L14" s="7" t="s">
        <v>30</v>
      </c>
      <c r="M14" s="60">
        <v>300</v>
      </c>
      <c r="N14" s="61">
        <f>+M14-(O14-P14)</f>
        <v>296</v>
      </c>
      <c r="O14" s="61">
        <f>+P13</f>
        <v>4</v>
      </c>
      <c r="P14" s="62">
        <v>0</v>
      </c>
    </row>
    <row r="16" spans="12:22" ht="15.75" thickBot="1"/>
    <row r="17" spans="1:13">
      <c r="A17" s="55" t="s">
        <v>52</v>
      </c>
      <c r="B17" s="56"/>
      <c r="C17" s="56"/>
      <c r="D17" s="56"/>
      <c r="E17" s="56"/>
      <c r="F17" s="56"/>
      <c r="G17" s="56"/>
      <c r="H17" s="56"/>
      <c r="I17" s="56"/>
      <c r="J17" s="57"/>
      <c r="L17" s="64"/>
      <c r="M17" s="64"/>
    </row>
    <row r="18" spans="1:13">
      <c r="A18" s="5" t="s">
        <v>0</v>
      </c>
      <c r="B18" s="65" t="s">
        <v>57</v>
      </c>
      <c r="C18" s="4">
        <v>1</v>
      </c>
      <c r="D18" s="4">
        <v>2</v>
      </c>
      <c r="E18" s="4">
        <v>3</v>
      </c>
      <c r="F18" s="4">
        <v>4</v>
      </c>
      <c r="G18" s="4">
        <v>5</v>
      </c>
      <c r="H18" s="4">
        <v>6</v>
      </c>
      <c r="I18" s="4">
        <v>7</v>
      </c>
      <c r="J18" s="6">
        <v>8</v>
      </c>
      <c r="L18" s="64">
        <f>+M3/O4*F21</f>
        <v>70136.25</v>
      </c>
      <c r="M18" s="64">
        <f>+M4/P4*J21</f>
        <v>64776.875000000007</v>
      </c>
    </row>
    <row r="19" spans="1:13">
      <c r="A19" s="5" t="s">
        <v>1</v>
      </c>
      <c r="B19" s="65"/>
      <c r="C19" s="33">
        <v>4500</v>
      </c>
      <c r="D19" s="33">
        <v>5700</v>
      </c>
      <c r="E19" s="33">
        <v>8000</v>
      </c>
      <c r="F19" s="33">
        <f>+(L18-SUM(C20:F20)-SUM(C19:E19))</f>
        <v>7068.40625</v>
      </c>
      <c r="G19" s="33">
        <f>+M20/4</f>
        <v>5534.4687500000018</v>
      </c>
      <c r="H19" s="33">
        <f>+G19</f>
        <v>5534.4687500000018</v>
      </c>
      <c r="I19" s="33">
        <f t="shared" ref="I19:J19" si="0">+H19</f>
        <v>5534.4687500000018</v>
      </c>
      <c r="J19" s="59">
        <f t="shared" si="0"/>
        <v>5534.4687500000018</v>
      </c>
      <c r="L19" s="64">
        <f>+$N$3/$M$3*L18</f>
        <v>68523.125</v>
      </c>
      <c r="M19" s="64">
        <f>+$N$4/$M$4*M18</f>
        <v>60026.875000000007</v>
      </c>
    </row>
    <row r="20" spans="1:13">
      <c r="A20" s="5" t="s">
        <v>2</v>
      </c>
      <c r="B20" s="65"/>
      <c r="C20" s="33">
        <f>+M3*0.7*250/400/4</f>
        <v>12273.843749999998</v>
      </c>
      <c r="D20" s="33">
        <v>11673</v>
      </c>
      <c r="E20" s="33">
        <f>+D20-800</f>
        <v>10873</v>
      </c>
      <c r="F20" s="33">
        <f>+E20-825</f>
        <v>10048</v>
      </c>
      <c r="G20" s="33">
        <f>+F20+1008</f>
        <v>11056</v>
      </c>
      <c r="H20" s="33">
        <f>+G20-800</f>
        <v>10256</v>
      </c>
      <c r="I20" s="33">
        <f>+H20+1008</f>
        <v>11264</v>
      </c>
      <c r="J20" s="59">
        <f>+I20-1201</f>
        <v>10063</v>
      </c>
      <c r="L20" s="64"/>
      <c r="M20" s="64">
        <f>+M18-J20-I20-H20-G20</f>
        <v>22137.875000000007</v>
      </c>
    </row>
    <row r="21" spans="1:13">
      <c r="A21" s="5" t="s">
        <v>3</v>
      </c>
      <c r="B21" s="65">
        <f>+$O$3/$O$4*F21</f>
        <v>6613.125</v>
      </c>
      <c r="C21" s="33">
        <f>+C22-C19-C20+B21</f>
        <v>6970.0625000000018</v>
      </c>
      <c r="D21" s="33">
        <f t="shared" ref="D21:E21" si="1">+D22-D19-D20+C21</f>
        <v>6727.8437500000018</v>
      </c>
      <c r="E21" s="33">
        <f t="shared" si="1"/>
        <v>4985.6250000000018</v>
      </c>
      <c r="F21" s="33">
        <f>+$O$4/$P$4*J21</f>
        <v>5000</v>
      </c>
      <c r="G21" s="33">
        <f t="shared" ref="G21:I21" si="2">+G22-G19-G20+F21</f>
        <v>3416.25</v>
      </c>
      <c r="H21" s="33">
        <f t="shared" si="2"/>
        <v>2632.5</v>
      </c>
      <c r="I21" s="33">
        <f t="shared" si="2"/>
        <v>840.75</v>
      </c>
      <c r="J21" s="59">
        <v>250</v>
      </c>
      <c r="K21" s="63"/>
      <c r="L21" s="64"/>
      <c r="M21" s="64"/>
    </row>
    <row r="22" spans="1:13">
      <c r="A22" s="5" t="s">
        <v>4</v>
      </c>
      <c r="B22" s="65"/>
      <c r="C22" s="33">
        <f>+L19/4</f>
        <v>17130.78125</v>
      </c>
      <c r="D22" s="33">
        <f>+C22</f>
        <v>17130.78125</v>
      </c>
      <c r="E22" s="33">
        <f>+D22</f>
        <v>17130.78125</v>
      </c>
      <c r="F22" s="33">
        <f>+E22</f>
        <v>17130.78125</v>
      </c>
      <c r="G22" s="33">
        <f>+M19/4</f>
        <v>15006.718750000002</v>
      </c>
      <c r="H22" s="33">
        <f>+G22</f>
        <v>15006.718750000002</v>
      </c>
      <c r="I22" s="33">
        <f>+H22</f>
        <v>15006.718750000002</v>
      </c>
      <c r="J22" s="59">
        <f>+I22</f>
        <v>15006.718750000002</v>
      </c>
      <c r="L22" s="64"/>
      <c r="M22" s="64"/>
    </row>
    <row r="23" spans="1:13" ht="15.75" thickBot="1">
      <c r="A23" s="7" t="s">
        <v>5</v>
      </c>
      <c r="B23" s="66"/>
      <c r="C23" s="60">
        <f>+E22</f>
        <v>17130.78125</v>
      </c>
      <c r="D23" s="60">
        <f t="shared" ref="D23:H23" si="3">+F22</f>
        <v>17130.78125</v>
      </c>
      <c r="E23" s="60">
        <f t="shared" si="3"/>
        <v>15006.718750000002</v>
      </c>
      <c r="F23" s="60">
        <f t="shared" si="3"/>
        <v>15006.718750000002</v>
      </c>
      <c r="G23" s="60">
        <f t="shared" si="3"/>
        <v>15006.718750000002</v>
      </c>
      <c r="H23" s="60">
        <f t="shared" si="3"/>
        <v>15006.718750000002</v>
      </c>
      <c r="I23" s="60">
        <f>+H23</f>
        <v>15006.718750000002</v>
      </c>
      <c r="J23" s="62">
        <f>+I23</f>
        <v>15006.718750000002</v>
      </c>
      <c r="L23" s="64"/>
      <c r="M23" s="64"/>
    </row>
    <row r="24" spans="1:13" ht="15.75" thickBot="1">
      <c r="L24" s="64"/>
      <c r="M24" s="64"/>
    </row>
    <row r="25" spans="1:13">
      <c r="A25" s="55" t="s">
        <v>53</v>
      </c>
      <c r="B25" s="56"/>
      <c r="C25" s="56"/>
      <c r="D25" s="56"/>
      <c r="E25" s="56"/>
      <c r="F25" s="56"/>
      <c r="G25" s="56"/>
      <c r="H25" s="56"/>
      <c r="I25" s="56"/>
      <c r="J25" s="57"/>
      <c r="L25" s="64"/>
      <c r="M25" s="64"/>
    </row>
    <row r="26" spans="1:13">
      <c r="A26" s="5" t="s">
        <v>0</v>
      </c>
      <c r="B26" s="65"/>
      <c r="C26" s="4">
        <v>1</v>
      </c>
      <c r="D26" s="4">
        <v>2</v>
      </c>
      <c r="E26" s="4">
        <v>3</v>
      </c>
      <c r="F26" s="4">
        <v>4</v>
      </c>
      <c r="G26" s="4">
        <v>5</v>
      </c>
      <c r="H26" s="4">
        <v>6</v>
      </c>
      <c r="I26" s="4">
        <v>7</v>
      </c>
      <c r="J26" s="6">
        <v>8</v>
      </c>
      <c r="L26" s="64">
        <f>+M3/O4*F29</f>
        <v>28054.5</v>
      </c>
      <c r="M26" s="64">
        <f>+M4/P4*J29</f>
        <v>25910.75</v>
      </c>
    </row>
    <row r="27" spans="1:13">
      <c r="A27" s="5" t="s">
        <v>1</v>
      </c>
      <c r="B27" s="65"/>
      <c r="C27" s="33">
        <v>1800</v>
      </c>
      <c r="D27" s="33">
        <v>2000</v>
      </c>
      <c r="E27" s="33">
        <v>2550</v>
      </c>
      <c r="F27" s="33">
        <f>+(L26-SUM(C28:F28)-SUM(C27:E27))</f>
        <v>2295.9625000000015</v>
      </c>
      <c r="G27" s="33">
        <f>+M28/4</f>
        <v>1977.4375</v>
      </c>
      <c r="H27" s="33">
        <f>+G27</f>
        <v>1977.4375</v>
      </c>
      <c r="I27" s="33">
        <f t="shared" ref="I27:J27" si="4">+H27</f>
        <v>1977.4375</v>
      </c>
      <c r="J27" s="59">
        <f t="shared" si="4"/>
        <v>1977.4375</v>
      </c>
      <c r="L27" s="64">
        <f>+$N$3/$M$3*L26</f>
        <v>27409.25</v>
      </c>
      <c r="M27" s="64">
        <f>+$N$4/$M$4*M26</f>
        <v>24010.75</v>
      </c>
    </row>
    <row r="28" spans="1:13">
      <c r="A28" s="5" t="s">
        <v>2</v>
      </c>
      <c r="B28" s="65"/>
      <c r="C28" s="33">
        <f>+M3*0.7*100/400/4</f>
        <v>4909.5374999999995</v>
      </c>
      <c r="D28" s="33">
        <v>4800</v>
      </c>
      <c r="E28" s="33">
        <v>4999</v>
      </c>
      <c r="F28" s="33">
        <v>4700</v>
      </c>
      <c r="G28" s="33">
        <v>4750</v>
      </c>
      <c r="H28" s="33">
        <v>4628</v>
      </c>
      <c r="I28" s="33">
        <v>4300</v>
      </c>
      <c r="J28" s="59">
        <v>4323</v>
      </c>
      <c r="L28" s="64"/>
      <c r="M28" s="64">
        <f>+M26-J28-I28-H28-G28</f>
        <v>7909.75</v>
      </c>
    </row>
    <row r="29" spans="1:13">
      <c r="A29" s="5" t="s">
        <v>3</v>
      </c>
      <c r="B29" s="65">
        <f>+$O$3/$O$4*F29</f>
        <v>2645.25</v>
      </c>
      <c r="C29" s="33">
        <f>+C30-C27-C28+B29</f>
        <v>2788.0250000000005</v>
      </c>
      <c r="D29" s="33">
        <f t="shared" ref="D29" si="5">+D30-D27-D28+C29</f>
        <v>2840.3375000000005</v>
      </c>
      <c r="E29" s="33">
        <f t="shared" ref="E29" si="6">+E30-E27-E28+D29</f>
        <v>2143.6500000000005</v>
      </c>
      <c r="F29" s="33">
        <f>+$O$4/$P$4*J29</f>
        <v>2000</v>
      </c>
      <c r="G29" s="33">
        <f t="shared" ref="G29" si="7">+G30-G27-G28+F29</f>
        <v>1275.25</v>
      </c>
      <c r="H29" s="33">
        <f t="shared" ref="H29" si="8">+H30-H27-H28+G29</f>
        <v>672.5</v>
      </c>
      <c r="I29" s="33">
        <f t="shared" ref="I29" si="9">+I30-I27-I28+H29</f>
        <v>397.75</v>
      </c>
      <c r="J29" s="59">
        <v>100</v>
      </c>
      <c r="L29" s="64"/>
      <c r="M29" s="64"/>
    </row>
    <row r="30" spans="1:13">
      <c r="A30" s="5" t="s">
        <v>4</v>
      </c>
      <c r="B30" s="65"/>
      <c r="C30" s="33">
        <f>+L27/4</f>
        <v>6852.3125</v>
      </c>
      <c r="D30" s="33">
        <f>+C30</f>
        <v>6852.3125</v>
      </c>
      <c r="E30" s="33">
        <f>+D30</f>
        <v>6852.3125</v>
      </c>
      <c r="F30" s="33">
        <f>+E30</f>
        <v>6852.3125</v>
      </c>
      <c r="G30" s="33">
        <f>+M27/4</f>
        <v>6002.6875</v>
      </c>
      <c r="H30" s="33">
        <f>+G30</f>
        <v>6002.6875</v>
      </c>
      <c r="I30" s="33">
        <f>+H30</f>
        <v>6002.6875</v>
      </c>
      <c r="J30" s="59">
        <f>+I30</f>
        <v>6002.6875</v>
      </c>
      <c r="L30" s="64"/>
      <c r="M30" s="64"/>
    </row>
    <row r="31" spans="1:13" ht="15.75" thickBot="1">
      <c r="A31" s="7" t="s">
        <v>5</v>
      </c>
      <c r="B31" s="66"/>
      <c r="C31" s="60">
        <f>+E30</f>
        <v>6852.3125</v>
      </c>
      <c r="D31" s="60">
        <f t="shared" ref="D31" si="10">+F30</f>
        <v>6852.3125</v>
      </c>
      <c r="E31" s="60">
        <f t="shared" ref="E31" si="11">+G30</f>
        <v>6002.6875</v>
      </c>
      <c r="F31" s="60">
        <f t="shared" ref="F31" si="12">+H30</f>
        <v>6002.6875</v>
      </c>
      <c r="G31" s="60">
        <f t="shared" ref="G31" si="13">+I30</f>
        <v>6002.6875</v>
      </c>
      <c r="H31" s="60">
        <f t="shared" ref="H31" si="14">+J30</f>
        <v>6002.6875</v>
      </c>
      <c r="I31" s="60">
        <f>+H31</f>
        <v>6002.6875</v>
      </c>
      <c r="J31" s="62">
        <f>+I31</f>
        <v>6002.6875</v>
      </c>
      <c r="L31" s="64"/>
      <c r="M31" s="64"/>
    </row>
    <row r="32" spans="1:13" ht="15.75" thickBot="1">
      <c r="L32" s="64"/>
      <c r="M32" s="64"/>
    </row>
    <row r="33" spans="1:13">
      <c r="A33" s="55" t="s">
        <v>54</v>
      </c>
      <c r="B33" s="56"/>
      <c r="C33" s="56"/>
      <c r="D33" s="56"/>
      <c r="E33" s="56"/>
      <c r="F33" s="56"/>
      <c r="G33" s="56"/>
      <c r="H33" s="56"/>
      <c r="I33" s="56"/>
      <c r="J33" s="57"/>
      <c r="L33" s="64"/>
      <c r="M33" s="64"/>
    </row>
    <row r="34" spans="1:13">
      <c r="A34" s="5" t="s">
        <v>0</v>
      </c>
      <c r="B34" s="65"/>
      <c r="C34" s="4">
        <v>1</v>
      </c>
      <c r="D34" s="4">
        <v>2</v>
      </c>
      <c r="E34" s="4">
        <v>3</v>
      </c>
      <c r="F34" s="4">
        <v>4</v>
      </c>
      <c r="G34" s="4">
        <v>5</v>
      </c>
      <c r="H34" s="4">
        <v>6</v>
      </c>
      <c r="I34" s="4">
        <v>7</v>
      </c>
      <c r="J34" s="6">
        <v>8</v>
      </c>
      <c r="L34" s="64">
        <f>+M3/O4*F37</f>
        <v>14027.25</v>
      </c>
      <c r="M34" s="64">
        <f>+M4/P4*J37</f>
        <v>12955.375</v>
      </c>
    </row>
    <row r="35" spans="1:13">
      <c r="A35" s="5" t="s">
        <v>1</v>
      </c>
      <c r="B35" s="65"/>
      <c r="C35" s="33">
        <v>500</v>
      </c>
      <c r="D35" s="33">
        <v>750</v>
      </c>
      <c r="E35" s="33">
        <v>1000</v>
      </c>
      <c r="F35" s="33">
        <f>+(L34-SUM(C36:F36)-SUM(C35:E35))</f>
        <v>1068.5275000000001</v>
      </c>
      <c r="G35" s="33">
        <f>+M36/4</f>
        <v>1113.84375</v>
      </c>
      <c r="H35" s="33">
        <f>+G35</f>
        <v>1113.84375</v>
      </c>
      <c r="I35" s="33">
        <f t="shared" ref="I35:J35" si="15">+H35</f>
        <v>1113.84375</v>
      </c>
      <c r="J35" s="59">
        <f t="shared" si="15"/>
        <v>1113.84375</v>
      </c>
      <c r="L35" s="64">
        <f>+$N$3/$M$3*L34</f>
        <v>13704.625</v>
      </c>
      <c r="M35" s="64">
        <f>+$N$4/$M$4*M34</f>
        <v>12005.375</v>
      </c>
    </row>
    <row r="36" spans="1:13">
      <c r="A36" s="5" t="s">
        <v>2</v>
      </c>
      <c r="B36" s="65"/>
      <c r="C36" s="33">
        <f>+M3*0.7*60/400/4</f>
        <v>2945.7224999999994</v>
      </c>
      <c r="D36" s="33">
        <v>2851</v>
      </c>
      <c r="E36" s="33">
        <v>2512</v>
      </c>
      <c r="F36" s="33">
        <v>2400</v>
      </c>
      <c r="G36" s="33">
        <v>2300</v>
      </c>
      <c r="H36" s="33">
        <v>2200</v>
      </c>
      <c r="I36" s="33">
        <v>2000</v>
      </c>
      <c r="J36" s="59">
        <v>2000</v>
      </c>
      <c r="M36" s="64">
        <f>+M34-J36-I36-H36-G36</f>
        <v>4455.375</v>
      </c>
    </row>
    <row r="37" spans="1:13">
      <c r="A37" s="5" t="s">
        <v>3</v>
      </c>
      <c r="B37" s="65">
        <f>+$O$3/$O$4*F37</f>
        <v>1322.625</v>
      </c>
      <c r="C37" s="33">
        <f>+C38-C35-C36+B37</f>
        <v>1303.0587500000006</v>
      </c>
      <c r="D37" s="33">
        <f t="shared" ref="D37" si="16">+D38-D35-D36+C37</f>
        <v>1128.2150000000006</v>
      </c>
      <c r="E37" s="33">
        <f t="shared" ref="E37" si="17">+E38-E35-E36+D37</f>
        <v>1042.3712500000006</v>
      </c>
      <c r="F37" s="33">
        <f>+$O$4/$P$4*J37</f>
        <v>1000</v>
      </c>
      <c r="G37" s="33">
        <f t="shared" ref="G37" si="18">+G38-G35-G36+F37</f>
        <v>587.5</v>
      </c>
      <c r="H37" s="33">
        <f t="shared" ref="H37" si="19">+H38-H35-H36+G37</f>
        <v>275</v>
      </c>
      <c r="I37" s="33">
        <f t="shared" ref="I37" si="20">+I38-I35-I36+H37</f>
        <v>162.5</v>
      </c>
      <c r="J37" s="59">
        <v>50</v>
      </c>
    </row>
    <row r="38" spans="1:13">
      <c r="A38" s="5" t="s">
        <v>4</v>
      </c>
      <c r="B38" s="65"/>
      <c r="C38" s="33">
        <f>+L35/4</f>
        <v>3426.15625</v>
      </c>
      <c r="D38" s="33">
        <f>+C38</f>
        <v>3426.15625</v>
      </c>
      <c r="E38" s="33">
        <f>+D38</f>
        <v>3426.15625</v>
      </c>
      <c r="F38" s="33">
        <f>+E38</f>
        <v>3426.15625</v>
      </c>
      <c r="G38" s="33">
        <f>+M35/4</f>
        <v>3001.34375</v>
      </c>
      <c r="H38" s="33">
        <f>+G38</f>
        <v>3001.34375</v>
      </c>
      <c r="I38" s="33">
        <f>+H38</f>
        <v>3001.34375</v>
      </c>
      <c r="J38" s="59">
        <f>+I38</f>
        <v>3001.34375</v>
      </c>
    </row>
    <row r="39" spans="1:13" ht="15.75" thickBot="1">
      <c r="A39" s="7" t="s">
        <v>5</v>
      </c>
      <c r="B39" s="66"/>
      <c r="C39" s="60">
        <f>+E38</f>
        <v>3426.15625</v>
      </c>
      <c r="D39" s="60">
        <f t="shared" ref="D39" si="21">+F38</f>
        <v>3426.15625</v>
      </c>
      <c r="E39" s="60">
        <f t="shared" ref="E39" si="22">+G38</f>
        <v>3001.34375</v>
      </c>
      <c r="F39" s="60">
        <f t="shared" ref="F39" si="23">+H38</f>
        <v>3001.34375</v>
      </c>
      <c r="G39" s="60">
        <f t="shared" ref="G39" si="24">+I38</f>
        <v>3001.34375</v>
      </c>
      <c r="H39" s="60">
        <f t="shared" ref="H39" si="25">+J38</f>
        <v>3001.34375</v>
      </c>
      <c r="I39" s="60">
        <f>+H39</f>
        <v>3001.34375</v>
      </c>
      <c r="J39" s="62">
        <f>+I39</f>
        <v>3001.34375</v>
      </c>
    </row>
  </sheetData>
  <mergeCells count="6">
    <mergeCell ref="A17:J17"/>
    <mergeCell ref="L1:P1"/>
    <mergeCell ref="A25:J25"/>
    <mergeCell ref="A33:J33"/>
    <mergeCell ref="L6:P6"/>
    <mergeCell ref="L11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U27"/>
  <sheetViews>
    <sheetView showGridLines="0" workbookViewId="0"/>
  </sheetViews>
  <sheetFormatPr baseColWidth="10" defaultRowHeight="15"/>
  <cols>
    <col min="3" max="5" width="5.42578125" customWidth="1"/>
    <col min="6" max="6" width="18.7109375" customWidth="1"/>
    <col min="11" max="11" width="5.7109375" customWidth="1"/>
    <col min="13" max="13" width="6.140625" customWidth="1"/>
    <col min="14" max="14" width="41.140625" customWidth="1"/>
    <col min="15" max="15" width="5.5703125" customWidth="1"/>
    <col min="16" max="16" width="3.7109375" bestFit="1" customWidth="1"/>
  </cols>
  <sheetData>
    <row r="2" spans="3:21" ht="15.75" thickBot="1">
      <c r="C2" s="75"/>
      <c r="D2" s="75"/>
      <c r="E2" s="75"/>
      <c r="F2" s="75"/>
      <c r="G2" s="75" t="s">
        <v>101</v>
      </c>
      <c r="M2" s="67" t="s">
        <v>58</v>
      </c>
    </row>
    <row r="3" spans="3:21" ht="15.75" thickBot="1">
      <c r="C3" s="75" t="s">
        <v>52</v>
      </c>
      <c r="D3" s="75"/>
      <c r="E3" s="75"/>
      <c r="F3" s="75"/>
      <c r="G3" s="75" t="s">
        <v>102</v>
      </c>
      <c r="M3" s="68" t="s">
        <v>59</v>
      </c>
      <c r="N3" s="69" t="s">
        <v>60</v>
      </c>
      <c r="O3" s="69">
        <v>8</v>
      </c>
      <c r="P3" s="70" t="s">
        <v>61</v>
      </c>
    </row>
    <row r="4" spans="3:21" ht="15.75" thickBot="1">
      <c r="C4" t="s">
        <v>104</v>
      </c>
      <c r="G4" t="s">
        <v>99</v>
      </c>
      <c r="M4" s="72" t="s">
        <v>62</v>
      </c>
      <c r="N4" s="73" t="s">
        <v>63</v>
      </c>
      <c r="O4" s="73">
        <v>10</v>
      </c>
      <c r="P4" s="74" t="s">
        <v>61</v>
      </c>
      <c r="U4" s="1"/>
    </row>
    <row r="5" spans="3:21" ht="15.75" thickBot="1">
      <c r="D5" s="76" t="s">
        <v>95</v>
      </c>
      <c r="G5" t="s">
        <v>99</v>
      </c>
      <c r="M5" s="72" t="s">
        <v>64</v>
      </c>
      <c r="N5" s="73" t="s">
        <v>65</v>
      </c>
      <c r="O5" s="73">
        <v>3</v>
      </c>
      <c r="P5" s="74" t="s">
        <v>61</v>
      </c>
    </row>
    <row r="6" spans="3:21" ht="15.75" thickBot="1">
      <c r="E6" t="s">
        <v>89</v>
      </c>
      <c r="G6" t="s">
        <v>98</v>
      </c>
      <c r="M6" s="72" t="s">
        <v>66</v>
      </c>
      <c r="N6" s="73" t="s">
        <v>67</v>
      </c>
      <c r="O6" s="73">
        <v>3</v>
      </c>
      <c r="P6" s="74" t="s">
        <v>59</v>
      </c>
    </row>
    <row r="7" spans="3:21" ht="15.75" thickBot="1">
      <c r="E7" t="s">
        <v>91</v>
      </c>
      <c r="G7" t="s">
        <v>99</v>
      </c>
      <c r="M7" s="71" t="s">
        <v>68</v>
      </c>
      <c r="N7" s="73" t="s">
        <v>69</v>
      </c>
      <c r="O7" s="73">
        <v>2</v>
      </c>
      <c r="P7" s="74" t="s">
        <v>66</v>
      </c>
    </row>
    <row r="8" spans="3:21" ht="15.75" thickBot="1">
      <c r="E8" t="s">
        <v>90</v>
      </c>
      <c r="G8" t="s">
        <v>99</v>
      </c>
      <c r="M8" s="72" t="s">
        <v>70</v>
      </c>
      <c r="N8" s="73" t="s">
        <v>71</v>
      </c>
      <c r="O8" s="73">
        <v>8</v>
      </c>
      <c r="P8" s="74" t="s">
        <v>62</v>
      </c>
    </row>
    <row r="9" spans="3:21" ht="15.75" thickBot="1">
      <c r="E9" t="s">
        <v>92</v>
      </c>
      <c r="G9" t="s">
        <v>100</v>
      </c>
      <c r="M9" s="71" t="s">
        <v>72</v>
      </c>
      <c r="N9" s="73" t="s">
        <v>73</v>
      </c>
      <c r="O9" s="73">
        <v>9</v>
      </c>
      <c r="P9" s="74" t="s">
        <v>68</v>
      </c>
    </row>
    <row r="10" spans="3:21" ht="15.75" thickBot="1">
      <c r="D10" s="76" t="s">
        <v>96</v>
      </c>
      <c r="G10" t="s">
        <v>99</v>
      </c>
      <c r="M10" s="71" t="s">
        <v>74</v>
      </c>
      <c r="N10" s="73" t="s">
        <v>75</v>
      </c>
      <c r="O10" s="73">
        <v>1</v>
      </c>
      <c r="P10" s="74" t="s">
        <v>76</v>
      </c>
    </row>
    <row r="11" spans="3:21" ht="15.75" thickBot="1">
      <c r="E11" t="s">
        <v>93</v>
      </c>
      <c r="G11" t="s">
        <v>103</v>
      </c>
      <c r="M11" s="71" t="s">
        <v>77</v>
      </c>
      <c r="N11" s="73" t="s">
        <v>78</v>
      </c>
      <c r="O11" s="73">
        <v>1</v>
      </c>
      <c r="P11" s="74" t="s">
        <v>72</v>
      </c>
    </row>
    <row r="12" spans="3:21" ht="15.75" thickBot="1">
      <c r="E12" t="s">
        <v>94</v>
      </c>
      <c r="G12" t="s">
        <v>99</v>
      </c>
      <c r="M12" s="71" t="s">
        <v>79</v>
      </c>
      <c r="N12" s="73" t="s">
        <v>80</v>
      </c>
      <c r="O12" s="73">
        <v>1</v>
      </c>
      <c r="P12" s="74" t="s">
        <v>81</v>
      </c>
    </row>
    <row r="13" spans="3:21" ht="15.75" thickBot="1">
      <c r="D13" s="76" t="s">
        <v>97</v>
      </c>
      <c r="G13" t="s">
        <v>105</v>
      </c>
      <c r="M13" s="71" t="s">
        <v>82</v>
      </c>
      <c r="N13" s="73" t="s">
        <v>83</v>
      </c>
      <c r="O13" s="73">
        <v>5</v>
      </c>
      <c r="P13" s="74" t="s">
        <v>84</v>
      </c>
    </row>
    <row r="14" spans="3:21" ht="15.75" thickBot="1">
      <c r="M14" s="71" t="s">
        <v>84</v>
      </c>
      <c r="N14" s="73" t="s">
        <v>85</v>
      </c>
      <c r="O14" s="73">
        <v>3</v>
      </c>
      <c r="P14" s="74" t="s">
        <v>74</v>
      </c>
    </row>
    <row r="15" spans="3:21" ht="15.75" thickBot="1">
      <c r="M15" s="71" t="s">
        <v>86</v>
      </c>
      <c r="N15" s="73" t="s">
        <v>87</v>
      </c>
      <c r="O15" s="73">
        <v>2</v>
      </c>
      <c r="P15" s="74" t="s">
        <v>82</v>
      </c>
    </row>
    <row r="27" spans="14:14">
      <c r="N27" s="75" t="s">
        <v>88</v>
      </c>
    </row>
  </sheetData>
  <pageMargins left="0.7" right="0.7" top="0.75" bottom="0.75" header="0.3" footer="0.3"/>
  <drawing r:id="rId1"/>
  <legacyDrawing r:id="rId2"/>
  <oleObjects>
    <oleObject progId="Visio.Drawing.11" shapeId="2049" r:id="rId3"/>
    <oleObject progId="Visio.Drawing.11" shapeId="2050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P69"/>
  <sheetViews>
    <sheetView zoomScale="85" zoomScaleNormal="85" workbookViewId="0"/>
  </sheetViews>
  <sheetFormatPr baseColWidth="10" defaultColWidth="9.140625" defaultRowHeight="15"/>
  <cols>
    <col min="1" max="1" width="10.7109375" customWidth="1"/>
    <col min="2" max="10" width="11" customWidth="1"/>
    <col min="11" max="11" width="10.85546875" bestFit="1" customWidth="1"/>
    <col min="13" max="13" width="20.140625" customWidth="1"/>
    <col min="14" max="14" width="38.140625" customWidth="1"/>
    <col min="15" max="15" width="8.7109375" customWidth="1"/>
    <col min="16" max="16" width="8.85546875" customWidth="1"/>
  </cols>
  <sheetData>
    <row r="1" spans="1:16" s="51" customFormat="1" ht="45">
      <c r="A1" s="54" t="s">
        <v>48</v>
      </c>
      <c r="B1" s="54" t="s">
        <v>25</v>
      </c>
      <c r="C1" s="54" t="s">
        <v>47</v>
      </c>
      <c r="D1" s="54" t="s">
        <v>46</v>
      </c>
      <c r="E1" s="54" t="s">
        <v>45</v>
      </c>
      <c r="F1" s="54" t="s">
        <v>44</v>
      </c>
      <c r="G1" s="54" t="s">
        <v>43</v>
      </c>
      <c r="H1" s="54" t="s">
        <v>42</v>
      </c>
      <c r="I1" s="54" t="s">
        <v>41</v>
      </c>
      <c r="J1" s="53" t="s">
        <v>40</v>
      </c>
      <c r="K1" s="52"/>
    </row>
    <row r="2" spans="1:16">
      <c r="A2" s="3" t="s">
        <v>39</v>
      </c>
      <c r="B2" s="33">
        <v>153216</v>
      </c>
      <c r="C2" s="33">
        <v>155000</v>
      </c>
      <c r="D2" s="33">
        <f>B2</f>
        <v>153216</v>
      </c>
      <c r="E2" s="33">
        <f>D2*15</f>
        <v>2298240</v>
      </c>
      <c r="F2" s="33">
        <f>C2</f>
        <v>155000</v>
      </c>
      <c r="G2" s="33">
        <f>F2-D2+2000</f>
        <v>3784</v>
      </c>
      <c r="H2" s="35">
        <f>C2/C14</f>
        <v>7.7461269365317345E-2</v>
      </c>
      <c r="I2" s="33">
        <f>+$I$14/12</f>
        <v>645833.33333333337</v>
      </c>
      <c r="J2" s="34">
        <f>J14*$H2</f>
        <v>542228.88555722137</v>
      </c>
      <c r="K2" s="20"/>
      <c r="P2" t="s">
        <v>38</v>
      </c>
    </row>
    <row r="3" spans="1:16">
      <c r="A3" s="3" t="s">
        <v>37</v>
      </c>
      <c r="B3" s="33">
        <v>152090</v>
      </c>
      <c r="C3" s="33">
        <v>155000</v>
      </c>
      <c r="D3" s="33">
        <f>D2+B3</f>
        <v>305306</v>
      </c>
      <c r="E3" s="33">
        <f>D3*15</f>
        <v>4579590</v>
      </c>
      <c r="F3" s="33">
        <f>F2+C3</f>
        <v>310000</v>
      </c>
      <c r="G3" s="33">
        <f>F3-D3</f>
        <v>4694</v>
      </c>
      <c r="H3" s="35">
        <f>C3/C14</f>
        <v>7.7461269365317345E-2</v>
      </c>
      <c r="I3" s="33">
        <f>+$I$14/12</f>
        <v>645833.33333333337</v>
      </c>
      <c r="J3" s="34">
        <f>J14*H3</f>
        <v>542228.88555722137</v>
      </c>
      <c r="K3" s="20"/>
    </row>
    <row r="4" spans="1:16">
      <c r="A4" s="3" t="s">
        <v>36</v>
      </c>
      <c r="B4" s="33">
        <v>151212</v>
      </c>
      <c r="C4" s="33">
        <v>155000</v>
      </c>
      <c r="D4" s="33">
        <f>D3+B4</f>
        <v>456518</v>
      </c>
      <c r="E4" s="33">
        <f>D4*15</f>
        <v>6847770</v>
      </c>
      <c r="F4" s="33">
        <f>F3+C4</f>
        <v>465000</v>
      </c>
      <c r="G4" s="33">
        <f>F4-D4</f>
        <v>8482</v>
      </c>
      <c r="H4" s="35">
        <f>C4/C14</f>
        <v>7.7461269365317345E-2</v>
      </c>
      <c r="I4" s="33">
        <f>+$I$14/12</f>
        <v>645833.33333333337</v>
      </c>
      <c r="J4" s="34">
        <f>H4*J14</f>
        <v>542228.88555722137</v>
      </c>
      <c r="K4" s="20"/>
    </row>
    <row r="5" spans="1:16">
      <c r="A5" s="3" t="s">
        <v>35</v>
      </c>
      <c r="B5" s="33">
        <v>154842</v>
      </c>
      <c r="C5" s="33">
        <v>155000</v>
      </c>
      <c r="D5" s="33">
        <f>D4+B5</f>
        <v>611360</v>
      </c>
      <c r="E5" s="33">
        <f>D5*15</f>
        <v>9170400</v>
      </c>
      <c r="F5" s="33">
        <f>F4+C5</f>
        <v>620000</v>
      </c>
      <c r="G5" s="33">
        <f>F5-D5</f>
        <v>8640</v>
      </c>
      <c r="H5" s="35">
        <f>C5/C14</f>
        <v>7.7461269365317345E-2</v>
      </c>
      <c r="I5" s="33">
        <f>+$I$14/12</f>
        <v>645833.33333333337</v>
      </c>
      <c r="J5" s="34">
        <f>H5*J14</f>
        <v>542228.88555722137</v>
      </c>
      <c r="K5" s="20"/>
    </row>
    <row r="6" spans="1:16">
      <c r="A6" s="3" t="s">
        <v>34</v>
      </c>
      <c r="B6" s="33">
        <v>164893</v>
      </c>
      <c r="C6" s="33">
        <v>185000</v>
      </c>
      <c r="D6" s="33">
        <f>D5+B6</f>
        <v>776253</v>
      </c>
      <c r="E6" s="33">
        <f>D6*15</f>
        <v>11643795</v>
      </c>
      <c r="F6" s="33">
        <f>F5+C6</f>
        <v>805000</v>
      </c>
      <c r="G6" s="33">
        <f>F6-D6</f>
        <v>28747</v>
      </c>
      <c r="H6" s="35">
        <f>C6/C14</f>
        <v>9.2453773113443272E-2</v>
      </c>
      <c r="I6" s="33">
        <f>+$I$14/12</f>
        <v>645833.33333333337</v>
      </c>
      <c r="J6" s="34">
        <f>H6*J14</f>
        <v>647176.41179410287</v>
      </c>
      <c r="K6" s="20"/>
    </row>
    <row r="7" spans="1:16">
      <c r="A7" s="26" t="s">
        <v>33</v>
      </c>
      <c r="B7" s="49">
        <v>182602</v>
      </c>
      <c r="C7" s="49">
        <v>185000</v>
      </c>
      <c r="D7" s="49">
        <f>D6+B7</f>
        <v>958855</v>
      </c>
      <c r="E7" s="49">
        <f>D7*15</f>
        <v>14382825</v>
      </c>
      <c r="F7" s="49">
        <f>F6+C7</f>
        <v>990000</v>
      </c>
      <c r="G7" s="49">
        <f>F7-D7</f>
        <v>31145</v>
      </c>
      <c r="H7" s="50">
        <f>C7/C14</f>
        <v>9.2453773113443272E-2</v>
      </c>
      <c r="I7" s="49">
        <f>+$I$14/12</f>
        <v>645833.33333333337</v>
      </c>
      <c r="J7" s="48">
        <f>H7*J14</f>
        <v>647176.41179410287</v>
      </c>
      <c r="K7" s="20"/>
    </row>
    <row r="8" spans="1:16" ht="15.75" thickBot="1">
      <c r="A8" s="47" t="s">
        <v>32</v>
      </c>
      <c r="B8" s="42">
        <v>198317</v>
      </c>
      <c r="C8" s="42">
        <v>185000</v>
      </c>
      <c r="D8" s="42">
        <f>D7+B8</f>
        <v>1157172</v>
      </c>
      <c r="E8" s="42">
        <f>D8*15</f>
        <v>17357580</v>
      </c>
      <c r="F8" s="42">
        <f>F7+C8</f>
        <v>1175000</v>
      </c>
      <c r="G8" s="42">
        <f>F8-D8</f>
        <v>17828</v>
      </c>
      <c r="H8" s="43">
        <f>C8/C14</f>
        <v>9.2453773113443272E-2</v>
      </c>
      <c r="I8" s="42">
        <f>+$I$14/12</f>
        <v>645833.33333333337</v>
      </c>
      <c r="J8" s="42">
        <f>H8*J14</f>
        <v>647176.41179410287</v>
      </c>
      <c r="K8" s="40"/>
    </row>
    <row r="9" spans="1:16" ht="15.75" thickTop="1">
      <c r="A9" s="46" t="s">
        <v>31</v>
      </c>
      <c r="B9" s="37">
        <v>189354</v>
      </c>
      <c r="C9" s="37">
        <v>185000</v>
      </c>
      <c r="D9" s="37">
        <f>D8+B9</f>
        <v>1346526</v>
      </c>
      <c r="E9" s="37">
        <f>D9*15</f>
        <v>20197890</v>
      </c>
      <c r="F9" s="37">
        <f>F8+C9</f>
        <v>1360000</v>
      </c>
      <c r="G9" s="37">
        <f>F9-D9</f>
        <v>13474</v>
      </c>
      <c r="H9" s="38">
        <f>C9/C14</f>
        <v>9.2453773113443272E-2</v>
      </c>
      <c r="I9" s="37">
        <f>+$I$14/12</f>
        <v>645833.33333333337</v>
      </c>
      <c r="J9" s="45">
        <f>H9*J14</f>
        <v>647176.41179410287</v>
      </c>
      <c r="K9" s="40"/>
    </row>
    <row r="10" spans="1:16" ht="15.75" thickBot="1">
      <c r="A10" s="44" t="s">
        <v>30</v>
      </c>
      <c r="B10" s="42">
        <v>174886</v>
      </c>
      <c r="C10" s="42">
        <v>162000</v>
      </c>
      <c r="D10" s="42">
        <f>D9+B10</f>
        <v>1521412</v>
      </c>
      <c r="E10" s="42">
        <f>D10*15</f>
        <v>22821180</v>
      </c>
      <c r="F10" s="42">
        <f>F9+C10</f>
        <v>1522000</v>
      </c>
      <c r="G10" s="42">
        <f>F10-D10</f>
        <v>588</v>
      </c>
      <c r="H10" s="43">
        <f>C10/C14</f>
        <v>8.0959520239880053E-2</v>
      </c>
      <c r="I10" s="42">
        <f>+$I$14/12</f>
        <v>645833.33333333337</v>
      </c>
      <c r="J10" s="41">
        <f>H10*J14</f>
        <v>566716.64167916041</v>
      </c>
      <c r="K10" s="40"/>
    </row>
    <row r="11" spans="1:16" ht="15.75" thickTop="1">
      <c r="A11" s="39" t="s">
        <v>29</v>
      </c>
      <c r="B11" s="37">
        <v>161814</v>
      </c>
      <c r="C11" s="37">
        <v>162000</v>
      </c>
      <c r="D11" s="37">
        <f>D10+B11</f>
        <v>1683226</v>
      </c>
      <c r="E11" s="37">
        <f>D11*15</f>
        <v>25248390</v>
      </c>
      <c r="F11" s="37">
        <f>F10+C11</f>
        <v>1684000</v>
      </c>
      <c r="G11" s="37">
        <f>F11-D11</f>
        <v>774</v>
      </c>
      <c r="H11" s="38">
        <f>C11/C14</f>
        <v>8.0959520239880053E-2</v>
      </c>
      <c r="I11" s="37">
        <f>+$I$14/12</f>
        <v>645833.33333333337</v>
      </c>
      <c r="J11" s="36">
        <f>H11*J14</f>
        <v>566716.64167916041</v>
      </c>
      <c r="K11" s="20"/>
    </row>
    <row r="12" spans="1:16">
      <c r="A12" s="3" t="s">
        <v>28</v>
      </c>
      <c r="B12" s="33">
        <v>156892</v>
      </c>
      <c r="C12" s="33">
        <v>162000</v>
      </c>
      <c r="D12" s="33">
        <f>D11+B12</f>
        <v>1840118</v>
      </c>
      <c r="E12" s="33">
        <f>D12*15</f>
        <v>27601770</v>
      </c>
      <c r="F12" s="33">
        <f>F11+C12</f>
        <v>1846000</v>
      </c>
      <c r="G12" s="33">
        <f>F12-D12</f>
        <v>5882</v>
      </c>
      <c r="H12" s="35">
        <f>C12/C14</f>
        <v>8.0959520239880053E-2</v>
      </c>
      <c r="I12" s="33">
        <f>+$I$14/12</f>
        <v>645833.33333333337</v>
      </c>
      <c r="J12" s="34">
        <f>H12*J14</f>
        <v>566716.64167916041</v>
      </c>
      <c r="K12" s="20"/>
    </row>
    <row r="13" spans="1:16">
      <c r="A13" s="3" t="s">
        <v>27</v>
      </c>
      <c r="B13" s="33">
        <v>159882</v>
      </c>
      <c r="C13" s="33">
        <v>155000</v>
      </c>
      <c r="D13" s="33">
        <f>D12+B13</f>
        <v>2000000</v>
      </c>
      <c r="E13" s="33">
        <f>D13*15</f>
        <v>30000000</v>
      </c>
      <c r="F13" s="33">
        <f>F12+C13</f>
        <v>2001000</v>
      </c>
      <c r="G13" s="33">
        <f>F13-D13</f>
        <v>1000</v>
      </c>
      <c r="H13" s="35">
        <f>C13/C14</f>
        <v>7.7461269365317345E-2</v>
      </c>
      <c r="I13" s="33">
        <f>+$I$14/12</f>
        <v>645833.33333333337</v>
      </c>
      <c r="J13" s="34">
        <f>H13*J14</f>
        <v>542228.88555722137</v>
      </c>
      <c r="K13" s="20"/>
    </row>
    <row r="14" spans="1:16">
      <c r="A14" s="3" t="s">
        <v>26</v>
      </c>
      <c r="B14" s="33"/>
      <c r="C14" s="32">
        <f>SUM(C2:C13)</f>
        <v>2001000</v>
      </c>
      <c r="D14" s="33"/>
      <c r="E14" s="33"/>
      <c r="F14" s="33"/>
      <c r="G14" s="33"/>
      <c r="H14" s="2"/>
      <c r="I14" s="32">
        <v>7750000</v>
      </c>
      <c r="J14" s="31">
        <v>7000000</v>
      </c>
      <c r="K14" s="30"/>
    </row>
    <row r="50" spans="13:16">
      <c r="M50" s="26" t="s">
        <v>25</v>
      </c>
      <c r="N50" s="19"/>
      <c r="O50" s="19"/>
      <c r="P50" s="18">
        <v>30000</v>
      </c>
    </row>
    <row r="51" spans="13:16">
      <c r="M51" s="29" t="s">
        <v>24</v>
      </c>
      <c r="N51" s="28" t="s">
        <v>23</v>
      </c>
      <c r="O51" s="25">
        <v>4598</v>
      </c>
      <c r="P51" s="21"/>
    </row>
    <row r="52" spans="13:16">
      <c r="M52" s="20"/>
      <c r="N52" s="2" t="s">
        <v>22</v>
      </c>
      <c r="O52" s="24">
        <v>2862</v>
      </c>
      <c r="P52" s="21"/>
    </row>
    <row r="53" spans="13:16">
      <c r="M53" s="20"/>
      <c r="N53" s="2" t="s">
        <v>21</v>
      </c>
      <c r="O53" s="24">
        <v>49</v>
      </c>
      <c r="P53" s="21"/>
    </row>
    <row r="54" spans="13:16">
      <c r="M54" s="20"/>
      <c r="N54" s="2" t="s">
        <v>20</v>
      </c>
      <c r="O54" s="24">
        <v>26</v>
      </c>
      <c r="P54" s="21"/>
    </row>
    <row r="55" spans="13:16">
      <c r="M55" s="20"/>
      <c r="N55" s="2" t="s">
        <v>19</v>
      </c>
      <c r="O55" s="24">
        <v>15</v>
      </c>
      <c r="P55" s="21"/>
    </row>
    <row r="56" spans="13:16">
      <c r="M56" s="20"/>
      <c r="N56" s="2" t="s">
        <v>18</v>
      </c>
      <c r="O56" s="24">
        <v>37</v>
      </c>
      <c r="P56" s="21"/>
    </row>
    <row r="57" spans="13:16">
      <c r="M57" s="20"/>
      <c r="N57" s="2" t="s">
        <v>17</v>
      </c>
      <c r="O57" s="24">
        <v>22</v>
      </c>
      <c r="P57" s="21"/>
    </row>
    <row r="58" spans="13:16">
      <c r="M58" s="20"/>
      <c r="N58" s="2" t="s">
        <v>16</v>
      </c>
      <c r="O58" s="24">
        <v>68</v>
      </c>
      <c r="P58" s="21"/>
    </row>
    <row r="59" spans="13:16">
      <c r="M59" s="20"/>
      <c r="N59" s="23" t="s">
        <v>15</v>
      </c>
      <c r="O59" s="22">
        <v>73</v>
      </c>
      <c r="P59" s="21"/>
    </row>
    <row r="60" spans="13:16">
      <c r="M60" s="20"/>
      <c r="N60" s="18"/>
      <c r="O60" s="27"/>
      <c r="P60" s="18">
        <f>SUM(O51:O59)</f>
        <v>7750</v>
      </c>
    </row>
    <row r="61" spans="13:16">
      <c r="M61" s="26" t="s">
        <v>14</v>
      </c>
      <c r="N61" s="2" t="s">
        <v>13</v>
      </c>
      <c r="O61" s="25">
        <v>5368</v>
      </c>
      <c r="P61" s="21"/>
    </row>
    <row r="62" spans="13:16">
      <c r="M62" s="20"/>
      <c r="N62" s="2" t="s">
        <v>12</v>
      </c>
      <c r="O62" s="24">
        <v>1407</v>
      </c>
      <c r="P62" s="21"/>
    </row>
    <row r="63" spans="13:16">
      <c r="M63" s="20"/>
      <c r="N63" s="2" t="s">
        <v>11</v>
      </c>
      <c r="O63" s="24">
        <v>168</v>
      </c>
      <c r="P63" s="21"/>
    </row>
    <row r="64" spans="13:16">
      <c r="M64" s="20"/>
      <c r="N64" s="23" t="s">
        <v>10</v>
      </c>
      <c r="O64" s="22">
        <v>57</v>
      </c>
      <c r="P64" s="21"/>
    </row>
    <row r="65" spans="13:16">
      <c r="M65" s="20"/>
      <c r="N65" s="18"/>
      <c r="O65" s="19"/>
      <c r="P65" s="18">
        <v>7000</v>
      </c>
    </row>
    <row r="66" spans="13:16" ht="15.75" thickBot="1">
      <c r="M66" s="13" t="s">
        <v>9</v>
      </c>
      <c r="N66" s="12"/>
      <c r="O66" s="12"/>
      <c r="P66" s="17">
        <v>2750</v>
      </c>
    </row>
    <row r="67" spans="13:16">
      <c r="M67" s="16" t="s">
        <v>8</v>
      </c>
      <c r="N67" s="15"/>
      <c r="O67" s="15"/>
      <c r="P67" s="14">
        <f>P50-SUM(P51:P66)</f>
        <v>12500</v>
      </c>
    </row>
    <row r="68" spans="13:16" ht="15.75" thickBot="1">
      <c r="M68" s="13" t="s">
        <v>7</v>
      </c>
      <c r="N68" s="12"/>
      <c r="O68" s="12"/>
      <c r="P68" s="11">
        <v>0.33989999999999998</v>
      </c>
    </row>
    <row r="69" spans="13:16">
      <c r="M69" s="10" t="s">
        <v>6</v>
      </c>
      <c r="N69" s="9"/>
      <c r="O69" s="9"/>
      <c r="P69" s="8">
        <f>P67-P68*P67</f>
        <v>8251.25</v>
      </c>
    </row>
  </sheetData>
  <pageMargins left="0.7" right="0.7" top="0.75" bottom="0.75" header="0.3" footer="0.3"/>
  <pageSetup paperSize="9"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Feuil5</vt:lpstr>
      <vt:lpstr>tp4</vt:lpstr>
    </vt:vector>
  </TitlesOfParts>
  <Company>ONEM-RVA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jgodfroi</dc:creator>
  <cp:lastModifiedBy>jgodfroi</cp:lastModifiedBy>
  <dcterms:created xsi:type="dcterms:W3CDTF">2018-03-25T14:05:06Z</dcterms:created>
  <dcterms:modified xsi:type="dcterms:W3CDTF">2018-03-25T18:36:55Z</dcterms:modified>
</cp:coreProperties>
</file>