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Vincentdu/GoogleDrive/Github/Elec_fee/"/>
    </mc:Choice>
  </mc:AlternateContent>
  <xr:revisionPtr revIDLastSave="0" documentId="13_ncr:1_{CC729118-2581-8C4A-8D3F-49B82BD27EAA}" xr6:coauthVersionLast="47" xr6:coauthVersionMax="47" xr10:uidLastSave="{00000000-0000-0000-0000-000000000000}"/>
  <bookViews>
    <workbookView xWindow="44160" yWindow="960" windowWidth="25600" windowHeight="18680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8" i="1" l="1"/>
  <c r="M48" i="1"/>
  <c r="L48" i="1"/>
  <c r="K47" i="1"/>
  <c r="J47" i="1"/>
  <c r="I47" i="1"/>
  <c r="I33" i="1"/>
  <c r="I32" i="1"/>
  <c r="M47" i="1"/>
  <c r="L47" i="1"/>
  <c r="I39" i="1"/>
  <c r="K28" i="1"/>
  <c r="M45" i="1"/>
  <c r="M46" i="1"/>
  <c r="M44" i="1"/>
  <c r="L45" i="1"/>
  <c r="L46" i="1"/>
  <c r="L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J28" i="1"/>
  <c r="K29" i="1"/>
  <c r="J29" i="1"/>
  <c r="K30" i="1"/>
  <c r="K31" i="1"/>
  <c r="K32" i="1"/>
  <c r="J33" i="1"/>
  <c r="K33" i="1"/>
  <c r="K34" i="1"/>
  <c r="L33" i="1"/>
  <c r="M33" i="1"/>
  <c r="L32" i="1"/>
  <c r="M32" i="1"/>
  <c r="I35" i="1"/>
  <c r="L35" i="1"/>
  <c r="M35" i="1"/>
  <c r="M37" i="1"/>
  <c r="M36" i="1"/>
  <c r="L36" i="1" s="1"/>
  <c r="I36" i="1" s="1"/>
  <c r="I34" i="1"/>
  <c r="I27" i="1"/>
  <c r="I28" i="1"/>
  <c r="I29" i="1"/>
  <c r="I30" i="1"/>
  <c r="I31" i="1"/>
  <c r="L37" i="1"/>
  <c r="I37" i="1" s="1"/>
  <c r="M34" i="1"/>
  <c r="M31" i="1"/>
  <c r="M30" i="1"/>
  <c r="M29" i="1"/>
  <c r="L29" i="1" s="1"/>
  <c r="L28" i="1"/>
  <c r="L30" i="1"/>
  <c r="L31" i="1"/>
  <c r="L34" i="1"/>
  <c r="M28" i="1"/>
  <c r="L27" i="1"/>
  <c r="M27" i="1"/>
  <c r="L26" i="1"/>
  <c r="M26" i="1"/>
  <c r="K35" i="1"/>
  <c r="K36" i="1"/>
  <c r="J36" i="1"/>
  <c r="K37" i="1"/>
  <c r="J37" i="1"/>
  <c r="G33" i="1"/>
  <c r="G26" i="1"/>
  <c r="I26" i="1" s="1"/>
  <c r="I40" i="1"/>
  <c r="I41" i="1"/>
  <c r="I42" i="1"/>
  <c r="I43" i="1"/>
  <c r="I38" i="1"/>
  <c r="K38" i="1"/>
</calcChain>
</file>

<file path=xl/sharedStrings.xml><?xml version="1.0" encoding="utf-8"?>
<sst xmlns="http://schemas.openxmlformats.org/spreadsheetml/2006/main" count="13" uniqueCount="13">
  <si>
    <t>Month</t>
    <phoneticPr fontId="3" type="noConversion"/>
  </si>
  <si>
    <t>Average price [euro/MWh]</t>
    <phoneticPr fontId="3" type="noConversion"/>
  </si>
  <si>
    <t>Highest price[euro/MWh]</t>
    <phoneticPr fontId="3" type="noConversion"/>
  </si>
  <si>
    <t>Lowest price[euro/MWh]</t>
    <phoneticPr fontId="3" type="noConversion"/>
  </si>
  <si>
    <t>Hours of negative price[h]</t>
    <phoneticPr fontId="3" type="noConversion"/>
  </si>
  <si>
    <t>hours of overprice[h]</t>
    <phoneticPr fontId="3" type="noConversion"/>
  </si>
  <si>
    <t>percentage of renewable[%]</t>
    <phoneticPr fontId="3" type="noConversion"/>
  </si>
  <si>
    <t>highest renewable[%]</t>
    <phoneticPr fontId="3" type="noConversion"/>
  </si>
  <si>
    <t>lowest renewable[%]</t>
    <phoneticPr fontId="3" type="noConversion"/>
  </si>
  <si>
    <t>conventional production[TWh]</t>
    <phoneticPr fontId="3" type="noConversion"/>
  </si>
  <si>
    <t>total consumption[TWh]</t>
    <phoneticPr fontId="3" type="noConversion"/>
  </si>
  <si>
    <t>total production[TWh]</t>
    <phoneticPr fontId="3" type="noConversion"/>
  </si>
  <si>
    <t>renewable production[TWh]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</si>
</sst>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￥-804]#,##0.00"/>
    <numFmt numFmtId="177" formatCode="0.00_);[Red]\(0.00\)"/>
  </numFmts>
  <fonts count="6">
    <font>
      <sz val="10"/>
      <color rgb="FF000000"/>
      <name val="Arial"/>
    </font>
    <font>
      <sz val="10"/>
      <name val="Arial"/>
      <family val="2"/>
    </font>
    <font>
      <sz val="10"/>
      <color theme="1"/>
      <name val="Arial"/>
      <family val="2"/>
    </font>
    <font>
      <sz val="9"/>
      <name val="宋体"/>
      <family val="3"/>
      <charset val="134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176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0" fillId="0" borderId="0" xfId="0"/>
    <xf numFmtId="17" fontId="2" fillId="0" borderId="0" xfId="0" applyNumberFormat="1" applyFont="1" applyAlignment="1"/>
    <xf numFmtId="17" fontId="1" fillId="0" borderId="0" xfId="0" applyNumberFormat="1" applyFont="1" applyAlignment="1"/>
    <xf numFmtId="2" fontId="0" fillId="0" borderId="0" xfId="0" applyNumberFormat="1" applyFont="1" applyAlignment="1"/>
    <xf numFmtId="177" fontId="4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工作表1!$A$14:$A$48</c:f>
              <c:numCache>
                <c:formatCode>mmm\-yy</c:formatCode>
                <c:ptCount val="35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</c:numCache>
            </c:numRef>
          </c:xVal>
          <c:yVal>
            <c:numRef>
              <c:f>工作表1!$B$14:$B$48</c:f>
              <c:numCache>
                <c:formatCode>General</c:formatCode>
                <c:ptCount val="35"/>
                <c:pt idx="0">
                  <c:v>49.39</c:v>
                </c:pt>
                <c:pt idx="1">
                  <c:v>42.77</c:v>
                </c:pt>
                <c:pt idx="2">
                  <c:v>30.63</c:v>
                </c:pt>
                <c:pt idx="3">
                  <c:v>36.96</c:v>
                </c:pt>
                <c:pt idx="4">
                  <c:v>37.840000000000003</c:v>
                </c:pt>
                <c:pt idx="5">
                  <c:v>32.520000000000003</c:v>
                </c:pt>
                <c:pt idx="6">
                  <c:v>39.69</c:v>
                </c:pt>
                <c:pt idx="7">
                  <c:v>36.85</c:v>
                </c:pt>
                <c:pt idx="8">
                  <c:v>35.75</c:v>
                </c:pt>
                <c:pt idx="9">
                  <c:v>36.94</c:v>
                </c:pt>
                <c:pt idx="10">
                  <c:v>41</c:v>
                </c:pt>
                <c:pt idx="11">
                  <c:v>31.97</c:v>
                </c:pt>
                <c:pt idx="12">
                  <c:v>35.03</c:v>
                </c:pt>
                <c:pt idx="13">
                  <c:v>21.92</c:v>
                </c:pt>
                <c:pt idx="14">
                  <c:v>22.49</c:v>
                </c:pt>
                <c:pt idx="15">
                  <c:v>17.09</c:v>
                </c:pt>
                <c:pt idx="16">
                  <c:v>17.600000000000001</c:v>
                </c:pt>
                <c:pt idx="17">
                  <c:v>26.18</c:v>
                </c:pt>
                <c:pt idx="18">
                  <c:v>30.06</c:v>
                </c:pt>
                <c:pt idx="19">
                  <c:v>34.86</c:v>
                </c:pt>
                <c:pt idx="20">
                  <c:v>43.69</c:v>
                </c:pt>
                <c:pt idx="21">
                  <c:v>33.97</c:v>
                </c:pt>
                <c:pt idx="22">
                  <c:v>38.79</c:v>
                </c:pt>
                <c:pt idx="23">
                  <c:v>43.52</c:v>
                </c:pt>
                <c:pt idx="24">
                  <c:v>52.82</c:v>
                </c:pt>
                <c:pt idx="25">
                  <c:v>48.7</c:v>
                </c:pt>
                <c:pt idx="26">
                  <c:v>47.16</c:v>
                </c:pt>
                <c:pt idx="27">
                  <c:v>53.61</c:v>
                </c:pt>
                <c:pt idx="28">
                  <c:v>53.35</c:v>
                </c:pt>
                <c:pt idx="29">
                  <c:v>74.08</c:v>
                </c:pt>
                <c:pt idx="30">
                  <c:v>81.37</c:v>
                </c:pt>
                <c:pt idx="31">
                  <c:v>82.7</c:v>
                </c:pt>
                <c:pt idx="32">
                  <c:v>128.37</c:v>
                </c:pt>
                <c:pt idx="33">
                  <c:v>139.49</c:v>
                </c:pt>
                <c:pt idx="34">
                  <c:v>176.15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55-9B44-A478-67631B1BDBE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工作表1!$A$14:$A$48</c:f>
              <c:numCache>
                <c:formatCode>mmm\-yy</c:formatCode>
                <c:ptCount val="35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</c:numCache>
            </c:numRef>
          </c:xVal>
          <c:yVal>
            <c:numRef>
              <c:f>工作表1!$C$14:$C$48</c:f>
              <c:numCache>
                <c:formatCode>General</c:formatCode>
                <c:ptCount val="35"/>
                <c:pt idx="0">
                  <c:v>121.46</c:v>
                </c:pt>
                <c:pt idx="1">
                  <c:v>69.98</c:v>
                </c:pt>
                <c:pt idx="2">
                  <c:v>60.73</c:v>
                </c:pt>
                <c:pt idx="3">
                  <c:v>60.33</c:v>
                </c:pt>
                <c:pt idx="4">
                  <c:v>68.61</c:v>
                </c:pt>
                <c:pt idx="5">
                  <c:v>76.5</c:v>
                </c:pt>
                <c:pt idx="6">
                  <c:v>74.06</c:v>
                </c:pt>
                <c:pt idx="7">
                  <c:v>80.010000000000005</c:v>
                </c:pt>
                <c:pt idx="8">
                  <c:v>71.47</c:v>
                </c:pt>
                <c:pt idx="9">
                  <c:v>67.95</c:v>
                </c:pt>
                <c:pt idx="10">
                  <c:v>87.12</c:v>
                </c:pt>
                <c:pt idx="11">
                  <c:v>76.47</c:v>
                </c:pt>
                <c:pt idx="12">
                  <c:v>68.64</c:v>
                </c:pt>
                <c:pt idx="13">
                  <c:v>59.98</c:v>
                </c:pt>
                <c:pt idx="14">
                  <c:v>64.7</c:v>
                </c:pt>
                <c:pt idx="15">
                  <c:v>69.680000000000007</c:v>
                </c:pt>
                <c:pt idx="16">
                  <c:v>57</c:v>
                </c:pt>
                <c:pt idx="17">
                  <c:v>60.75</c:v>
                </c:pt>
                <c:pt idx="18">
                  <c:v>60.02</c:v>
                </c:pt>
                <c:pt idx="19">
                  <c:v>90</c:v>
                </c:pt>
                <c:pt idx="20">
                  <c:v>200.04</c:v>
                </c:pt>
                <c:pt idx="21">
                  <c:v>78.680000000000007</c:v>
                </c:pt>
                <c:pt idx="22">
                  <c:v>110.13</c:v>
                </c:pt>
                <c:pt idx="23">
                  <c:v>114</c:v>
                </c:pt>
                <c:pt idx="24">
                  <c:v>110.45</c:v>
                </c:pt>
                <c:pt idx="25">
                  <c:v>136.71</c:v>
                </c:pt>
                <c:pt idx="26">
                  <c:v>103.71</c:v>
                </c:pt>
                <c:pt idx="27">
                  <c:v>125</c:v>
                </c:pt>
                <c:pt idx="28">
                  <c:v>101.82</c:v>
                </c:pt>
                <c:pt idx="29">
                  <c:v>139.72</c:v>
                </c:pt>
                <c:pt idx="30">
                  <c:v>150</c:v>
                </c:pt>
                <c:pt idx="31">
                  <c:v>145</c:v>
                </c:pt>
                <c:pt idx="32">
                  <c:v>237.01</c:v>
                </c:pt>
                <c:pt idx="33">
                  <c:v>442.9</c:v>
                </c:pt>
                <c:pt idx="34">
                  <c:v>421.87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55-9B44-A478-67631B1BDBE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工作表1!$A$14:$A$48</c:f>
              <c:numCache>
                <c:formatCode>mmm\-yy</c:formatCode>
                <c:ptCount val="35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</c:numCache>
            </c:numRef>
          </c:xVal>
          <c:yVal>
            <c:numRef>
              <c:f>工作表1!$D$14:$D$48</c:f>
              <c:numCache>
                <c:formatCode>General</c:formatCode>
                <c:ptCount val="35"/>
                <c:pt idx="0">
                  <c:v>-48.93</c:v>
                </c:pt>
                <c:pt idx="1">
                  <c:v>-4.09</c:v>
                </c:pt>
                <c:pt idx="2">
                  <c:v>-23.04</c:v>
                </c:pt>
                <c:pt idx="3">
                  <c:v>-83.01</c:v>
                </c:pt>
                <c:pt idx="4">
                  <c:v>-22.96</c:v>
                </c:pt>
                <c:pt idx="5">
                  <c:v>-90.01</c:v>
                </c:pt>
                <c:pt idx="6">
                  <c:v>6.77</c:v>
                </c:pt>
                <c:pt idx="7">
                  <c:v>-49.62</c:v>
                </c:pt>
                <c:pt idx="8">
                  <c:v>-37.29</c:v>
                </c:pt>
                <c:pt idx="9">
                  <c:v>-34.57</c:v>
                </c:pt>
                <c:pt idx="10">
                  <c:v>1.4</c:v>
                </c:pt>
                <c:pt idx="11">
                  <c:v>-50.43</c:v>
                </c:pt>
                <c:pt idx="12">
                  <c:v>-8.77</c:v>
                </c:pt>
                <c:pt idx="13">
                  <c:v>-32.14</c:v>
                </c:pt>
                <c:pt idx="14">
                  <c:v>-55.05</c:v>
                </c:pt>
                <c:pt idx="15">
                  <c:v>-83.94</c:v>
                </c:pt>
                <c:pt idx="16">
                  <c:v>-74.97</c:v>
                </c:pt>
                <c:pt idx="17">
                  <c:v>-48.17</c:v>
                </c:pt>
                <c:pt idx="18">
                  <c:v>-64.989999999999995</c:v>
                </c:pt>
                <c:pt idx="19">
                  <c:v>-16.18</c:v>
                </c:pt>
                <c:pt idx="20">
                  <c:v>-58.8</c:v>
                </c:pt>
                <c:pt idx="21">
                  <c:v>-54.97</c:v>
                </c:pt>
                <c:pt idx="22">
                  <c:v>-10.48</c:v>
                </c:pt>
                <c:pt idx="23">
                  <c:v>-33.58</c:v>
                </c:pt>
                <c:pt idx="24">
                  <c:v>0.02</c:v>
                </c:pt>
                <c:pt idx="25">
                  <c:v>-3.84</c:v>
                </c:pt>
                <c:pt idx="26">
                  <c:v>-49.99</c:v>
                </c:pt>
                <c:pt idx="27">
                  <c:v>-52.73</c:v>
                </c:pt>
                <c:pt idx="28">
                  <c:v>-69</c:v>
                </c:pt>
                <c:pt idx="29">
                  <c:v>-36.72</c:v>
                </c:pt>
                <c:pt idx="30">
                  <c:v>-20.260000000000002</c:v>
                </c:pt>
                <c:pt idx="31">
                  <c:v>-63.03</c:v>
                </c:pt>
                <c:pt idx="32">
                  <c:v>0.08</c:v>
                </c:pt>
                <c:pt idx="33">
                  <c:v>-2.02</c:v>
                </c:pt>
                <c:pt idx="34">
                  <c:v>1.47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55-9B44-A478-67631B1B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390383"/>
        <c:axId val="1516951967"/>
      </c:scatterChart>
      <c:valAx>
        <c:axId val="153039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6951967"/>
        <c:crosses val="autoZero"/>
        <c:crossBetween val="midCat"/>
      </c:valAx>
      <c:valAx>
        <c:axId val="151695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0390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966107</xdr:colOff>
      <xdr:row>5</xdr:row>
      <xdr:rowOff>54430</xdr:rowOff>
    </xdr:from>
    <xdr:to>
      <xdr:col>6</xdr:col>
      <xdr:colOff>734785</xdr:colOff>
      <xdr:row>26</xdr:row>
      <xdr:rowOff>106137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D91953-DC8A-DA4B-BD5C-956D1BC98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49"/>
  <sheetViews>
    <sheetView tabSelected="1" zoomScale="140" zoomScaleNormal="140" workbookViewId="0">
      <pane ySplit="1" topLeftCell="A25" activePane="bottomLeft" state="frozen"/>
      <selection pane="bottomLeft" activeCell="F43" sqref="F43"/>
    </sheetView>
  </sheetViews>
  <sheetFormatPr baseColWidth="10" defaultColWidth="14.5" defaultRowHeight="15.75" customHeight="1"/>
  <sheetData>
    <row r="1" spans="1:13" ht="15.75" customHeight="1">
      <c r="A1" s="4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10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</row>
    <row r="2" spans="1:13" ht="15.75" customHeight="1">
      <c r="A2" s="7">
        <v>43101</v>
      </c>
      <c r="G2">
        <v>49.2</v>
      </c>
      <c r="H2">
        <v>46.2</v>
      </c>
      <c r="I2" s="9">
        <f>L2/G2*100</f>
        <v>43.467479674796749</v>
      </c>
      <c r="L2">
        <f>G2-M2</f>
        <v>21.386000000000003</v>
      </c>
      <c r="M2" s="4">
        <f>0.822+4.037+5.161+11.104+6.69</f>
        <v>27.814</v>
      </c>
    </row>
    <row r="3" spans="1:13" ht="15.75" customHeight="1">
      <c r="A3" s="8">
        <v>43132</v>
      </c>
      <c r="G3">
        <v>46.2</v>
      </c>
      <c r="H3">
        <v>42.6</v>
      </c>
      <c r="I3" s="9">
        <f t="shared" ref="I3:I25" si="0">L3/G3*100</f>
        <v>32.876623376623378</v>
      </c>
      <c r="L3">
        <f t="shared" ref="L3:L25" si="1">G3-M3</f>
        <v>15.189</v>
      </c>
      <c r="M3">
        <f>0.601+5.065+8.061+11.19+6.094</f>
        <v>31.011000000000003</v>
      </c>
    </row>
    <row r="4" spans="1:13" ht="15.75" customHeight="1">
      <c r="A4" s="7">
        <v>43160</v>
      </c>
      <c r="G4">
        <v>49.3</v>
      </c>
      <c r="H4">
        <v>45.7</v>
      </c>
      <c r="I4" s="9">
        <f t="shared" si="0"/>
        <v>38.815415821501006</v>
      </c>
      <c r="L4">
        <f t="shared" si="1"/>
        <v>19.135999999999996</v>
      </c>
      <c r="M4" s="4">
        <f>0.698+4.127+7.873+11.291+6.175</f>
        <v>30.164000000000001</v>
      </c>
    </row>
    <row r="5" spans="1:13" ht="15.75" customHeight="1">
      <c r="A5" s="8">
        <v>43191</v>
      </c>
      <c r="G5">
        <v>42.2</v>
      </c>
      <c r="H5">
        <v>40</v>
      </c>
      <c r="I5" s="9">
        <f t="shared" si="0"/>
        <v>46.421800947867297</v>
      </c>
      <c r="L5">
        <f t="shared" si="1"/>
        <v>19.59</v>
      </c>
      <c r="M5">
        <f>0.808+2.262+4.16+10.199+5.181</f>
        <v>22.610000000000003</v>
      </c>
    </row>
    <row r="6" spans="1:13" ht="15.75" customHeight="1">
      <c r="A6" s="7">
        <v>43221</v>
      </c>
      <c r="G6">
        <v>41</v>
      </c>
      <c r="H6">
        <v>40.4</v>
      </c>
      <c r="I6" s="9">
        <f t="shared" si="0"/>
        <v>47.236585365853664</v>
      </c>
      <c r="L6">
        <f t="shared" si="1"/>
        <v>19.367000000000001</v>
      </c>
      <c r="M6">
        <f>0.624+2.192+3.78+10.165+4.872</f>
        <v>21.632999999999999</v>
      </c>
    </row>
    <row r="7" spans="1:13" ht="15.75" customHeight="1">
      <c r="A7" s="8">
        <v>43252</v>
      </c>
      <c r="G7">
        <v>41.3</v>
      </c>
      <c r="H7">
        <v>40.200000000000003</v>
      </c>
      <c r="I7" s="9">
        <f t="shared" si="0"/>
        <v>40.91041162227603</v>
      </c>
      <c r="L7">
        <f t="shared" si="1"/>
        <v>16.895999999999997</v>
      </c>
      <c r="M7">
        <f>0.559+2.488+4.614+11.045+5.698</f>
        <v>24.404</v>
      </c>
    </row>
    <row r="8" spans="1:13" ht="15.75" customHeight="1">
      <c r="A8" s="7">
        <v>43282</v>
      </c>
      <c r="G8">
        <v>43.9</v>
      </c>
      <c r="H8">
        <v>40.9</v>
      </c>
      <c r="I8" s="9">
        <f t="shared" si="0"/>
        <v>36.362186788154894</v>
      </c>
      <c r="L8">
        <f t="shared" si="1"/>
        <v>15.962999999999997</v>
      </c>
      <c r="M8">
        <f>0.664+3.346+6.235+11.532+6.16</f>
        <v>27.937000000000001</v>
      </c>
    </row>
    <row r="9" spans="1:13" ht="15.75" customHeight="1">
      <c r="A9" s="8">
        <v>43313</v>
      </c>
      <c r="G9">
        <v>44.2</v>
      </c>
      <c r="H9">
        <v>41.2</v>
      </c>
      <c r="I9" s="9">
        <f t="shared" si="0"/>
        <v>37.789592760181002</v>
      </c>
      <c r="L9">
        <f t="shared" si="1"/>
        <v>16.703000000000003</v>
      </c>
      <c r="M9">
        <f>1.416+3.121+5.46+10.976+6.524</f>
        <v>27.497</v>
      </c>
    </row>
    <row r="10" spans="1:13" ht="15.75" customHeight="1">
      <c r="A10" s="7">
        <v>43344</v>
      </c>
      <c r="G10">
        <v>43</v>
      </c>
      <c r="H10">
        <v>40.200000000000003</v>
      </c>
      <c r="I10" s="9">
        <f t="shared" si="0"/>
        <v>40.251162790697677</v>
      </c>
      <c r="L10">
        <f t="shared" si="1"/>
        <v>17.308</v>
      </c>
      <c r="M10">
        <f>0.845+2.868+5.979+10.4+5.6</f>
        <v>25.692</v>
      </c>
    </row>
    <row r="11" spans="1:13" ht="15.75" customHeight="1">
      <c r="A11" s="8">
        <v>43374</v>
      </c>
      <c r="B11">
        <v>53.11</v>
      </c>
      <c r="G11">
        <v>47</v>
      </c>
      <c r="H11">
        <v>43.1</v>
      </c>
      <c r="I11" s="9">
        <f t="shared" si="0"/>
        <v>40.038297872340422</v>
      </c>
      <c r="L11">
        <f t="shared" si="1"/>
        <v>18.817999999999998</v>
      </c>
      <c r="M11">
        <f>0.93+3.81+7.04+10.665+5.737</f>
        <v>28.182000000000002</v>
      </c>
    </row>
    <row r="12" spans="1:13" ht="15.75" customHeight="1">
      <c r="A12" s="7">
        <v>43405</v>
      </c>
      <c r="B12">
        <v>56.68</v>
      </c>
      <c r="G12">
        <v>46.8</v>
      </c>
      <c r="H12">
        <v>43.5</v>
      </c>
      <c r="I12" s="9">
        <f t="shared" si="0"/>
        <v>34.876068376068368</v>
      </c>
      <c r="L12">
        <f t="shared" si="1"/>
        <v>16.321999999999996</v>
      </c>
      <c r="M12">
        <f>1.02+5.033+7.495+10.6+6.33</f>
        <v>30.478000000000002</v>
      </c>
    </row>
    <row r="13" spans="1:13" ht="15.75" customHeight="1">
      <c r="A13" s="8">
        <v>43435</v>
      </c>
      <c r="B13">
        <v>48.13</v>
      </c>
      <c r="G13">
        <v>47.8</v>
      </c>
      <c r="H13">
        <v>43.4</v>
      </c>
      <c r="I13" s="9">
        <f t="shared" si="0"/>
        <v>43.079497907949779</v>
      </c>
      <c r="L13">
        <f t="shared" si="1"/>
        <v>20.591999999999995</v>
      </c>
      <c r="M13">
        <f>1.03+4.6+5.67+9.138+6.77</f>
        <v>27.208000000000002</v>
      </c>
    </row>
    <row r="14" spans="1:13" ht="15.75" customHeight="1">
      <c r="A14" s="7">
        <v>43466</v>
      </c>
      <c r="B14">
        <v>49.39</v>
      </c>
      <c r="C14">
        <v>121.46</v>
      </c>
      <c r="D14">
        <v>-48.93</v>
      </c>
      <c r="E14">
        <v>34</v>
      </c>
      <c r="G14" s="6">
        <v>52.2</v>
      </c>
      <c r="H14" s="6">
        <v>46.2</v>
      </c>
      <c r="I14" s="9">
        <f t="shared" si="0"/>
        <v>40.718390804597703</v>
      </c>
      <c r="L14">
        <f t="shared" si="1"/>
        <v>21.255000000000003</v>
      </c>
      <c r="M14">
        <f>0.975+5.74+7.55+9.86+6.82</f>
        <v>30.945</v>
      </c>
    </row>
    <row r="15" spans="1:13" ht="15.75" customHeight="1">
      <c r="A15" s="8">
        <v>43497</v>
      </c>
      <c r="B15">
        <v>42.77</v>
      </c>
      <c r="C15">
        <v>69.98</v>
      </c>
      <c r="D15">
        <v>-4.09</v>
      </c>
      <c r="E15">
        <v>9</v>
      </c>
      <c r="F15">
        <v>0</v>
      </c>
      <c r="G15" s="6">
        <v>45.2</v>
      </c>
      <c r="H15" s="6">
        <v>41.1</v>
      </c>
      <c r="I15" s="9">
        <f t="shared" si="0"/>
        <v>40.216814159292042</v>
      </c>
      <c r="L15">
        <f t="shared" si="1"/>
        <v>18.178000000000004</v>
      </c>
      <c r="M15">
        <f>0.96+4.47+5.566+9.83+6.196</f>
        <v>27.021999999999998</v>
      </c>
    </row>
    <row r="16" spans="1:13" ht="15.75" customHeight="1">
      <c r="A16" s="7">
        <v>43525</v>
      </c>
      <c r="B16">
        <v>30.63</v>
      </c>
      <c r="C16">
        <v>60.73</v>
      </c>
      <c r="D16">
        <v>-23.04</v>
      </c>
      <c r="E16">
        <v>46</v>
      </c>
      <c r="F16">
        <v>0</v>
      </c>
      <c r="G16" s="6">
        <v>48</v>
      </c>
      <c r="H16" s="6">
        <v>43.5</v>
      </c>
      <c r="I16" s="9">
        <f t="shared" si="0"/>
        <v>52.770833333333336</v>
      </c>
      <c r="L16">
        <f t="shared" si="1"/>
        <v>25.33</v>
      </c>
      <c r="M16">
        <f>0.89+3.65+3.12+8.3+6.71</f>
        <v>22.67</v>
      </c>
    </row>
    <row r="17" spans="1:13" ht="15.75" customHeight="1">
      <c r="A17" s="8">
        <v>43556</v>
      </c>
      <c r="B17">
        <v>36.96</v>
      </c>
      <c r="C17">
        <v>60.33</v>
      </c>
      <c r="D17">
        <v>-83.01</v>
      </c>
      <c r="E17">
        <v>18</v>
      </c>
      <c r="F17">
        <v>0</v>
      </c>
      <c r="G17" s="6">
        <v>42.4</v>
      </c>
      <c r="H17" s="6">
        <v>39.299999999999997</v>
      </c>
      <c r="I17" s="9">
        <f t="shared" si="0"/>
        <v>46.761792452830186</v>
      </c>
      <c r="L17">
        <f t="shared" si="1"/>
        <v>19.826999999999998</v>
      </c>
      <c r="M17">
        <f>0.768+3.64+3.4+9.075+5.69</f>
        <v>22.573</v>
      </c>
    </row>
    <row r="18" spans="1:13" ht="15.75" customHeight="1">
      <c r="A18" s="7">
        <v>43586</v>
      </c>
      <c r="B18">
        <v>37.840000000000003</v>
      </c>
      <c r="C18">
        <v>68.61</v>
      </c>
      <c r="D18">
        <v>-22.96</v>
      </c>
      <c r="E18">
        <v>9</v>
      </c>
      <c r="F18">
        <v>0</v>
      </c>
      <c r="G18" s="6">
        <v>40.1</v>
      </c>
      <c r="H18" s="6">
        <v>40.4</v>
      </c>
      <c r="I18" s="9">
        <f t="shared" si="0"/>
        <v>47.83790523690773</v>
      </c>
      <c r="L18">
        <f t="shared" si="1"/>
        <v>19.183</v>
      </c>
      <c r="M18">
        <f>0.8+3.367+3.49+8.65+4.61</f>
        <v>20.917000000000002</v>
      </c>
    </row>
    <row r="19" spans="1:13" ht="15.75" customHeight="1">
      <c r="A19" s="8">
        <v>43617</v>
      </c>
      <c r="B19">
        <v>32.520000000000003</v>
      </c>
      <c r="C19">
        <v>76.5</v>
      </c>
      <c r="D19">
        <v>-90.01</v>
      </c>
      <c r="E19">
        <v>26</v>
      </c>
      <c r="F19">
        <v>0</v>
      </c>
      <c r="G19" s="6">
        <v>37.299999999999997</v>
      </c>
      <c r="H19" s="6">
        <v>38</v>
      </c>
      <c r="I19" s="9">
        <f t="shared" si="0"/>
        <v>50.571045576407514</v>
      </c>
      <c r="L19">
        <f t="shared" si="1"/>
        <v>18.863</v>
      </c>
      <c r="M19">
        <f>0.592+3.681+2.584+7.008+4.572</f>
        <v>18.436999999999998</v>
      </c>
    </row>
    <row r="20" spans="1:13" ht="15.75" customHeight="1">
      <c r="A20" s="7">
        <v>43647</v>
      </c>
      <c r="B20">
        <v>39.69</v>
      </c>
      <c r="C20">
        <v>74.06</v>
      </c>
      <c r="D20">
        <v>6.77</v>
      </c>
      <c r="E20">
        <v>0</v>
      </c>
      <c r="F20">
        <v>0</v>
      </c>
      <c r="G20" s="6">
        <v>40.200000000000003</v>
      </c>
      <c r="H20" s="6">
        <v>40.9</v>
      </c>
      <c r="I20" s="9">
        <f t="shared" si="0"/>
        <v>44.594527363184085</v>
      </c>
      <c r="L20">
        <f t="shared" si="1"/>
        <v>17.927000000000003</v>
      </c>
      <c r="M20">
        <f>0.607+4.81+3.26+8.156+5.44</f>
        <v>22.273</v>
      </c>
    </row>
    <row r="21" spans="1:13" ht="15.75" customHeight="1">
      <c r="A21" s="8">
        <v>43678</v>
      </c>
      <c r="B21">
        <v>36.85</v>
      </c>
      <c r="C21">
        <v>80.010000000000005</v>
      </c>
      <c r="D21">
        <v>-49.62</v>
      </c>
      <c r="E21">
        <v>11</v>
      </c>
      <c r="F21">
        <v>0</v>
      </c>
      <c r="G21" s="6">
        <v>38.6</v>
      </c>
      <c r="H21" s="6">
        <v>39.5</v>
      </c>
      <c r="I21" s="9">
        <f t="shared" si="0"/>
        <v>43.178756476683937</v>
      </c>
      <c r="L21">
        <f t="shared" si="1"/>
        <v>16.667000000000002</v>
      </c>
      <c r="M21">
        <f>0.862+4.761+2.87+7.963+5.477</f>
        <v>21.933</v>
      </c>
    </row>
    <row r="22" spans="1:13" ht="15.75" customHeight="1">
      <c r="A22" s="7">
        <v>43709</v>
      </c>
      <c r="B22">
        <v>35.75</v>
      </c>
      <c r="C22">
        <v>71.47</v>
      </c>
      <c r="D22">
        <v>-37.29</v>
      </c>
      <c r="E22">
        <v>15</v>
      </c>
      <c r="F22">
        <v>0</v>
      </c>
      <c r="G22" s="6">
        <v>39.9</v>
      </c>
      <c r="H22" s="6">
        <v>39.299999999999997</v>
      </c>
      <c r="I22" s="9">
        <f t="shared" si="0"/>
        <v>45.614035087719294</v>
      </c>
      <c r="L22">
        <f t="shared" si="1"/>
        <v>18.2</v>
      </c>
      <c r="M22">
        <f>0.83+4.86+2.49+7.73+5.79</f>
        <v>21.7</v>
      </c>
    </row>
    <row r="23" spans="1:13" ht="15.75" customHeight="1">
      <c r="A23" s="8">
        <v>43739</v>
      </c>
      <c r="B23">
        <v>36.94</v>
      </c>
      <c r="C23">
        <v>67.95</v>
      </c>
      <c r="D23">
        <v>-34.57</v>
      </c>
      <c r="E23">
        <v>5</v>
      </c>
      <c r="F23">
        <v>0</v>
      </c>
      <c r="G23" s="6">
        <v>45.4</v>
      </c>
      <c r="H23" s="6">
        <v>42.3</v>
      </c>
      <c r="I23" s="9">
        <f t="shared" si="0"/>
        <v>43.45374449339208</v>
      </c>
      <c r="L23">
        <f t="shared" si="1"/>
        <v>19.728000000000002</v>
      </c>
      <c r="M23">
        <f>0.882+5.83+3.77+8.44+6.75</f>
        <v>25.671999999999997</v>
      </c>
    </row>
    <row r="24" spans="1:13" ht="15.75" customHeight="1">
      <c r="A24" s="7">
        <v>43770</v>
      </c>
      <c r="B24">
        <v>41</v>
      </c>
      <c r="C24">
        <v>87.12</v>
      </c>
      <c r="D24">
        <v>1.4</v>
      </c>
      <c r="E24">
        <v>0</v>
      </c>
      <c r="F24">
        <v>0</v>
      </c>
      <c r="G24" s="6">
        <v>45.3</v>
      </c>
      <c r="H24" s="6">
        <v>42.8</v>
      </c>
      <c r="I24" s="9">
        <f t="shared" si="0"/>
        <v>36.644591611479029</v>
      </c>
      <c r="L24">
        <f t="shared" si="1"/>
        <v>16.599999999999998</v>
      </c>
      <c r="M24">
        <f>0.89+5.27+6.04+10.04+6.46</f>
        <v>28.7</v>
      </c>
    </row>
    <row r="25" spans="1:13" ht="15.75" customHeight="1">
      <c r="A25" s="8">
        <v>43800</v>
      </c>
      <c r="B25">
        <v>31.97</v>
      </c>
      <c r="C25">
        <v>76.47</v>
      </c>
      <c r="D25">
        <v>-50.43</v>
      </c>
      <c r="E25">
        <v>38</v>
      </c>
      <c r="F25">
        <v>0</v>
      </c>
      <c r="G25">
        <v>45.2</v>
      </c>
      <c r="H25">
        <v>42.2</v>
      </c>
      <c r="I25" s="9">
        <f t="shared" si="0"/>
        <v>48.353982300884958</v>
      </c>
      <c r="L25">
        <f t="shared" si="1"/>
        <v>21.856000000000002</v>
      </c>
      <c r="M25">
        <f>0.97+4.53+3.657+7.663+6.524</f>
        <v>23.344000000000001</v>
      </c>
    </row>
    <row r="26" spans="1:13" ht="15.75" customHeight="1">
      <c r="A26" s="7">
        <v>43831</v>
      </c>
      <c r="B26">
        <v>35.03</v>
      </c>
      <c r="C26">
        <v>68.64</v>
      </c>
      <c r="D26">
        <v>-8.77</v>
      </c>
      <c r="E26">
        <v>3</v>
      </c>
      <c r="F26">
        <v>0</v>
      </c>
      <c r="G26">
        <f>G38/96.2*100</f>
        <v>47.817047817047815</v>
      </c>
      <c r="H26">
        <v>45.1</v>
      </c>
      <c r="I26" s="9">
        <f>L26/G26*100</f>
        <v>47.618999999999993</v>
      </c>
      <c r="L26">
        <f>0.904+0.16+1.097+12.7+3.278+1.025+3.606</f>
        <v>22.769999999999996</v>
      </c>
      <c r="M26" s="4">
        <f>0.957+4.579+7.99+5.81+5.7</f>
        <v>25.035999999999998</v>
      </c>
    </row>
    <row r="27" spans="1:13" ht="15.75" customHeight="1">
      <c r="A27" s="8">
        <v>43862</v>
      </c>
      <c r="B27">
        <v>21.92</v>
      </c>
      <c r="C27">
        <v>59.98</v>
      </c>
      <c r="D27">
        <v>-32.14</v>
      </c>
      <c r="E27">
        <v>84</v>
      </c>
      <c r="F27">
        <v>0</v>
      </c>
      <c r="G27">
        <v>45.06</v>
      </c>
      <c r="H27">
        <v>42.96</v>
      </c>
      <c r="I27" s="9">
        <f t="shared" ref="I27:I31" si="2">L27/G27*100</f>
        <v>61.313803817132708</v>
      </c>
      <c r="L27">
        <f>G27-M27</f>
        <v>27.628</v>
      </c>
      <c r="M27">
        <f>0.833+4.034+2.357+5.044+5.164</f>
        <v>17.432000000000002</v>
      </c>
    </row>
    <row r="28" spans="1:13" ht="15.75" customHeight="1">
      <c r="A28" s="7">
        <v>43891</v>
      </c>
      <c r="B28">
        <v>22.49</v>
      </c>
      <c r="C28">
        <v>64.7</v>
      </c>
      <c r="D28">
        <v>-55.05</v>
      </c>
      <c r="E28">
        <v>41</v>
      </c>
      <c r="F28">
        <v>0</v>
      </c>
      <c r="G28">
        <v>43.8</v>
      </c>
      <c r="H28">
        <v>42.7</v>
      </c>
      <c r="I28" s="9">
        <f t="shared" si="2"/>
        <v>55.534246575342458</v>
      </c>
      <c r="J28">
        <f>64.5/72*100</f>
        <v>89.583333333333343</v>
      </c>
      <c r="K28" s="4">
        <f>8.7/46.1*100</f>
        <v>18.872017353579174</v>
      </c>
      <c r="L28">
        <f t="shared" ref="L28:L37" si="3">G28-M28</f>
        <v>24.323999999999998</v>
      </c>
      <c r="M28">
        <f>0.907+4.3+2.719+6.15+5.4</f>
        <v>19.475999999999999</v>
      </c>
    </row>
    <row r="29" spans="1:13" ht="15.75" customHeight="1">
      <c r="A29" s="8">
        <v>43922</v>
      </c>
      <c r="B29">
        <v>17.09</v>
      </c>
      <c r="C29">
        <v>69.680000000000007</v>
      </c>
      <c r="D29">
        <v>-83.94</v>
      </c>
      <c r="E29">
        <v>40</v>
      </c>
      <c r="F29">
        <v>0</v>
      </c>
      <c r="G29">
        <v>35.299999999999997</v>
      </c>
      <c r="H29">
        <v>36.4</v>
      </c>
      <c r="I29" s="9">
        <f t="shared" si="2"/>
        <v>58.889518413597727</v>
      </c>
      <c r="J29">
        <f>64.6/65.5*100</f>
        <v>98.625954198473281</v>
      </c>
      <c r="K29" s="4">
        <f>8.2/46.7*100</f>
        <v>17.558886509635972</v>
      </c>
      <c r="L29">
        <f t="shared" si="3"/>
        <v>20.787999999999997</v>
      </c>
      <c r="M29">
        <f>0.816+3.35+1.32+4.3+4.726</f>
        <v>14.512</v>
      </c>
    </row>
    <row r="30" spans="1:13" ht="15.75" customHeight="1">
      <c r="A30" s="7">
        <v>43952</v>
      </c>
      <c r="B30">
        <v>17.600000000000001</v>
      </c>
      <c r="C30">
        <v>57</v>
      </c>
      <c r="D30">
        <v>-74.97</v>
      </c>
      <c r="E30">
        <v>36</v>
      </c>
      <c r="F30">
        <v>0</v>
      </c>
      <c r="G30">
        <v>35</v>
      </c>
      <c r="H30">
        <v>36.200000000000003</v>
      </c>
      <c r="I30" s="9">
        <f t="shared" si="2"/>
        <v>56.768571428571427</v>
      </c>
      <c r="J30">
        <v>100</v>
      </c>
      <c r="K30">
        <f>8/39.4*100</f>
        <v>20.304568527918782</v>
      </c>
      <c r="L30">
        <f t="shared" si="3"/>
        <v>19.869</v>
      </c>
      <c r="M30">
        <f>0.856+4.1+1.58+4.31+4.285</f>
        <v>15.131</v>
      </c>
    </row>
    <row r="31" spans="1:13" ht="15.75" customHeight="1">
      <c r="A31" s="8">
        <v>43983</v>
      </c>
      <c r="B31">
        <v>26.18</v>
      </c>
      <c r="C31">
        <v>60.75</v>
      </c>
      <c r="D31">
        <v>-48.17</v>
      </c>
      <c r="E31">
        <v>8</v>
      </c>
      <c r="F31">
        <v>0</v>
      </c>
      <c r="G31">
        <v>35.4</v>
      </c>
      <c r="H31">
        <v>36.4</v>
      </c>
      <c r="I31" s="9">
        <f t="shared" si="2"/>
        <v>49.819209039548021</v>
      </c>
      <c r="J31">
        <v>100</v>
      </c>
      <c r="K31">
        <f>7.1/39.1*100</f>
        <v>18.15856777493606</v>
      </c>
      <c r="L31">
        <f t="shared" si="3"/>
        <v>17.635999999999999</v>
      </c>
      <c r="M31">
        <f>0.55+5.232+1.441+5.882+4.659</f>
        <v>17.763999999999999</v>
      </c>
    </row>
    <row r="32" spans="1:13" ht="15.75" customHeight="1">
      <c r="A32" s="7">
        <v>44013</v>
      </c>
      <c r="B32">
        <v>30.06</v>
      </c>
      <c r="C32">
        <v>60.02</v>
      </c>
      <c r="D32">
        <v>-64.989999999999995</v>
      </c>
      <c r="E32">
        <v>24</v>
      </c>
      <c r="F32">
        <v>0</v>
      </c>
      <c r="G32">
        <v>37.9</v>
      </c>
      <c r="H32">
        <v>38.5</v>
      </c>
      <c r="I32" s="9">
        <f>L32/G32*100</f>
        <v>50.379947229551448</v>
      </c>
      <c r="J32">
        <v>93.5</v>
      </c>
      <c r="K32">
        <f>7.5/42.9*100</f>
        <v>17.482517482517483</v>
      </c>
      <c r="L32">
        <f>G32-M32</f>
        <v>19.093999999999998</v>
      </c>
      <c r="M32">
        <f>0.74+5.89+1.58+6.366+4.23</f>
        <v>18.806000000000001</v>
      </c>
    </row>
    <row r="33" spans="1:13" ht="15.75" customHeight="1">
      <c r="A33" s="8">
        <v>44044</v>
      </c>
      <c r="B33">
        <v>34.86</v>
      </c>
      <c r="C33">
        <v>90</v>
      </c>
      <c r="D33">
        <v>-16.18</v>
      </c>
      <c r="E33">
        <v>4</v>
      </c>
      <c r="F33">
        <v>0</v>
      </c>
      <c r="G33">
        <f>G45/0.974</f>
        <v>39.42505133470226</v>
      </c>
      <c r="H33">
        <v>38.299999999999997</v>
      </c>
      <c r="I33" s="9">
        <f>L33/G33*100</f>
        <v>45.349468750000007</v>
      </c>
      <c r="J33">
        <f>(16.7+16.9+16.8+16.9)/(17.4+17.3+17+16.9)*100</f>
        <v>98.104956268221557</v>
      </c>
      <c r="K33">
        <f>8.3/42.1*100</f>
        <v>19.714964370546319</v>
      </c>
      <c r="L33">
        <f>G33-M33</f>
        <v>17.879051334702261</v>
      </c>
      <c r="M33">
        <f>0.786+5.19+2.17+7.8+5.6</f>
        <v>21.545999999999999</v>
      </c>
    </row>
    <row r="34" spans="1:13" ht="15.75" customHeight="1">
      <c r="A34" s="7">
        <v>44075</v>
      </c>
      <c r="B34">
        <v>43.69</v>
      </c>
      <c r="C34">
        <v>200.04</v>
      </c>
      <c r="D34">
        <v>-58.8</v>
      </c>
      <c r="E34">
        <v>6</v>
      </c>
      <c r="F34">
        <v>6</v>
      </c>
      <c r="G34">
        <v>39.299999999999997</v>
      </c>
      <c r="H34">
        <v>38.700000000000003</v>
      </c>
      <c r="I34" s="9">
        <f t="shared" ref="I34:I39" si="4">L34/G34*100</f>
        <v>41.923664122137403</v>
      </c>
      <c r="J34">
        <v>97.7</v>
      </c>
      <c r="K34">
        <f>6.9/46.9*100</f>
        <v>14.712153518123669</v>
      </c>
      <c r="L34">
        <f t="shared" si="3"/>
        <v>16.475999999999999</v>
      </c>
      <c r="M34">
        <f>0.826+4.75+4.071+7.882+5.295</f>
        <v>22.823999999999998</v>
      </c>
    </row>
    <row r="35" spans="1:13" ht="15.75" customHeight="1">
      <c r="A35" s="8">
        <v>44105</v>
      </c>
      <c r="B35">
        <v>33.97</v>
      </c>
      <c r="C35">
        <v>78.680000000000007</v>
      </c>
      <c r="D35">
        <v>-54.97</v>
      </c>
      <c r="E35">
        <v>18</v>
      </c>
      <c r="F35">
        <v>0</v>
      </c>
      <c r="G35">
        <v>45</v>
      </c>
      <c r="H35">
        <v>43</v>
      </c>
      <c r="I35" s="9">
        <f t="shared" si="4"/>
        <v>48.544444444444437</v>
      </c>
      <c r="J35">
        <v>97.1</v>
      </c>
      <c r="K35">
        <f>8.4/55.8*100</f>
        <v>15.053763440860216</v>
      </c>
      <c r="L35">
        <f>G35-M35</f>
        <v>21.844999999999999</v>
      </c>
      <c r="M35">
        <f>1.02+4.39+3.37+9.24+5.135</f>
        <v>23.155000000000001</v>
      </c>
    </row>
    <row r="36" spans="1:13" ht="15.75" customHeight="1">
      <c r="A36" s="7">
        <v>44136</v>
      </c>
      <c r="B36">
        <v>38.79</v>
      </c>
      <c r="C36">
        <v>110.13</v>
      </c>
      <c r="D36">
        <v>-10.48</v>
      </c>
      <c r="E36">
        <v>9</v>
      </c>
      <c r="G36">
        <v>44.3</v>
      </c>
      <c r="H36">
        <v>43.1</v>
      </c>
      <c r="I36" s="9">
        <f t="shared" si="4"/>
        <v>40.722347629796836</v>
      </c>
      <c r="J36">
        <f>43/71.8*100</f>
        <v>59.888579387186638</v>
      </c>
      <c r="K36">
        <f>7.1/60.9*100</f>
        <v>11.658456486042693</v>
      </c>
      <c r="L36">
        <f t="shared" si="3"/>
        <v>18.039999999999996</v>
      </c>
      <c r="M36">
        <f>1+5.94+4.97+9.57+4.78</f>
        <v>26.26</v>
      </c>
    </row>
    <row r="37" spans="1:13" ht="15.75" customHeight="1">
      <c r="A37" s="8">
        <v>44166</v>
      </c>
      <c r="B37">
        <v>43.52</v>
      </c>
      <c r="C37">
        <v>114</v>
      </c>
      <c r="D37">
        <v>-33.58</v>
      </c>
      <c r="E37">
        <v>25</v>
      </c>
      <c r="G37">
        <v>44.4</v>
      </c>
      <c r="H37">
        <v>43.2</v>
      </c>
      <c r="I37" s="9">
        <f t="shared" si="4"/>
        <v>40</v>
      </c>
      <c r="J37">
        <f>50.8/54.2*100</f>
        <v>93.726937269372684</v>
      </c>
      <c r="K37">
        <f>8.2/68.9*100</f>
        <v>11.90130624092888</v>
      </c>
      <c r="L37">
        <f t="shared" si="3"/>
        <v>17.759999999999998</v>
      </c>
      <c r="M37">
        <f>1.05+6.24+4.71+8.8+5.84</f>
        <v>26.64</v>
      </c>
    </row>
    <row r="38" spans="1:13" ht="15.75" customHeight="1">
      <c r="A38" s="7">
        <v>44197</v>
      </c>
      <c r="B38">
        <v>52.82</v>
      </c>
      <c r="C38">
        <v>110.45</v>
      </c>
      <c r="D38">
        <v>0.02</v>
      </c>
      <c r="E38">
        <v>0</v>
      </c>
      <c r="F38" s="4"/>
      <c r="G38" s="3">
        <v>46</v>
      </c>
      <c r="H38" s="3">
        <v>45.9</v>
      </c>
      <c r="I38" s="9">
        <f t="shared" si="4"/>
        <v>36.254347826086956</v>
      </c>
      <c r="J38">
        <v>71.2</v>
      </c>
      <c r="K38">
        <f>7.9/56.2*100</f>
        <v>14.056939501779359</v>
      </c>
      <c r="L38" s="3">
        <v>16.677</v>
      </c>
      <c r="M38" s="3">
        <v>29.376000000000001</v>
      </c>
    </row>
    <row r="39" spans="1:13" ht="15.75" customHeight="1">
      <c r="A39" s="8">
        <v>44228</v>
      </c>
      <c r="B39">
        <v>48.7</v>
      </c>
      <c r="C39">
        <v>136.71</v>
      </c>
      <c r="D39">
        <v>-3.84</v>
      </c>
      <c r="E39">
        <v>9</v>
      </c>
      <c r="F39" s="4"/>
      <c r="G39" s="3">
        <v>40.9</v>
      </c>
      <c r="H39">
        <v>42</v>
      </c>
      <c r="I39" s="9">
        <f t="shared" si="4"/>
        <v>42.608801955990224</v>
      </c>
      <c r="J39">
        <v>70.2</v>
      </c>
      <c r="K39" s="4"/>
      <c r="L39" s="3">
        <v>17.427</v>
      </c>
      <c r="M39" s="3">
        <v>23.513999999999999</v>
      </c>
    </row>
    <row r="40" spans="1:13" ht="15.75" customHeight="1">
      <c r="A40" s="7">
        <v>44256</v>
      </c>
      <c r="B40" s="3">
        <v>47.16</v>
      </c>
      <c r="C40">
        <v>103.71</v>
      </c>
      <c r="D40">
        <v>-49.99</v>
      </c>
      <c r="E40">
        <v>27</v>
      </c>
      <c r="F40" s="4"/>
      <c r="G40" s="3">
        <v>45</v>
      </c>
      <c r="H40">
        <v>45</v>
      </c>
      <c r="I40" s="9">
        <f t="shared" ref="I40:I43" si="5">L40/G40*100</f>
        <v>45.371111111111112</v>
      </c>
      <c r="J40">
        <v>94.8</v>
      </c>
      <c r="K40" s="4"/>
      <c r="L40" s="3">
        <v>20.417000000000002</v>
      </c>
      <c r="M40" s="3">
        <v>24.667999999999999</v>
      </c>
    </row>
    <row r="41" spans="1:13" ht="15.75" customHeight="1">
      <c r="A41" s="8">
        <v>44287</v>
      </c>
      <c r="B41" s="3">
        <v>53.61</v>
      </c>
      <c r="C41">
        <v>125</v>
      </c>
      <c r="D41">
        <v>-52.73</v>
      </c>
      <c r="E41">
        <v>22</v>
      </c>
      <c r="F41" s="4"/>
      <c r="G41" s="3">
        <v>42.1</v>
      </c>
      <c r="H41" s="4">
        <v>41.4</v>
      </c>
      <c r="I41" s="9">
        <f t="shared" si="5"/>
        <v>46.61520190023753</v>
      </c>
      <c r="J41">
        <v>82.6</v>
      </c>
      <c r="K41" s="10"/>
      <c r="L41" s="3">
        <v>19.625</v>
      </c>
      <c r="M41" s="3">
        <v>22.518000000000001</v>
      </c>
    </row>
    <row r="42" spans="1:13" ht="15.75" customHeight="1">
      <c r="A42" s="7">
        <v>44317</v>
      </c>
      <c r="B42" s="3">
        <v>53.35</v>
      </c>
      <c r="C42">
        <v>101.82</v>
      </c>
      <c r="D42">
        <v>-69</v>
      </c>
      <c r="E42">
        <v>38</v>
      </c>
      <c r="F42">
        <v>4</v>
      </c>
      <c r="G42" s="3">
        <v>39.448</v>
      </c>
      <c r="H42">
        <v>40.46</v>
      </c>
      <c r="I42" s="9">
        <f t="shared" si="5"/>
        <v>53.863313729466647</v>
      </c>
      <c r="J42">
        <v>95.9</v>
      </c>
      <c r="K42" s="4"/>
      <c r="L42" s="3">
        <v>21.248000000000001</v>
      </c>
      <c r="M42" s="3">
        <v>18.109000000000002</v>
      </c>
    </row>
    <row r="43" spans="1:13" ht="15.75" customHeight="1">
      <c r="A43" s="8">
        <v>44348</v>
      </c>
      <c r="B43" s="3">
        <v>74.08</v>
      </c>
      <c r="C43">
        <v>139.72</v>
      </c>
      <c r="D43">
        <v>-36.72</v>
      </c>
      <c r="E43">
        <v>9</v>
      </c>
      <c r="F43">
        <v>44</v>
      </c>
      <c r="G43" s="3">
        <v>38.6</v>
      </c>
      <c r="H43">
        <v>39.9</v>
      </c>
      <c r="I43" s="9">
        <f t="shared" si="5"/>
        <v>42.948186528497409</v>
      </c>
      <c r="J43">
        <v>100</v>
      </c>
      <c r="K43" s="4"/>
      <c r="L43" s="3">
        <v>16.577999999999999</v>
      </c>
      <c r="M43" s="3">
        <v>22.029</v>
      </c>
    </row>
    <row r="44" spans="1:13" ht="15.75" customHeight="1">
      <c r="A44" s="7">
        <v>44378</v>
      </c>
      <c r="B44" s="3">
        <v>81.37</v>
      </c>
      <c r="C44">
        <v>150</v>
      </c>
      <c r="D44">
        <v>-20.260000000000002</v>
      </c>
      <c r="E44">
        <v>11</v>
      </c>
      <c r="F44">
        <v>137</v>
      </c>
      <c r="G44" s="4">
        <v>38.799999999999997</v>
      </c>
      <c r="H44">
        <v>41</v>
      </c>
      <c r="I44" s="9">
        <v>43.9</v>
      </c>
      <c r="J44">
        <v>94.4</v>
      </c>
      <c r="K44">
        <v>17.100000000000001</v>
      </c>
      <c r="L44">
        <f>G44*I44/100</f>
        <v>17.033199999999997</v>
      </c>
      <c r="M44">
        <f>G44-L44</f>
        <v>21.7668</v>
      </c>
    </row>
    <row r="45" spans="1:13" ht="15.75" customHeight="1">
      <c r="A45" s="8">
        <v>44409</v>
      </c>
      <c r="B45" s="3">
        <v>82.7</v>
      </c>
      <c r="C45">
        <v>145</v>
      </c>
      <c r="D45">
        <v>-63.03</v>
      </c>
      <c r="E45">
        <v>11</v>
      </c>
      <c r="F45">
        <v>178</v>
      </c>
      <c r="G45" s="4">
        <v>38.4</v>
      </c>
      <c r="H45">
        <v>38.799999999999997</v>
      </c>
      <c r="I45" s="9">
        <v>47.3</v>
      </c>
      <c r="J45">
        <v>86.5</v>
      </c>
      <c r="K45">
        <v>17.899999999999999</v>
      </c>
      <c r="L45">
        <f t="shared" ref="L45:L46" si="6">G45*I45/100</f>
        <v>18.1632</v>
      </c>
      <c r="M45">
        <f t="shared" ref="M45:M48" si="7">G45-L45</f>
        <v>20.236799999999999</v>
      </c>
    </row>
    <row r="46" spans="1:13" ht="15.75" customHeight="1">
      <c r="A46" s="7">
        <v>44440</v>
      </c>
      <c r="B46" s="3">
        <v>128.37</v>
      </c>
      <c r="C46">
        <v>237.01</v>
      </c>
      <c r="D46">
        <v>0.08</v>
      </c>
      <c r="E46">
        <v>0</v>
      </c>
      <c r="F46">
        <v>562</v>
      </c>
      <c r="G46" s="5">
        <v>40.5</v>
      </c>
      <c r="H46">
        <v>39.200000000000003</v>
      </c>
      <c r="I46" s="9">
        <v>36.9</v>
      </c>
      <c r="J46">
        <v>88.6</v>
      </c>
      <c r="K46">
        <v>12.2</v>
      </c>
      <c r="L46">
        <f t="shared" si="6"/>
        <v>14.9445</v>
      </c>
      <c r="M46">
        <f t="shared" si="7"/>
        <v>25.555500000000002</v>
      </c>
    </row>
    <row r="47" spans="1:13" ht="15.75" customHeight="1">
      <c r="A47" s="8">
        <v>44470</v>
      </c>
      <c r="B47" s="3">
        <v>139.49</v>
      </c>
      <c r="C47">
        <v>442.9</v>
      </c>
      <c r="D47">
        <v>-2.02</v>
      </c>
      <c r="E47">
        <v>7</v>
      </c>
      <c r="F47">
        <v>506</v>
      </c>
      <c r="G47" s="3">
        <v>43</v>
      </c>
      <c r="H47">
        <v>42.3</v>
      </c>
      <c r="I47" s="9">
        <f>L47/G47*100</f>
        <v>47.710465116279067</v>
      </c>
      <c r="J47">
        <f>(6+38+3553+9487+1579+262+1091)/20783*100</f>
        <v>77.062984169754117</v>
      </c>
      <c r="K47">
        <f>(836+45+38+69+18+412+1061)/12845*100</f>
        <v>19.299338263915921</v>
      </c>
      <c r="L47">
        <f>0.485*H47</f>
        <v>20.515499999999999</v>
      </c>
      <c r="M47">
        <f t="shared" si="7"/>
        <v>22.484500000000001</v>
      </c>
    </row>
    <row r="48" spans="1:13" ht="15.75" customHeight="1">
      <c r="A48" s="7">
        <v>44501</v>
      </c>
      <c r="B48" s="3">
        <v>176.15</v>
      </c>
      <c r="C48">
        <v>421.87</v>
      </c>
      <c r="D48">
        <v>1.47</v>
      </c>
      <c r="E48">
        <v>0</v>
      </c>
      <c r="F48">
        <v>596</v>
      </c>
      <c r="G48" s="3">
        <v>44.7</v>
      </c>
      <c r="H48">
        <v>43.1</v>
      </c>
      <c r="I48" s="9">
        <f>L48/G48*100</f>
        <v>36.734221476510072</v>
      </c>
      <c r="L48">
        <f>(846.441+137.6+1114.256+7805.6+2532.5+808.4+3175.4)/1000</f>
        <v>16.420197000000002</v>
      </c>
      <c r="M48">
        <f t="shared" si="7"/>
        <v>28.279803000000001</v>
      </c>
    </row>
    <row r="49" spans="1:9" ht="15.75" customHeight="1">
      <c r="A49" s="8">
        <v>44531</v>
      </c>
      <c r="I49" s="9"/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Vincent Du</cp:lastModifiedBy>
  <dcterms:modified xsi:type="dcterms:W3CDTF">2021-12-12T10:22:52Z</dcterms:modified>
</cp:coreProperties>
</file>